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5" activeTab="4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收益法平" sheetId="15" state="hidden" r:id="rId30"/>
    <sheet name="酒店收入计算" sheetId="57" state="hidden" r:id="rId31"/>
    <sheet name="不动产收益法2" sheetId="68" state="hidden" r:id="rId32"/>
    <sheet name="不动产收益法3" sheetId="69" state="hidden" r:id="rId33"/>
    <sheet name="不动产收益法4" sheetId="70" state="hidden" r:id="rId34"/>
    <sheet name="不动产收益法5" sheetId="71" state="hidden" r:id="rId35"/>
    <sheet name="不动产收益法6" sheetId="72" state="hidden"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地价" sheetId="59" r:id="rId45"/>
    <sheet name="附属物价格-树木" sheetId="73" r:id="rId46"/>
    <sheet name="存贷款利率" sheetId="65" r:id="rId47"/>
    <sheet name="搬迁费" sheetId="77" r:id="rId48"/>
    <sheet name="建筑物价格" sheetId="74" r:id="rId49"/>
    <sheet name="停产停业损失补偿" sheetId="75" r:id="rId50"/>
    <sheet name="租金案例" sheetId="76" r:id="rId51"/>
    <sheet name="土地案例" sheetId="79" r:id="rId52"/>
  </sheets>
  <externalReferences>
    <externalReference r:id="rId53"/>
  </externalReferences>
  <definedNames>
    <definedName name="_xlnm._FilterDatabase" localSheetId="21"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45" hidden="1">'附属物价格-树木'!$A$1:$G$43</definedName>
    <definedName name="_xlnm._FilterDatabase" localSheetId="10" hidden="1">'数据-基础表'!$A$12:$AT$572</definedName>
    <definedName name="_xlnm._FilterDatabase" localSheetId="9" hidden="1">项目基本情况!$A$48:$N$48</definedName>
    <definedName name="a">'[1]不动产比较法-办公'!$B$115:$M$115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2" i="74" l="1"/>
  <c r="H62" i="74" l="1"/>
  <c r="I62" i="74" s="1"/>
  <c r="H66" i="74"/>
  <c r="I66" i="74" s="1"/>
  <c r="H60" i="74"/>
  <c r="I60" i="74" s="1"/>
  <c r="J86" i="74" l="1"/>
  <c r="K86" i="74" s="1"/>
  <c r="J78" i="74"/>
  <c r="J70" i="74"/>
  <c r="K70" i="74" s="1"/>
  <c r="K66" i="74"/>
  <c r="J66" i="74"/>
  <c r="J62" i="74"/>
  <c r="J60" i="74"/>
  <c r="G87" i="74"/>
  <c r="G86" i="74"/>
  <c r="H86" i="74" s="1"/>
  <c r="I86" i="74" s="1"/>
  <c r="G85" i="74"/>
  <c r="H85" i="74" s="1"/>
  <c r="I85" i="74" s="1"/>
  <c r="G83" i="74"/>
  <c r="H83" i="74" s="1"/>
  <c r="I83" i="74" s="1"/>
  <c r="G81" i="74"/>
  <c r="H81" i="74" s="1"/>
  <c r="I81" i="74" s="1"/>
  <c r="G79" i="74"/>
  <c r="G78" i="74"/>
  <c r="H78" i="74" s="1"/>
  <c r="I78" i="74" s="1"/>
  <c r="G77" i="74"/>
  <c r="G75" i="74"/>
  <c r="H75" i="74" s="1"/>
  <c r="I75" i="74" s="1"/>
  <c r="G73" i="74"/>
  <c r="G71" i="74"/>
  <c r="H71" i="74" s="1"/>
  <c r="I71" i="74" s="1"/>
  <c r="G70" i="74"/>
  <c r="H70" i="74" s="1"/>
  <c r="I70" i="74" s="1"/>
  <c r="G69" i="74"/>
  <c r="G68" i="74"/>
  <c r="H68" i="74" s="1"/>
  <c r="I68" i="74" s="1"/>
  <c r="G67" i="74"/>
  <c r="F88" i="74"/>
  <c r="F87" i="74"/>
  <c r="F86" i="74"/>
  <c r="F85" i="74"/>
  <c r="F83" i="74"/>
  <c r="F84" i="74" s="1"/>
  <c r="F82" i="74"/>
  <c r="F81" i="74"/>
  <c r="F80" i="74"/>
  <c r="F79" i="74"/>
  <c r="F78" i="74"/>
  <c r="F77" i="74"/>
  <c r="F76" i="74"/>
  <c r="F75" i="74"/>
  <c r="F74" i="74"/>
  <c r="F73" i="74"/>
  <c r="F72" i="74"/>
  <c r="F71" i="74"/>
  <c r="F70" i="74"/>
  <c r="F69" i="74"/>
  <c r="F68" i="74"/>
  <c r="F67" i="74"/>
  <c r="G65" i="74"/>
  <c r="G64" i="74"/>
  <c r="H64" i="74" s="1"/>
  <c r="I64" i="74" s="1"/>
  <c r="G63" i="74"/>
  <c r="G61" i="74"/>
  <c r="H61" i="74" s="1"/>
  <c r="I61" i="74" s="1"/>
  <c r="F66" i="74"/>
  <c r="F65" i="74"/>
  <c r="F64" i="74"/>
  <c r="F63" i="74"/>
  <c r="F61" i="74"/>
  <c r="H67" i="74" l="1"/>
  <c r="I67" i="74"/>
  <c r="H69" i="74"/>
  <c r="I69" i="74" s="1"/>
  <c r="H73" i="74"/>
  <c r="I73" i="74" s="1"/>
  <c r="S75" i="74"/>
  <c r="M75" i="74" s="1"/>
  <c r="H77" i="74"/>
  <c r="I77" i="74" s="1"/>
  <c r="H79" i="74"/>
  <c r="I79" i="74"/>
  <c r="S83" i="74"/>
  <c r="M83" i="74" s="1"/>
  <c r="H87" i="74"/>
  <c r="I87" i="74" s="1"/>
  <c r="S62" i="74"/>
  <c r="M62" i="74" s="1"/>
  <c r="J71" i="74"/>
  <c r="S71" i="74" s="1"/>
  <c r="M71" i="74" s="1"/>
  <c r="K64" i="74"/>
  <c r="J75" i="74"/>
  <c r="J83" i="74"/>
  <c r="H63" i="74"/>
  <c r="I63" i="74" s="1"/>
  <c r="H65" i="74"/>
  <c r="I65" i="74" s="1"/>
  <c r="S70" i="74"/>
  <c r="M70" i="74" s="1"/>
  <c r="G72" i="74"/>
  <c r="H72" i="74" s="1"/>
  <c r="I72" i="74" s="1"/>
  <c r="G74" i="74"/>
  <c r="H74" i="74" s="1"/>
  <c r="I74" i="74" s="1"/>
  <c r="G76" i="74"/>
  <c r="H76" i="74" s="1"/>
  <c r="I76" i="74" s="1"/>
  <c r="S78" i="74"/>
  <c r="M78" i="74" s="1"/>
  <c r="G80" i="74"/>
  <c r="H80" i="74" s="1"/>
  <c r="I80" i="74" s="1"/>
  <c r="G82" i="74"/>
  <c r="H82" i="74" s="1"/>
  <c r="I82" i="74" s="1"/>
  <c r="G84" i="74"/>
  <c r="H84" i="74" s="1"/>
  <c r="I84" i="74" s="1"/>
  <c r="S86" i="74"/>
  <c r="M86" i="74" s="1"/>
  <c r="G88" i="74"/>
  <c r="H88" i="74" s="1"/>
  <c r="I88" i="74" s="1"/>
  <c r="J61" i="74"/>
  <c r="K62" i="74"/>
  <c r="S66" i="74"/>
  <c r="M66" i="74" s="1"/>
  <c r="K71" i="74"/>
  <c r="L78" i="74"/>
  <c r="K78" i="74"/>
  <c r="J64" i="74"/>
  <c r="L64" i="74" s="1"/>
  <c r="J68" i="74"/>
  <c r="K75" i="74"/>
  <c r="J81" i="74"/>
  <c r="K83" i="74"/>
  <c r="J85" i="74"/>
  <c r="L66" i="74"/>
  <c r="L71" i="74"/>
  <c r="L75" i="74"/>
  <c r="N75" i="74" s="1"/>
  <c r="P75" i="74" s="1"/>
  <c r="Q75" i="74" s="1"/>
  <c r="L83" i="74"/>
  <c r="N83" i="74" s="1"/>
  <c r="P83" i="74" s="1"/>
  <c r="Q83" i="74" s="1"/>
  <c r="L62" i="74"/>
  <c r="N62" i="74" s="1"/>
  <c r="P62" i="74" s="1"/>
  <c r="Q62" i="74" s="1"/>
  <c r="L70" i="74"/>
  <c r="N70" i="74" s="1"/>
  <c r="P70" i="74" s="1"/>
  <c r="Q70" i="74" s="1"/>
  <c r="L86" i="74"/>
  <c r="K60" i="74"/>
  <c r="S60" i="74" s="1"/>
  <c r="M60" i="74" s="1"/>
  <c r="F60" i="74"/>
  <c r="F89" i="74" s="1"/>
  <c r="S85" i="74" l="1"/>
  <c r="M85" i="74" s="1"/>
  <c r="J65" i="74"/>
  <c r="J69" i="74"/>
  <c r="S69" i="74" s="1"/>
  <c r="M69" i="74" s="1"/>
  <c r="K69" i="74"/>
  <c r="L69" i="74" s="1"/>
  <c r="L82" i="74"/>
  <c r="J63" i="74"/>
  <c r="K63" i="74" s="1"/>
  <c r="S63" i="74"/>
  <c r="M63" i="74" s="1"/>
  <c r="L63" i="74"/>
  <c r="J87" i="74"/>
  <c r="K87" i="74" s="1"/>
  <c r="J77" i="74"/>
  <c r="J73" i="74"/>
  <c r="N71" i="74"/>
  <c r="P71" i="74" s="1"/>
  <c r="Q71" i="74" s="1"/>
  <c r="K68" i="74"/>
  <c r="L68" i="74" s="1"/>
  <c r="K85" i="74"/>
  <c r="K81" i="74"/>
  <c r="S81" i="74" s="1"/>
  <c r="M81" i="74" s="1"/>
  <c r="L85" i="74"/>
  <c r="N85" i="74" s="1"/>
  <c r="P85" i="74" s="1"/>
  <c r="Q85" i="74" s="1"/>
  <c r="J79" i="74"/>
  <c r="S79" i="74"/>
  <c r="M79" i="74" s="1"/>
  <c r="K79" i="74"/>
  <c r="L79" i="74"/>
  <c r="J67" i="74"/>
  <c r="S67" i="74"/>
  <c r="M67" i="74" s="1"/>
  <c r="K67" i="74"/>
  <c r="L67" i="74"/>
  <c r="N67" i="74" s="1"/>
  <c r="P67" i="74" s="1"/>
  <c r="Q67" i="74" s="1"/>
  <c r="S64" i="74"/>
  <c r="M64" i="74" s="1"/>
  <c r="N64" i="74" s="1"/>
  <c r="P64" i="74" s="1"/>
  <c r="Q64" i="74" s="1"/>
  <c r="N86" i="74"/>
  <c r="P86" i="74" s="1"/>
  <c r="Q86" i="74" s="1"/>
  <c r="K61" i="74"/>
  <c r="S61" i="74" s="1"/>
  <c r="M61" i="74" s="1"/>
  <c r="L81" i="74"/>
  <c r="N66" i="74"/>
  <c r="P66" i="74" s="1"/>
  <c r="Q66" i="74" s="1"/>
  <c r="N78" i="74"/>
  <c r="P78" i="74" s="1"/>
  <c r="Q78" i="74" s="1"/>
  <c r="J88" i="74"/>
  <c r="J84" i="74"/>
  <c r="J80" i="74"/>
  <c r="J76" i="74"/>
  <c r="J72" i="74"/>
  <c r="S82" i="74"/>
  <c r="M82" i="74" s="1"/>
  <c r="J82" i="74"/>
  <c r="K82" i="74" s="1"/>
  <c r="J74" i="74"/>
  <c r="L61" i="74"/>
  <c r="L60" i="74"/>
  <c r="N60" i="74" s="1"/>
  <c r="P60" i="74" s="1"/>
  <c r="Q60" i="74" s="1"/>
  <c r="G5" i="79"/>
  <c r="S77" i="74" l="1"/>
  <c r="M77" i="74" s="1"/>
  <c r="K76" i="74"/>
  <c r="L76" i="74" s="1"/>
  <c r="N76" i="74" s="1"/>
  <c r="P76" i="74" s="1"/>
  <c r="Q76" i="74" s="1"/>
  <c r="K73" i="74"/>
  <c r="L73" i="74" s="1"/>
  <c r="K77" i="74"/>
  <c r="N69" i="74"/>
  <c r="P69" i="74" s="1"/>
  <c r="Q69" i="74" s="1"/>
  <c r="K65" i="74"/>
  <c r="S65" i="74" s="1"/>
  <c r="M65" i="74" s="1"/>
  <c r="K74" i="74"/>
  <c r="S74" i="74" s="1"/>
  <c r="M74" i="74" s="1"/>
  <c r="L74" i="74"/>
  <c r="N74" i="74" s="1"/>
  <c r="P74" i="74" s="1"/>
  <c r="Q74" i="74" s="1"/>
  <c r="S68" i="74"/>
  <c r="M68" i="74" s="1"/>
  <c r="S76" i="74"/>
  <c r="M76" i="74" s="1"/>
  <c r="N79" i="74"/>
  <c r="P79" i="74" s="1"/>
  <c r="Q79" i="74" s="1"/>
  <c r="L77" i="74"/>
  <c r="N77" i="74" s="1"/>
  <c r="P77" i="74" s="1"/>
  <c r="Q77" i="74" s="1"/>
  <c r="L87" i="74"/>
  <c r="S87" i="74"/>
  <c r="M87" i="74" s="1"/>
  <c r="N87" i="74" s="1"/>
  <c r="P87" i="74" s="1"/>
  <c r="Q87" i="74" s="1"/>
  <c r="N63" i="74"/>
  <c r="P63" i="74" s="1"/>
  <c r="Q63" i="74" s="1"/>
  <c r="L65" i="74"/>
  <c r="N61" i="74"/>
  <c r="P61" i="74" s="1"/>
  <c r="Q61" i="74" s="1"/>
  <c r="K72" i="74"/>
  <c r="S72" i="74" s="1"/>
  <c r="M72" i="74" s="1"/>
  <c r="K80" i="74"/>
  <c r="S80" i="74" s="1"/>
  <c r="M80" i="74" s="1"/>
  <c r="K84" i="74"/>
  <c r="S84" i="74" s="1"/>
  <c r="M84" i="74" s="1"/>
  <c r="K88" i="74"/>
  <c r="S88" i="74" s="1"/>
  <c r="M88" i="74" s="1"/>
  <c r="N81" i="74"/>
  <c r="P81" i="74" s="1"/>
  <c r="Q81"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N65" i="74" l="1"/>
  <c r="P65" i="74" s="1"/>
  <c r="Q65" i="74" s="1"/>
  <c r="L88" i="74"/>
  <c r="N88" i="74" s="1"/>
  <c r="P88" i="74" s="1"/>
  <c r="Q88" i="74" s="1"/>
  <c r="L84" i="74"/>
  <c r="N84" i="74" s="1"/>
  <c r="P84" i="74" s="1"/>
  <c r="Q84" i="74" s="1"/>
  <c r="L80" i="74"/>
  <c r="N80" i="74" s="1"/>
  <c r="P80" i="74" s="1"/>
  <c r="Q80" i="74" s="1"/>
  <c r="L72" i="74"/>
  <c r="N72" i="74" s="1"/>
  <c r="P72" i="74" s="1"/>
  <c r="Q72" i="74" s="1"/>
  <c r="S73" i="74"/>
  <c r="M73" i="74" s="1"/>
  <c r="N73" i="74"/>
  <c r="P73" i="74" s="1"/>
  <c r="Q73" i="74" s="1"/>
  <c r="K2" i="79"/>
  <c r="J47" i="74"/>
  <c r="J51" i="74"/>
  <c r="J49" i="74"/>
  <c r="K49" i="74" s="1"/>
  <c r="L49" i="74" s="1"/>
  <c r="J52" i="74"/>
  <c r="J50" i="74"/>
  <c r="K50" i="74" s="1"/>
  <c r="J48" i="74"/>
  <c r="Q89" i="74" l="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s="1"/>
  <c r="P48" i="74" s="1"/>
  <c r="Q48" i="74" s="1"/>
  <c r="N52" i="74" l="1"/>
  <c r="P52" i="74" s="1"/>
  <c r="Q52" i="74" s="1"/>
  <c r="Q53" i="74" s="1"/>
  <c r="D24" i="75" l="1"/>
  <c r="D19" i="75"/>
  <c r="E11" i="75"/>
  <c r="E10" i="75"/>
  <c r="C12" i="75" l="1"/>
  <c r="C14" i="75" s="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D42" i="73" l="1"/>
  <c r="F42" i="73" s="1"/>
  <c r="F29" i="73"/>
  <c r="F44" i="73" s="1"/>
  <c r="D7" i="78" s="1"/>
  <c r="O12" i="74"/>
  <c r="O11" i="74"/>
  <c r="O10" i="74"/>
  <c r="O9" i="74"/>
  <c r="O8" i="74"/>
  <c r="H13" i="74"/>
  <c r="I13" i="74" s="1"/>
  <c r="H14" i="74"/>
  <c r="I14" i="74" s="1"/>
  <c r="H18" i="74"/>
  <c r="H20" i="74"/>
  <c r="H22" i="74"/>
  <c r="H24" i="74"/>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I24" i="74" s="1"/>
  <c r="G23" i="74"/>
  <c r="G22" i="74"/>
  <c r="I22" i="74" s="1"/>
  <c r="G21" i="74"/>
  <c r="G20" i="74"/>
  <c r="I20" i="74" s="1"/>
  <c r="G19" i="74"/>
  <c r="G18" i="74"/>
  <c r="I18" i="74" s="1"/>
  <c r="G17" i="74"/>
  <c r="G16" i="74"/>
  <c r="G15" i="74"/>
  <c r="G12" i="74"/>
  <c r="G11" i="74"/>
  <c r="G10" i="74"/>
  <c r="G9" i="74"/>
  <c r="H9" i="74" s="1"/>
  <c r="H3" i="74"/>
  <c r="I3" i="74" s="1"/>
  <c r="H17" i="74" l="1"/>
  <c r="I17" i="74" s="1"/>
  <c r="H19" i="74"/>
  <c r="I19" i="74" s="1"/>
  <c r="H21" i="74"/>
  <c r="I21" i="74" s="1"/>
  <c r="H25" i="74"/>
  <c r="I25" i="74" s="1"/>
  <c r="H30" i="74"/>
  <c r="I30" i="74" s="1"/>
  <c r="H32" i="74"/>
  <c r="I32" i="74" s="1"/>
  <c r="H34" i="74"/>
  <c r="I34" i="74" s="1"/>
  <c r="H36" i="74"/>
  <c r="I36" i="74" s="1"/>
  <c r="H11" i="74"/>
  <c r="I11" i="74" s="1"/>
  <c r="J8" i="74"/>
  <c r="K8" i="74" s="1"/>
  <c r="J6" i="74"/>
  <c r="K6" i="74" s="1"/>
  <c r="J4" i="74"/>
  <c r="S4" i="74" s="1"/>
  <c r="M4" i="74" s="1"/>
  <c r="S28" i="74"/>
  <c r="M28" i="74" s="1"/>
  <c r="J28" i="74"/>
  <c r="K28" i="74" s="1"/>
  <c r="S26" i="74"/>
  <c r="M26" i="74" s="1"/>
  <c r="J26" i="74"/>
  <c r="K26" i="74" s="1"/>
  <c r="J13" i="74"/>
  <c r="K13" i="74" s="1"/>
  <c r="I9" i="74"/>
  <c r="H15" i="74"/>
  <c r="I15" i="74" s="1"/>
  <c r="H23" i="74"/>
  <c r="I23" i="74" s="1"/>
  <c r="H40" i="74"/>
  <c r="I40" i="74" s="1"/>
  <c r="J7" i="74"/>
  <c r="K7" i="74" s="1"/>
  <c r="S7" i="74"/>
  <c r="M7" i="74" s="1"/>
  <c r="J5" i="74"/>
  <c r="K5" i="74" s="1"/>
  <c r="S5" i="74"/>
  <c r="M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8" i="74"/>
  <c r="N28" i="74" s="1"/>
  <c r="P28" i="74" s="1"/>
  <c r="Q28" i="74" s="1"/>
  <c r="L26" i="74"/>
  <c r="N26" i="74" s="1"/>
  <c r="P26" i="74" s="1"/>
  <c r="Q26" i="74" s="1"/>
  <c r="L27" i="74"/>
  <c r="J24" i="74"/>
  <c r="J22" i="74"/>
  <c r="J20" i="74"/>
  <c r="J18" i="74"/>
  <c r="K4" i="74"/>
  <c r="L14" i="74"/>
  <c r="L13" i="74"/>
  <c r="L8" i="74"/>
  <c r="L7" i="74"/>
  <c r="N7" i="74" s="1"/>
  <c r="P7" i="74" s="1"/>
  <c r="Q7" i="74" s="1"/>
  <c r="L6" i="74"/>
  <c r="L5" i="74"/>
  <c r="N5" i="74" s="1"/>
  <c r="P5" i="74" s="1"/>
  <c r="Q5" i="74" s="1"/>
  <c r="L4" i="74"/>
  <c r="N4" i="74" s="1"/>
  <c r="P4" i="74" s="1"/>
  <c r="Q4" i="74" s="1"/>
  <c r="J3" i="74"/>
  <c r="D5" i="9"/>
  <c r="Y7" i="1"/>
  <c r="Y8" i="1"/>
  <c r="Y9" i="1"/>
  <c r="Y10" i="1"/>
  <c r="Y11" i="1"/>
  <c r="Y12" i="1"/>
  <c r="Y6" i="1"/>
  <c r="B43" i="1"/>
  <c r="B41" i="1"/>
  <c r="F32" i="72" s="1"/>
  <c r="F59" i="72" s="1"/>
  <c r="F15" i="72"/>
  <c r="F17" i="72"/>
  <c r="F18" i="72"/>
  <c r="F20" i="72"/>
  <c r="B22" i="1"/>
  <c r="C2" i="65" s="1"/>
  <c r="I1" i="65" s="1"/>
  <c r="F23" i="72"/>
  <c r="F21" i="72"/>
  <c r="F33" i="72"/>
  <c r="B52" i="1"/>
  <c r="F34" i="72"/>
  <c r="F61" i="72" s="1"/>
  <c r="AE13" i="1"/>
  <c r="M47" i="72"/>
  <c r="J50" i="72"/>
  <c r="J51" i="72"/>
  <c r="K59" i="72"/>
  <c r="P75" i="72"/>
  <c r="Q73" i="72"/>
  <c r="D60" i="72"/>
  <c r="F60" i="72"/>
  <c r="P62" i="72"/>
  <c r="Q60" i="72"/>
  <c r="Q59" i="72"/>
  <c r="Q52" i="72"/>
  <c r="M18" i="72"/>
  <c r="M20" i="72"/>
  <c r="D24" i="72"/>
  <c r="D23" i="72"/>
  <c r="D22" i="72"/>
  <c r="M19" i="72"/>
  <c r="F32" i="71"/>
  <c r="F15" i="71"/>
  <c r="F17" i="71"/>
  <c r="F18" i="71"/>
  <c r="F20" i="71"/>
  <c r="F23" i="71"/>
  <c r="D23" i="71" s="1"/>
  <c r="F21" i="71"/>
  <c r="F28" i="71"/>
  <c r="F33" i="71"/>
  <c r="F34" i="71"/>
  <c r="M47" i="71"/>
  <c r="J50" i="71"/>
  <c r="J51" i="71"/>
  <c r="K59" i="71"/>
  <c r="P75" i="71"/>
  <c r="Q73" i="71"/>
  <c r="F59" i="71"/>
  <c r="D60" i="71"/>
  <c r="F60" i="71"/>
  <c r="F61" i="71"/>
  <c r="P62" i="71"/>
  <c r="Q60" i="71"/>
  <c r="Q59" i="71"/>
  <c r="Q52" i="71"/>
  <c r="M18" i="71"/>
  <c r="M20" i="71"/>
  <c r="D24" i="71"/>
  <c r="M19" i="71"/>
  <c r="F32" i="70"/>
  <c r="F59" i="70" s="1"/>
  <c r="F15" i="70"/>
  <c r="F17" i="70"/>
  <c r="F18" i="70"/>
  <c r="F20" i="70"/>
  <c r="F23" i="70"/>
  <c r="D23" i="70" s="1"/>
  <c r="F21" i="70"/>
  <c r="F28" i="70"/>
  <c r="F33" i="70"/>
  <c r="F34" i="70"/>
  <c r="M47" i="70"/>
  <c r="J50" i="70"/>
  <c r="J51" i="70" s="1"/>
  <c r="K59" i="70"/>
  <c r="P75" i="70" s="1"/>
  <c r="Q73" i="70"/>
  <c r="D60" i="70"/>
  <c r="F60" i="70"/>
  <c r="F61" i="70"/>
  <c r="Q60" i="70"/>
  <c r="Q59" i="70"/>
  <c r="Q52" i="70"/>
  <c r="M18" i="70"/>
  <c r="M20" i="70"/>
  <c r="D24" i="70"/>
  <c r="D22" i="70"/>
  <c r="M19" i="70"/>
  <c r="F32" i="69"/>
  <c r="F15" i="69"/>
  <c r="F17" i="69"/>
  <c r="F18" i="69"/>
  <c r="F20" i="69"/>
  <c r="F23" i="69"/>
  <c r="D23" i="69" s="1"/>
  <c r="F21" i="69"/>
  <c r="F28" i="69"/>
  <c r="F33" i="69"/>
  <c r="F34" i="69"/>
  <c r="M47" i="69"/>
  <c r="J50" i="69"/>
  <c r="J51" i="69"/>
  <c r="K59" i="69"/>
  <c r="P75" i="69"/>
  <c r="Q73" i="69"/>
  <c r="F59" i="69"/>
  <c r="D60" i="69"/>
  <c r="F60" i="69"/>
  <c r="F61" i="69"/>
  <c r="P62" i="69"/>
  <c r="Q60" i="69"/>
  <c r="Q59" i="69"/>
  <c r="Q52" i="69"/>
  <c r="M18" i="69"/>
  <c r="M20" i="69"/>
  <c r="D24" i="69"/>
  <c r="M19" i="69"/>
  <c r="F32" i="68"/>
  <c r="F59" i="68" s="1"/>
  <c r="F15" i="68"/>
  <c r="F17" i="68"/>
  <c r="F18" i="68"/>
  <c r="F20" i="68"/>
  <c r="F23" i="68"/>
  <c r="D23" i="68" s="1"/>
  <c r="F21" i="68"/>
  <c r="F28" i="68"/>
  <c r="F33" i="68"/>
  <c r="F34" i="68"/>
  <c r="M47" i="68"/>
  <c r="J50" i="68"/>
  <c r="J51" i="68" s="1"/>
  <c r="K59" i="68"/>
  <c r="P75" i="68" s="1"/>
  <c r="Q73" i="68"/>
  <c r="D60" i="68"/>
  <c r="F60" i="68"/>
  <c r="F61" i="68"/>
  <c r="Q60" i="68"/>
  <c r="Q59" i="68"/>
  <c r="Q52" i="68"/>
  <c r="M18" i="68"/>
  <c r="M20" i="68"/>
  <c r="D24" i="68"/>
  <c r="D22" i="68"/>
  <c r="M19" i="68"/>
  <c r="D7" i="59"/>
  <c r="AH5" i="59"/>
  <c r="AG5" i="59"/>
  <c r="AE5" i="59"/>
  <c r="AF5" i="59" s="1"/>
  <c r="AD5" i="59"/>
  <c r="Q5" i="59"/>
  <c r="P5" i="59"/>
  <c r="O5" i="59"/>
  <c r="N5" i="59"/>
  <c r="I3" i="59"/>
  <c r="L3" i="59"/>
  <c r="K3" i="59"/>
  <c r="J3" i="59"/>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L14" i="3" s="1"/>
  <c r="AZ14" i="3" s="1"/>
  <c r="BO14" i="3"/>
  <c r="BP14" i="3"/>
  <c r="BQ14" i="3"/>
  <c r="BR14" i="3"/>
  <c r="BS14" i="3"/>
  <c r="BT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L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E6" i="59"/>
  <c r="AF6" i="59" s="1"/>
  <c r="AG6" i="59"/>
  <c r="AH6" i="59"/>
  <c r="AD6" i="59"/>
  <c r="Q6" i="59"/>
  <c r="Q7" i="59"/>
  <c r="AB5" i="59" s="1"/>
  <c r="Q8" i="59"/>
  <c r="Q9" i="59"/>
  <c r="Q10" i="59"/>
  <c r="Q11" i="59"/>
  <c r="Q12" i="59"/>
  <c r="Q13" i="59"/>
  <c r="Q14" i="59"/>
  <c r="Q15" i="59"/>
  <c r="Q16" i="59"/>
  <c r="Q17" i="59"/>
  <c r="Q18" i="59"/>
  <c r="Q19" i="59"/>
  <c r="Q20" i="59"/>
  <c r="Q21" i="59"/>
  <c r="P6" i="59"/>
  <c r="AA6" i="59" s="1"/>
  <c r="P7" i="59"/>
  <c r="P8" i="59"/>
  <c r="P9" i="59"/>
  <c r="P10" i="59"/>
  <c r="E10" i="59" s="1"/>
  <c r="P11" i="59"/>
  <c r="P12" i="59"/>
  <c r="P13" i="59"/>
  <c r="P14" i="59"/>
  <c r="P15" i="59"/>
  <c r="P16" i="59"/>
  <c r="P17" i="59"/>
  <c r="P18" i="59"/>
  <c r="P19" i="59"/>
  <c r="P20" i="59"/>
  <c r="P21" i="59"/>
  <c r="AA5" i="59"/>
  <c r="O6" i="59"/>
  <c r="O7" i="59"/>
  <c r="Y5" i="59" s="1"/>
  <c r="Z5" i="59" s="1"/>
  <c r="O8" i="59"/>
  <c r="O9" i="59"/>
  <c r="O10" i="59"/>
  <c r="O11" i="59"/>
  <c r="O12" i="59"/>
  <c r="O13" i="59"/>
  <c r="O14" i="59"/>
  <c r="O15" i="59"/>
  <c r="O16" i="59"/>
  <c r="O17" i="59"/>
  <c r="O18" i="59"/>
  <c r="O19" i="59"/>
  <c r="O20" i="59"/>
  <c r="O21" i="59"/>
  <c r="N6" i="59"/>
  <c r="N7" i="59"/>
  <c r="X5" i="59" s="1"/>
  <c r="N8" i="59"/>
  <c r="N9" i="59"/>
  <c r="N10" i="59"/>
  <c r="N11" i="59"/>
  <c r="N12" i="59"/>
  <c r="N13" i="59"/>
  <c r="N14" i="59"/>
  <c r="N15" i="59"/>
  <c r="N16" i="59"/>
  <c r="N17" i="59"/>
  <c r="N18" i="59"/>
  <c r="N19" i="59"/>
  <c r="N20" i="59"/>
  <c r="N21" i="59"/>
  <c r="L4" i="9"/>
  <c r="M4" i="9"/>
  <c r="A30" i="51"/>
  <c r="K59" i="15"/>
  <c r="P62" i="15"/>
  <c r="P75" i="15"/>
  <c r="Q74" i="44"/>
  <c r="Q61" i="44"/>
  <c r="Q60" i="44"/>
  <c r="Q53" i="44"/>
  <c r="J51" i="44"/>
  <c r="J52" i="44" s="1"/>
  <c r="M48" i="44"/>
  <c r="A16" i="55"/>
  <c r="A15" i="55"/>
  <c r="A14" i="55"/>
  <c r="A11" i="55"/>
  <c r="A10" i="55"/>
  <c r="A9" i="55"/>
  <c r="A8" i="55"/>
  <c r="A6" i="54"/>
  <c r="A8" i="54"/>
  <c r="A7" i="54"/>
  <c r="C57" i="10"/>
  <c r="A28" i="51"/>
  <c r="A27" i="51"/>
  <c r="D5" i="46"/>
  <c r="Y6" i="59"/>
  <c r="Z6" i="59" s="1"/>
  <c r="X6" i="59"/>
  <c r="B10" i="59"/>
  <c r="S10" i="59" s="1"/>
  <c r="C10" i="59"/>
  <c r="D10" i="59"/>
  <c r="F10" i="59"/>
  <c r="F9" i="59" s="1"/>
  <c r="F8" i="59" s="1"/>
  <c r="K75" i="9"/>
  <c r="K6" i="4"/>
  <c r="O76" i="9" s="1"/>
  <c r="L76" i="9"/>
  <c r="B22" i="31"/>
  <c r="E15" i="66"/>
  <c r="F15" i="66"/>
  <c r="E16" i="66"/>
  <c r="F16" i="66"/>
  <c r="E17" i="66"/>
  <c r="F17" i="66"/>
  <c r="E18" i="66"/>
  <c r="F18" i="66"/>
  <c r="E19" i="66"/>
  <c r="F19" i="66"/>
  <c r="E20" i="66"/>
  <c r="F20" i="66"/>
  <c r="E21" i="66"/>
  <c r="F21" i="66"/>
  <c r="E22" i="66"/>
  <c r="F22" i="66"/>
  <c r="E23" i="66"/>
  <c r="F23" i="66"/>
  <c r="B3" i="66"/>
  <c r="V10" i="59"/>
  <c r="T10" i="59"/>
  <c r="B9" i="59"/>
  <c r="B8" i="59" s="1"/>
  <c r="B6" i="59"/>
  <c r="S6" i="59" s="1"/>
  <c r="E6" i="59"/>
  <c r="C9" i="59"/>
  <c r="C8" i="59" s="1"/>
  <c r="D8" i="59" s="1"/>
  <c r="F6" i="59"/>
  <c r="F5" i="59"/>
  <c r="V6" i="59"/>
  <c r="E5" i="59"/>
  <c r="U6" i="59"/>
  <c r="B5" i="59"/>
  <c r="D9" i="59"/>
  <c r="AD3" i="59"/>
  <c r="AE3" i="59"/>
  <c r="AF3" i="59"/>
  <c r="AG3" i="59"/>
  <c r="AH3"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S2" i="31"/>
  <c r="M2" i="31"/>
  <c r="N2" i="31"/>
  <c r="O2" i="31"/>
  <c r="P2" i="31"/>
  <c r="Q2" i="31"/>
  <c r="R2" i="31"/>
  <c r="C6" i="59"/>
  <c r="D6" i="59" s="1"/>
  <c r="C3" i="65"/>
  <c r="C1" i="65"/>
  <c r="N1" i="65" s="1"/>
  <c r="C5" i="59"/>
  <c r="D5" i="59" s="1"/>
  <c r="T6" i="59"/>
  <c r="B2" i="1"/>
  <c r="C42" i="1" s="1"/>
  <c r="G19" i="46"/>
  <c r="D11" i="59"/>
  <c r="B12" i="59"/>
  <c r="C12" i="59"/>
  <c r="D12" i="59" s="1"/>
  <c r="E12" i="59"/>
  <c r="E13" i="59" s="1"/>
  <c r="E14" i="59" s="1"/>
  <c r="U14" i="59" s="1"/>
  <c r="F12" i="59"/>
  <c r="B13" i="59"/>
  <c r="B14" i="59" s="1"/>
  <c r="F13" i="59"/>
  <c r="F14" i="59" s="1"/>
  <c r="D15" i="59"/>
  <c r="B16" i="59"/>
  <c r="C16" i="59"/>
  <c r="D16" i="59" s="1"/>
  <c r="E16" i="59"/>
  <c r="E17" i="59" s="1"/>
  <c r="E18" i="59" s="1"/>
  <c r="F16" i="59"/>
  <c r="B17" i="59"/>
  <c r="B18" i="59" s="1"/>
  <c r="S18" i="59" s="1"/>
  <c r="F17" i="59"/>
  <c r="F18" i="59" s="1"/>
  <c r="D19" i="59"/>
  <c r="B20" i="59"/>
  <c r="C20" i="59"/>
  <c r="D20" i="59" s="1"/>
  <c r="E20" i="59"/>
  <c r="E21" i="59" s="1"/>
  <c r="E22" i="59" s="1"/>
  <c r="F20" i="59"/>
  <c r="B21" i="59"/>
  <c r="B22" i="59" s="1"/>
  <c r="S22" i="59" s="1"/>
  <c r="F21" i="59"/>
  <c r="F22" i="59" s="1"/>
  <c r="M19" i="46" s="1"/>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A21" i="64"/>
  <c r="B75" i="63" s="1"/>
  <c r="B73" i="63"/>
  <c r="A28" i="64"/>
  <c r="A27" i="64"/>
  <c r="A15" i="64"/>
  <c r="A14" i="64"/>
  <c r="A11" i="64"/>
  <c r="A3" i="64"/>
  <c r="A45" i="9"/>
  <c r="A44" i="9"/>
  <c r="K39" i="9" s="1"/>
  <c r="C56" i="10"/>
  <c r="C55" i="10"/>
  <c r="C54" i="10"/>
  <c r="B49" i="63"/>
  <c r="B44" i="63"/>
  <c r="B40" i="63"/>
  <c r="B30" i="63"/>
  <c r="B27" i="63"/>
  <c r="B25" i="63"/>
  <c r="A11" i="51"/>
  <c r="A26" i="64"/>
  <c r="A26" i="51"/>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s="1"/>
  <c r="E5" i="54"/>
  <c r="B32" i="63" s="1"/>
  <c r="R2" i="54"/>
  <c r="B24" i="63" s="1"/>
  <c r="B19" i="63"/>
  <c r="B49" i="50"/>
  <c r="B5" i="63"/>
  <c r="B40" i="50"/>
  <c r="B3" i="63"/>
  <c r="N4" i="63"/>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B49" i="59"/>
  <c r="N49" i="59" s="1"/>
  <c r="D47" i="59"/>
  <c r="Q46" i="59"/>
  <c r="P46" i="59"/>
  <c r="O46" i="59"/>
  <c r="N46" i="59"/>
  <c r="Q45" i="59"/>
  <c r="P45" i="59"/>
  <c r="O45" i="59"/>
  <c r="N45" i="59"/>
  <c r="Q44" i="59"/>
  <c r="P44" i="59"/>
  <c r="O44" i="59"/>
  <c r="N44" i="59"/>
  <c r="Q43" i="59"/>
  <c r="F44" i="59"/>
  <c r="P43" i="59"/>
  <c r="E44" i="59"/>
  <c r="E45" i="59" s="1"/>
  <c r="E46" i="59"/>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c r="E42" i="59" s="1"/>
  <c r="U42" i="59" s="1"/>
  <c r="O39" i="59"/>
  <c r="C40" i="59"/>
  <c r="N39" i="59"/>
  <c r="B40" i="59"/>
  <c r="B41" i="59" s="1"/>
  <c r="B42" i="59"/>
  <c r="S42" i="59" s="1"/>
  <c r="D39" i="59"/>
  <c r="Q38" i="59"/>
  <c r="P38" i="59"/>
  <c r="O38" i="59"/>
  <c r="N38" i="59"/>
  <c r="Q37" i="59"/>
  <c r="P37" i="59"/>
  <c r="O37" i="59"/>
  <c r="N37" i="59"/>
  <c r="Q36" i="59"/>
  <c r="P36" i="59"/>
  <c r="O36" i="59"/>
  <c r="N36" i="59"/>
  <c r="Q35" i="59"/>
  <c r="F36" i="59"/>
  <c r="P35" i="59"/>
  <c r="E36" i="59"/>
  <c r="E37" i="59" s="1"/>
  <c r="E38" i="59"/>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D31" i="59"/>
  <c r="T30" i="59"/>
  <c r="Q30" i="59"/>
  <c r="P30" i="59"/>
  <c r="O30" i="59"/>
  <c r="N30" i="59"/>
  <c r="D30" i="59"/>
  <c r="Q29" i="59"/>
  <c r="P29" i="59"/>
  <c r="O29" i="59"/>
  <c r="N29" i="59"/>
  <c r="Q28" i="59"/>
  <c r="P28" i="59"/>
  <c r="O28" i="59"/>
  <c r="C29" i="59" s="1"/>
  <c r="D29" i="59" s="1"/>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c r="P23" i="59"/>
  <c r="E24" i="59"/>
  <c r="E25" i="59" s="1"/>
  <c r="E26" i="59"/>
  <c r="U26" i="59" s="1"/>
  <c r="O23" i="59"/>
  <c r="C24" i="59" s="1"/>
  <c r="N23" i="59"/>
  <c r="B24" i="59" s="1"/>
  <c r="B25" i="59" s="1"/>
  <c r="B26" i="59" s="1"/>
  <c r="S26" i="59" s="1"/>
  <c r="D23" i="59"/>
  <c r="Q22" i="59"/>
  <c r="P22" i="59"/>
  <c r="O22" i="59"/>
  <c r="N22" i="59"/>
  <c r="AB21" i="59"/>
  <c r="Y21" i="59"/>
  <c r="Z21" i="59"/>
  <c r="X21" i="59"/>
  <c r="U22" i="59"/>
  <c r="U18"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S14" i="59"/>
  <c r="B33" i="59"/>
  <c r="B34" i="59" s="1"/>
  <c r="S34" i="59" s="1"/>
  <c r="S50" i="59"/>
  <c r="Z20" i="59"/>
  <c r="AA21" i="59"/>
  <c r="V14" i="59"/>
  <c r="V18" i="59"/>
  <c r="V22" i="59"/>
  <c r="F25" i="59"/>
  <c r="F26" i="59" s="1"/>
  <c r="V26" i="59" s="1"/>
  <c r="F37" i="59"/>
  <c r="F38" i="59" s="1"/>
  <c r="V38" i="59" s="1"/>
  <c r="F45" i="59"/>
  <c r="F46" i="59" s="1"/>
  <c r="V46" i="59" s="1"/>
  <c r="C25" i="59"/>
  <c r="D24" i="59"/>
  <c r="D28" i="59"/>
  <c r="C33" i="59"/>
  <c r="C34" i="59" s="1"/>
  <c r="C37" i="59"/>
  <c r="C38" i="59" s="1"/>
  <c r="D36" i="59"/>
  <c r="C41" i="59"/>
  <c r="D41" i="59" s="1"/>
  <c r="D40" i="59"/>
  <c r="C45" i="59"/>
  <c r="C46" i="59" s="1"/>
  <c r="D44" i="59"/>
  <c r="E48" i="59"/>
  <c r="P47" i="59" s="1"/>
  <c r="B48" i="59"/>
  <c r="N47" i="59" s="1"/>
  <c r="Q49" i="59"/>
  <c r="T50" i="59"/>
  <c r="O50" i="59"/>
  <c r="D50" i="59"/>
  <c r="C49" i="59"/>
  <c r="P50" i="59"/>
  <c r="U50" i="59"/>
  <c r="Q50" i="59"/>
  <c r="E53" i="59"/>
  <c r="E52" i="59" s="1"/>
  <c r="D54" i="59"/>
  <c r="C57" i="59"/>
  <c r="E57" i="59"/>
  <c r="E56" i="59" s="1"/>
  <c r="D58" i="59"/>
  <c r="E61" i="59"/>
  <c r="E60" i="59" s="1"/>
  <c r="D62" i="59"/>
  <c r="C65" i="59"/>
  <c r="C69" i="59"/>
  <c r="D69" i="59" s="1"/>
  <c r="U16" i="4"/>
  <c r="S16" i="4"/>
  <c r="Q16" i="4"/>
  <c r="O16" i="4"/>
  <c r="N16" i="4" s="1"/>
  <c r="M16" i="4"/>
  <c r="K16" i="4"/>
  <c r="P48" i="59"/>
  <c r="C68" i="59"/>
  <c r="D68" i="59" s="1"/>
  <c r="C48" i="59"/>
  <c r="D48" i="59" s="1"/>
  <c r="O49" i="59"/>
  <c r="D49" i="59"/>
  <c r="D65" i="59"/>
  <c r="C64" i="59"/>
  <c r="D64" i="59" s="1"/>
  <c r="D57" i="59"/>
  <c r="C56" i="59"/>
  <c r="D56" i="59"/>
  <c r="N48" i="59"/>
  <c r="D45" i="59"/>
  <c r="C42" i="59"/>
  <c r="T42" i="59" s="1"/>
  <c r="D37" i="59"/>
  <c r="D33" i="59"/>
  <c r="C26" i="59"/>
  <c r="D25" i="59"/>
  <c r="L16" i="4"/>
  <c r="D42" i="59"/>
  <c r="T26" i="59"/>
  <c r="D26" i="59"/>
  <c r="O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G2" i="46"/>
  <c r="I2" i="46"/>
  <c r="N6" i="46" s="1"/>
  <c r="F80" i="46" s="1"/>
  <c r="H81" i="46" s="1"/>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2" i="1"/>
  <c r="AP12" i="1" s="1"/>
  <c r="F13" i="1"/>
  <c r="AP13" i="1" s="1"/>
  <c r="D11" i="1"/>
  <c r="D12" i="1"/>
  <c r="D13" i="1"/>
  <c r="D6" i="1"/>
  <c r="D7" i="1"/>
  <c r="D8" i="1"/>
  <c r="D9" i="1"/>
  <c r="D10"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c r="C9" i="46"/>
  <c r="E32" i="6"/>
  <c r="O8" i="1"/>
  <c r="P8" i="1"/>
  <c r="E26" i="6"/>
  <c r="D38" i="4"/>
  <c r="C39" i="4"/>
  <c r="C35" i="4"/>
  <c r="E16" i="12"/>
  <c r="F14" i="12"/>
  <c r="F15" i="12"/>
  <c r="F17" i="12"/>
  <c r="E19" i="12"/>
  <c r="E21" i="12"/>
  <c r="E22" i="12"/>
  <c r="F23" i="12"/>
  <c r="F24" i="12"/>
  <c r="F25" i="12"/>
  <c r="C43" i="9"/>
  <c r="K47" i="9" s="1"/>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C6" i="12"/>
  <c r="B24" i="1"/>
  <c r="E77" i="9"/>
  <c r="O75" i="9"/>
  <c r="L75" i="9"/>
  <c r="F77" i="9"/>
  <c r="P75" i="9" s="1"/>
  <c r="O74" i="9"/>
  <c r="O73" i="9"/>
  <c r="E66" i="9"/>
  <c r="O72" i="9" s="1"/>
  <c r="F74" i="9"/>
  <c r="P74" i="9" s="1"/>
  <c r="N67" i="9"/>
  <c r="K44" i="9"/>
  <c r="K43" i="9"/>
  <c r="B31" i="1"/>
  <c r="E10" i="11" s="1"/>
  <c r="B23" i="1"/>
  <c r="BC11" i="3"/>
  <c r="BD11" i="3"/>
  <c r="C11" i="11"/>
  <c r="C10" i="11" s="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B112" i="39"/>
  <c r="B114" i="39"/>
  <c r="F38" i="39"/>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B103" i="40"/>
  <c r="D102" i="40"/>
  <c r="E102" i="40"/>
  <c r="F102" i="40" s="1"/>
  <c r="G102" i="40" s="1"/>
  <c r="H102" i="40" s="1"/>
  <c r="I102" i="40" s="1"/>
  <c r="J102" i="40" s="1"/>
  <c r="K102" i="40" s="1"/>
  <c r="L102" i="40" s="1"/>
  <c r="M102" i="40" s="1"/>
  <c r="D100" i="40"/>
  <c r="E100" i="40"/>
  <c r="D98" i="40"/>
  <c r="E98" i="40"/>
  <c r="B97" i="40"/>
  <c r="D94" i="40"/>
  <c r="E94" i="40" s="1"/>
  <c r="D92" i="40"/>
  <c r="D90" i="40"/>
  <c r="E90" i="40" s="1"/>
  <c r="H21" i="40"/>
  <c r="AB21" i="40"/>
  <c r="D88" i="40"/>
  <c r="E88" i="40"/>
  <c r="F88" i="40" s="1"/>
  <c r="D86" i="40"/>
  <c r="E86" i="40"/>
  <c r="F86" i="40" s="1"/>
  <c r="J17" i="40"/>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s="1"/>
  <c r="D124" i="39"/>
  <c r="E124" i="39"/>
  <c r="F124" i="39" s="1"/>
  <c r="G124" i="39" s="1"/>
  <c r="H124" i="39" s="1"/>
  <c r="I124" i="39" s="1"/>
  <c r="J124" i="39" s="1"/>
  <c r="K124" i="39" s="1"/>
  <c r="L124" i="39" s="1"/>
  <c r="M124" i="39" s="1"/>
  <c r="B106" i="39"/>
  <c r="D99" i="39"/>
  <c r="E99" i="39" s="1"/>
  <c r="F99" i="39" s="1"/>
  <c r="G99" i="39" s="1"/>
  <c r="D97" i="39"/>
  <c r="E97" i="39" s="1"/>
  <c r="F97" i="39" s="1"/>
  <c r="D95" i="39"/>
  <c r="E95" i="39"/>
  <c r="F95" i="39" s="1"/>
  <c r="G95" i="39" s="1"/>
  <c r="D93" i="39"/>
  <c r="E93" i="39"/>
  <c r="F93" i="39" s="1"/>
  <c r="G93" i="39"/>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C20" i="36"/>
  <c r="C20" i="35"/>
  <c r="C16" i="36"/>
  <c r="C16" i="35"/>
  <c r="C14" i="36"/>
  <c r="C14" i="35"/>
  <c r="B80" i="37"/>
  <c r="B110" i="37"/>
  <c r="J39" i="37"/>
  <c r="B108" i="37"/>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F79" i="37" s="1"/>
  <c r="D75" i="37"/>
  <c r="E75" i="37" s="1"/>
  <c r="F75" i="37" s="1"/>
  <c r="G75" i="37" s="1"/>
  <c r="D73" i="37"/>
  <c r="E73" i="37"/>
  <c r="F73" i="37" s="1"/>
  <c r="G73" i="37"/>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c r="H81" i="36" s="1"/>
  <c r="I81" i="36" s="1"/>
  <c r="J81" i="36" s="1"/>
  <c r="K81" i="36" s="1"/>
  <c r="L81" i="36" s="1"/>
  <c r="M81" i="36" s="1"/>
  <c r="F79" i="36"/>
  <c r="E79" i="36"/>
  <c r="D79" i="36"/>
  <c r="C79" i="36"/>
  <c r="B93" i="36"/>
  <c r="B91" i="36"/>
  <c r="B95" i="36"/>
  <c r="H34" i="36"/>
  <c r="U34" i="36" s="1"/>
  <c r="D83" i="36"/>
  <c r="E83" i="36"/>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F68" i="36" s="1"/>
  <c r="D64" i="36"/>
  <c r="E64" i="36" s="1"/>
  <c r="F64" i="36" s="1"/>
  <c r="G64" i="36" s="1"/>
  <c r="J16" i="36"/>
  <c r="AC16" i="36" s="1"/>
  <c r="D62" i="36"/>
  <c r="E62" i="36"/>
  <c r="F62" i="36" s="1"/>
  <c r="B59" i="36"/>
  <c r="B57" i="36"/>
  <c r="J12" i="36" s="1"/>
  <c r="AC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H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J24" i="35" s="1"/>
  <c r="W24" i="35" s="1"/>
  <c r="AC24" i="35"/>
  <c r="B73" i="35"/>
  <c r="B57" i="35"/>
  <c r="B61" i="35"/>
  <c r="B59" i="35"/>
  <c r="H12" i="35" s="1"/>
  <c r="AB12" i="35" s="1"/>
  <c r="B131" i="34"/>
  <c r="B129" i="34"/>
  <c r="B127" i="34"/>
  <c r="B99" i="34"/>
  <c r="B97" i="34"/>
  <c r="B95" i="34"/>
  <c r="B93" i="34"/>
  <c r="B75" i="34"/>
  <c r="B73" i="34"/>
  <c r="B71" i="34"/>
  <c r="B130" i="33"/>
  <c r="B128" i="33"/>
  <c r="H45" i="33"/>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9" i="35"/>
  <c r="F9" i="35"/>
  <c r="AA9" i="35" s="1"/>
  <c r="J8" i="35"/>
  <c r="AC8" i="35" s="1"/>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c r="H91" i="33" s="1"/>
  <c r="I91" i="33" s="1"/>
  <c r="J91" i="33" s="1"/>
  <c r="K91" i="33" s="1"/>
  <c r="L91" i="33" s="1"/>
  <c r="M91" i="33" s="1"/>
  <c r="B88" i="33"/>
  <c r="J26" i="33"/>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H12" i="33"/>
  <c r="U12" i="33" s="1"/>
  <c r="F12" i="33"/>
  <c r="S12" i="33" s="1"/>
  <c r="Q11" i="33"/>
  <c r="Z11" i="33" s="1"/>
  <c r="Q10" i="33"/>
  <c r="Z10" i="33" s="1"/>
  <c r="Q9" i="33"/>
  <c r="Z9" i="33" s="1"/>
  <c r="J9" i="33"/>
  <c r="AC9" i="33" s="1"/>
  <c r="H9" i="33"/>
  <c r="AB9" i="33" s="1"/>
  <c r="F9" i="33"/>
  <c r="AA9" i="33" s="1"/>
  <c r="J8" i="33"/>
  <c r="H8" i="33"/>
  <c r="AB8" i="33" s="1"/>
  <c r="F8" i="33"/>
  <c r="C7" i="33"/>
  <c r="C58" i="33" s="1"/>
  <c r="D58" i="33"/>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W28" i="21" s="1"/>
  <c r="B90" i="21"/>
  <c r="B74" i="21"/>
  <c r="J14" i="21" s="1"/>
  <c r="AC14" i="21" s="1"/>
  <c r="B72" i="21"/>
  <c r="B70" i="21"/>
  <c r="F10" i="21"/>
  <c r="AA10" i="21" s="1"/>
  <c r="C7" i="21"/>
  <c r="C58" i="21" s="1"/>
  <c r="D58" i="2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s="1"/>
  <c r="E20" i="6" s="1"/>
  <c r="D9" i="43" s="1"/>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V5" i="3"/>
  <c r="W5" i="3"/>
  <c r="X5" i="3"/>
  <c r="Y5" i="3"/>
  <c r="Z5" i="3"/>
  <c r="AA5" i="3"/>
  <c r="AB5" i="3"/>
  <c r="F5" i="3"/>
  <c r="F34" i="21"/>
  <c r="H34" i="21"/>
  <c r="F43" i="21"/>
  <c r="H38" i="21"/>
  <c r="AB38" i="21" s="1"/>
  <c r="H43" i="21"/>
  <c r="AB43" i="21" s="1"/>
  <c r="F32" i="21"/>
  <c r="S32" i="21" s="1"/>
  <c r="F38" i="21"/>
  <c r="S38" i="21"/>
  <c r="F36" i="21"/>
  <c r="S36" i="21"/>
  <c r="F39" i="21"/>
  <c r="AA39" i="21"/>
  <c r="J40" i="21"/>
  <c r="W40" i="21"/>
  <c r="H35" i="21"/>
  <c r="AB35" i="21"/>
  <c r="J8" i="21"/>
  <c r="AC8" i="21"/>
  <c r="J9" i="21"/>
  <c r="AC9" i="21"/>
  <c r="H8" i="21"/>
  <c r="H9" i="21"/>
  <c r="H10" i="21"/>
  <c r="U10" i="21" s="1"/>
  <c r="H39" i="21"/>
  <c r="J34" i="21"/>
  <c r="H36" i="21"/>
  <c r="U36" i="21" s="1"/>
  <c r="F35" i="21"/>
  <c r="J33" i="21"/>
  <c r="H33" i="21"/>
  <c r="U33" i="21" s="1"/>
  <c r="F33" i="21"/>
  <c r="AA33" i="21" s="1"/>
  <c r="J10" i="21"/>
  <c r="AC10" i="21"/>
  <c r="H26" i="21"/>
  <c r="F19" i="21"/>
  <c r="H19" i="21"/>
  <c r="AB19" i="21" s="1"/>
  <c r="J19" i="21"/>
  <c r="W19" i="21" s="1"/>
  <c r="J12" i="21"/>
  <c r="W12" i="21" s="1"/>
  <c r="J26" i="21"/>
  <c r="W26" i="21"/>
  <c r="F26" i="21"/>
  <c r="AA26" i="21"/>
  <c r="S41" i="21"/>
  <c r="AA41" i="21"/>
  <c r="W41" i="21"/>
  <c r="S10" i="39"/>
  <c r="U30" i="37"/>
  <c r="E103" i="37"/>
  <c r="F103" i="37"/>
  <c r="F39" i="37"/>
  <c r="S39" i="37"/>
  <c r="F29" i="36"/>
  <c r="F16" i="36"/>
  <c r="AA16" i="36" s="1"/>
  <c r="U22" i="36"/>
  <c r="W22" i="36"/>
  <c r="AC31" i="36"/>
  <c r="J33" i="36"/>
  <c r="W33" i="36"/>
  <c r="AC27" i="35"/>
  <c r="U31" i="35"/>
  <c r="W36" i="35"/>
  <c r="S31" i="35"/>
  <c r="W31" i="35"/>
  <c r="F36" i="34"/>
  <c r="S36" i="34"/>
  <c r="W9" i="34"/>
  <c r="S34" i="34"/>
  <c r="H39" i="33"/>
  <c r="F26" i="33"/>
  <c r="W38" i="33"/>
  <c r="U38" i="33"/>
  <c r="S8" i="21"/>
  <c r="W8" i="21"/>
  <c r="H39" i="37"/>
  <c r="AB39" i="37"/>
  <c r="AB27" i="35"/>
  <c r="S10" i="40"/>
  <c r="W10" i="40"/>
  <c r="S11" i="40"/>
  <c r="U11" i="40"/>
  <c r="S36" i="40"/>
  <c r="U36" i="40"/>
  <c r="S40" i="39"/>
  <c r="S36" i="39"/>
  <c r="F11" i="21"/>
  <c r="AC40" i="21"/>
  <c r="AA38" i="21"/>
  <c r="AC35" i="21"/>
  <c r="C29" i="39"/>
  <c r="C23" i="39"/>
  <c r="U36" i="39"/>
  <c r="S42" i="39"/>
  <c r="H32" i="33"/>
  <c r="AB32" i="33" s="1"/>
  <c r="H11" i="21"/>
  <c r="J11" i="21"/>
  <c r="W11" i="21" s="1"/>
  <c r="F100" i="40"/>
  <c r="AA12" i="33"/>
  <c r="J27" i="36"/>
  <c r="J34" i="36"/>
  <c r="W34" i="36" s="1"/>
  <c r="J30" i="35"/>
  <c r="W30" i="35" s="1"/>
  <c r="F22" i="35"/>
  <c r="H10" i="35"/>
  <c r="AC24" i="36"/>
  <c r="U29" i="36"/>
  <c r="U24"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36" i="33"/>
  <c r="S36" i="33"/>
  <c r="F19" i="33"/>
  <c r="S19" i="33"/>
  <c r="J19" i="33"/>
  <c r="F125" i="21"/>
  <c r="G125" i="21" s="1"/>
  <c r="G86" i="40"/>
  <c r="AB30" i="36"/>
  <c r="AC34" i="36"/>
  <c r="H29" i="35"/>
  <c r="U29" i="35" s="1"/>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F27" i="36"/>
  <c r="H13" i="21"/>
  <c r="J13" i="21"/>
  <c r="AC13" i="21" s="1"/>
  <c r="F13" i="21"/>
  <c r="AA13" i="21" s="1"/>
  <c r="H27" i="21"/>
  <c r="AB27" i="21" s="1"/>
  <c r="J27" i="21"/>
  <c r="W27" i="21" s="1"/>
  <c r="F27" i="21"/>
  <c r="AA27" i="21" s="1"/>
  <c r="J29" i="21"/>
  <c r="H29" i="21"/>
  <c r="F29" i="21"/>
  <c r="J31" i="21"/>
  <c r="H31" i="21"/>
  <c r="U31" i="21" s="1"/>
  <c r="F31" i="21"/>
  <c r="J45" i="21"/>
  <c r="W45" i="21" s="1"/>
  <c r="F45" i="21"/>
  <c r="H45" i="21"/>
  <c r="J27" i="33"/>
  <c r="F27" i="33"/>
  <c r="F13" i="33"/>
  <c r="S13" i="33" s="1"/>
  <c r="J29" i="33"/>
  <c r="W29" i="33" s="1"/>
  <c r="J31" i="33"/>
  <c r="H31" i="33"/>
  <c r="U31" i="33" s="1"/>
  <c r="S31" i="33"/>
  <c r="J45" i="33"/>
  <c r="W45" i="33"/>
  <c r="F45" i="33"/>
  <c r="S45" i="33"/>
  <c r="H28" i="36"/>
  <c r="U28" i="36"/>
  <c r="J11" i="36"/>
  <c r="W11" i="36" s="1"/>
  <c r="H13" i="36"/>
  <c r="AB13" i="36" s="1"/>
  <c r="J13" i="36"/>
  <c r="W13" i="36" s="1"/>
  <c r="F13" i="36"/>
  <c r="E89" i="37"/>
  <c r="F89" i="37" s="1"/>
  <c r="G89" i="37"/>
  <c r="H89" i="37" s="1"/>
  <c r="I89" i="37" s="1"/>
  <c r="J89" i="37" s="1"/>
  <c r="K89" i="37" s="1"/>
  <c r="L89" i="37" s="1"/>
  <c r="M89" i="37" s="1"/>
  <c r="J29" i="37"/>
  <c r="W29" i="37"/>
  <c r="F29" i="37"/>
  <c r="AA29" i="37"/>
  <c r="AB36" i="37"/>
  <c r="J37" i="37"/>
  <c r="AC37" i="37" s="1"/>
  <c r="H37" i="37"/>
  <c r="H40" i="37"/>
  <c r="J40" i="37"/>
  <c r="AC40" i="37" s="1"/>
  <c r="F40" i="37"/>
  <c r="AA40" i="37"/>
  <c r="H44" i="33"/>
  <c r="U44" i="33" s="1"/>
  <c r="J44" i="33"/>
  <c r="AC44" i="33" s="1"/>
  <c r="F44" i="33"/>
  <c r="J46" i="33"/>
  <c r="F46" i="33"/>
  <c r="AA46" i="33" s="1"/>
  <c r="H46" i="33"/>
  <c r="H13" i="34"/>
  <c r="U13" i="34" s="1"/>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AB25" i="36" s="1"/>
  <c r="H13" i="37"/>
  <c r="F13" i="37"/>
  <c r="J13" i="37"/>
  <c r="AC13" i="37" s="1"/>
  <c r="F28" i="37"/>
  <c r="J28" i="37"/>
  <c r="AC28" i="37" s="1"/>
  <c r="H28" i="37"/>
  <c r="U28" i="37" s="1"/>
  <c r="H38" i="37"/>
  <c r="J38" i="37"/>
  <c r="F38" i="37"/>
  <c r="S38" i="37" s="1"/>
  <c r="F14" i="37"/>
  <c r="AA14" i="37" s="1"/>
  <c r="F27" i="37"/>
  <c r="J14" i="37"/>
  <c r="J27" i="37"/>
  <c r="AA38" i="37"/>
  <c r="AB13" i="35"/>
  <c r="J36" i="37"/>
  <c r="AC36" i="37" s="1"/>
  <c r="G105" i="37"/>
  <c r="AB28" i="36"/>
  <c r="AB31" i="21"/>
  <c r="AA28" i="21"/>
  <c r="W14" i="21"/>
  <c r="W42" i="21"/>
  <c r="AC13" i="36"/>
  <c r="AB31" i="33"/>
  <c r="AB27" i="33"/>
  <c r="AC28" i="33"/>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c r="H43" i="33"/>
  <c r="U43" i="33"/>
  <c r="H17" i="37"/>
  <c r="U17" i="37"/>
  <c r="F23" i="37"/>
  <c r="S23" i="37"/>
  <c r="AB27" i="37"/>
  <c r="F39" i="33"/>
  <c r="AA39" i="33"/>
  <c r="F42" i="33"/>
  <c r="H28" i="34"/>
  <c r="F22" i="36"/>
  <c r="H35" i="34"/>
  <c r="U35" i="34" s="1"/>
  <c r="F41" i="34"/>
  <c r="S41" i="34" s="1"/>
  <c r="H41" i="34"/>
  <c r="U41" i="34" s="1"/>
  <c r="J41" i="34"/>
  <c r="F10" i="35"/>
  <c r="F24" i="35"/>
  <c r="H24" i="35"/>
  <c r="H23" i="37"/>
  <c r="AB23" i="37" s="1"/>
  <c r="J32" i="37"/>
  <c r="F36" i="37"/>
  <c r="S36" i="37" s="1"/>
  <c r="F37" i="37"/>
  <c r="U23" i="37"/>
  <c r="F123" i="33"/>
  <c r="G123" i="33" s="1"/>
  <c r="H123" i="33"/>
  <c r="I123" i="33" s="1"/>
  <c r="J123" i="33" s="1"/>
  <c r="K123" i="33" s="1"/>
  <c r="L123" i="33" s="1"/>
  <c r="M123" i="33" s="1"/>
  <c r="H42" i="33"/>
  <c r="J43" i="33"/>
  <c r="AC43" i="33" s="1"/>
  <c r="G79" i="37"/>
  <c r="J23" i="37"/>
  <c r="W23" i="37"/>
  <c r="F17" i="37"/>
  <c r="AA17" i="37"/>
  <c r="AB43" i="33"/>
  <c r="D3" i="21"/>
  <c r="AC33" i="36"/>
  <c r="AC23" i="37"/>
  <c r="U39" i="37"/>
  <c r="AC8" i="37"/>
  <c r="AB8" i="34"/>
  <c r="AC45" i="33"/>
  <c r="U19" i="21"/>
  <c r="AA36" i="21"/>
  <c r="S39" i="33"/>
  <c r="F43" i="33"/>
  <c r="AA43" i="33" s="1"/>
  <c r="AA23" i="37"/>
  <c r="AB44" i="33"/>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F21" i="40"/>
  <c r="W36" i="40"/>
  <c r="U40" i="39"/>
  <c r="F90" i="40"/>
  <c r="G90" i="40" s="1"/>
  <c r="J21" i="40"/>
  <c r="AC21" i="40"/>
  <c r="S27" i="31"/>
  <c r="BT5" i="3"/>
  <c r="J57" i="39"/>
  <c r="H13" i="40"/>
  <c r="U13" i="40"/>
  <c r="H12" i="48"/>
  <c r="I4" i="4"/>
  <c r="K141" i="21"/>
  <c r="K143" i="21"/>
  <c r="K144" i="21"/>
  <c r="I59" i="40"/>
  <c r="C59" i="40" s="1"/>
  <c r="I60" i="40"/>
  <c r="C60" i="40" s="1"/>
  <c r="W9" i="33"/>
  <c r="H7" i="48"/>
  <c r="H113" i="46"/>
  <c r="H17" i="46"/>
  <c r="F33" i="46"/>
  <c r="F35" i="46"/>
  <c r="F37" i="46"/>
  <c r="H16" i="48"/>
  <c r="H9" i="48"/>
  <c r="H8" i="48"/>
  <c r="C12" i="46"/>
  <c r="AB15" i="37"/>
  <c r="U43" i="21"/>
  <c r="AA13" i="40"/>
  <c r="E78" i="40"/>
  <c r="F78" i="40" s="1"/>
  <c r="G78" i="40" s="1"/>
  <c r="H78" i="40" s="1"/>
  <c r="I78" i="40" s="1"/>
  <c r="J78" i="40" s="1"/>
  <c r="K78" i="40" s="1"/>
  <c r="L78" i="40" s="1"/>
  <c r="M78" i="40" s="1"/>
  <c r="BH5" i="3"/>
  <c r="R16" i="4"/>
  <c r="K17" i="4" s="1"/>
  <c r="P16" i="4"/>
  <c r="D3" i="35"/>
  <c r="G4" i="4"/>
  <c r="S37" i="34"/>
  <c r="J16" i="35"/>
  <c r="W16" i="35"/>
  <c r="U42" i="21"/>
  <c r="AC26" i="36"/>
  <c r="H13" i="39"/>
  <c r="AB13" i="39" s="1"/>
  <c r="F13" i="39"/>
  <c r="S13" i="39" s="1"/>
  <c r="J13" i="39"/>
  <c r="AC13" i="39"/>
  <c r="AA36" i="35"/>
  <c r="H11" i="37"/>
  <c r="W37" i="37"/>
  <c r="AA36" i="37"/>
  <c r="U32" i="33"/>
  <c r="AB17" i="37"/>
  <c r="AC29" i="33"/>
  <c r="AA45" i="33"/>
  <c r="AC11" i="36"/>
  <c r="AC10" i="36"/>
  <c r="AB45" i="34"/>
  <c r="AB35" i="35"/>
  <c r="W44" i="33"/>
  <c r="AC29" i="37"/>
  <c r="J33" i="34"/>
  <c r="AC33" i="34" s="1"/>
  <c r="AB36" i="34"/>
  <c r="J40" i="34"/>
  <c r="W40" i="34"/>
  <c r="F16" i="35"/>
  <c r="AA16" i="35"/>
  <c r="W42" i="33"/>
  <c r="J35" i="34"/>
  <c r="W35" i="34"/>
  <c r="G107" i="34"/>
  <c r="H107" i="34" s="1"/>
  <c r="I107" i="34"/>
  <c r="J107" i="34" s="1"/>
  <c r="K107" i="34" s="1"/>
  <c r="L107" i="34" s="1"/>
  <c r="M107" i="34" s="1"/>
  <c r="S30" i="36"/>
  <c r="H16" i="36"/>
  <c r="G103" i="37"/>
  <c r="H103" i="37" s="1"/>
  <c r="I103" i="37"/>
  <c r="J103" i="37" s="1"/>
  <c r="K103" i="37" s="1"/>
  <c r="L103" i="37" s="1"/>
  <c r="M103" i="37" s="1"/>
  <c r="H35" i="37"/>
  <c r="AB35" i="37"/>
  <c r="S26" i="21"/>
  <c r="H32" i="21"/>
  <c r="U32" i="21"/>
  <c r="AB26" i="2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F11" i="34"/>
  <c r="S11" i="34" s="1"/>
  <c r="E80" i="34"/>
  <c r="F80" i="34" s="1"/>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G96" i="37" s="1"/>
  <c r="H96" i="37" s="1"/>
  <c r="I96" i="37" s="1"/>
  <c r="J96" i="37" s="1"/>
  <c r="K96" i="37" s="1"/>
  <c r="L96" i="37" s="1"/>
  <c r="M96" i="37" s="1"/>
  <c r="H32" i="37"/>
  <c r="AB32" i="37"/>
  <c r="F19" i="39"/>
  <c r="S19" i="39"/>
  <c r="H19" i="39"/>
  <c r="J19" i="39"/>
  <c r="F43" i="39"/>
  <c r="S43" i="39" s="1"/>
  <c r="H43" i="39"/>
  <c r="U43" i="39"/>
  <c r="J43" i="39"/>
  <c r="F99" i="37"/>
  <c r="G99" i="37" s="1"/>
  <c r="H99" i="37" s="1"/>
  <c r="U25" i="35"/>
  <c r="U31" i="34"/>
  <c r="W40" i="37"/>
  <c r="AC45" i="21"/>
  <c r="S28" i="33"/>
  <c r="AB29" i="35"/>
  <c r="AC19" i="33"/>
  <c r="W19" i="33"/>
  <c r="U43" i="34"/>
  <c r="AB43" i="34"/>
  <c r="AC34" i="37"/>
  <c r="AA35" i="37"/>
  <c r="AA32" i="21"/>
  <c r="U38" i="21"/>
  <c r="BE5" i="3"/>
  <c r="F42" i="21"/>
  <c r="AA42" i="21"/>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W26" i="37"/>
  <c r="AA30" i="37"/>
  <c r="S30" i="37"/>
  <c r="AC30" i="37"/>
  <c r="W31" i="37"/>
  <c r="F17" i="39"/>
  <c r="H17" i="39"/>
  <c r="U17" i="39" s="1"/>
  <c r="J17" i="39"/>
  <c r="W17" i="39" s="1"/>
  <c r="F21" i="39"/>
  <c r="S21" i="39" s="1"/>
  <c r="H21" i="39"/>
  <c r="U21" i="39" s="1"/>
  <c r="J21" i="39"/>
  <c r="W21" i="39"/>
  <c r="F33" i="39"/>
  <c r="H33" i="39"/>
  <c r="J33" i="39"/>
  <c r="AC33" i="39" s="1"/>
  <c r="F44" i="39"/>
  <c r="S44" i="39"/>
  <c r="H44" i="39"/>
  <c r="U44" i="39"/>
  <c r="J44" i="39"/>
  <c r="W44" i="39"/>
  <c r="F128" i="39"/>
  <c r="G128" i="39" s="1"/>
  <c r="H128" i="39"/>
  <c r="I128" i="39" s="1"/>
  <c r="J128" i="39" s="1"/>
  <c r="K128" i="39" s="1"/>
  <c r="L128" i="39" s="1"/>
  <c r="M128" i="39" s="1"/>
  <c r="F46" i="39"/>
  <c r="H46" i="39"/>
  <c r="J46" i="39"/>
  <c r="W46" i="39" s="1"/>
  <c r="F29" i="39"/>
  <c r="AA29" i="39" s="1"/>
  <c r="E103" i="39"/>
  <c r="F103" i="39" s="1"/>
  <c r="G103" i="39"/>
  <c r="H29" i="39"/>
  <c r="U29" i="39"/>
  <c r="F34" i="39"/>
  <c r="AA34" i="39"/>
  <c r="H34" i="39"/>
  <c r="AB34" i="39"/>
  <c r="J34" i="39"/>
  <c r="AC34" i="39"/>
  <c r="H39" i="39"/>
  <c r="J39" i="39"/>
  <c r="AC39" i="39" s="1"/>
  <c r="J29" i="35"/>
  <c r="AC29" i="35"/>
  <c r="F29" i="35"/>
  <c r="S29" i="35"/>
  <c r="AC30" i="36"/>
  <c r="BJ5" i="3"/>
  <c r="BB5"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AB33" i="21"/>
  <c r="AB10" i="21"/>
  <c r="U8" i="21"/>
  <c r="AB8" i="21"/>
  <c r="AC36" i="21"/>
  <c r="U8" i="33"/>
  <c r="E106" i="33"/>
  <c r="H34" i="33"/>
  <c r="U34" i="33" s="1"/>
  <c r="F34" i="33"/>
  <c r="E121" i="33"/>
  <c r="F41" i="33"/>
  <c r="S41" i="33"/>
  <c r="AC34" i="34"/>
  <c r="W34" i="34"/>
  <c r="S39" i="34"/>
  <c r="E78" i="34"/>
  <c r="F78" i="34" s="1"/>
  <c r="G78" i="34" s="1"/>
  <c r="F15" i="34"/>
  <c r="AC28" i="35"/>
  <c r="J20" i="35"/>
  <c r="E72" i="35"/>
  <c r="F72" i="35" s="1"/>
  <c r="G72" i="35" s="1"/>
  <c r="H22" i="35"/>
  <c r="AB22" i="35"/>
  <c r="H23" i="35"/>
  <c r="F23" i="35"/>
  <c r="AA23" i="35" s="1"/>
  <c r="AB36" i="35"/>
  <c r="W12" i="36"/>
  <c r="U31" i="36"/>
  <c r="S8" i="37"/>
  <c r="AA8" i="37"/>
  <c r="F14" i="39"/>
  <c r="AA14" i="39"/>
  <c r="H14" i="39"/>
  <c r="AB14" i="39"/>
  <c r="J14" i="39"/>
  <c r="AC14" i="39"/>
  <c r="F16" i="39"/>
  <c r="AA16" i="39"/>
  <c r="H16" i="39"/>
  <c r="U16" i="39"/>
  <c r="J16" i="39"/>
  <c r="AC16" i="39"/>
  <c r="F23" i="39"/>
  <c r="AA23" i="39"/>
  <c r="F27" i="39"/>
  <c r="H27" i="39"/>
  <c r="AB27" i="39" s="1"/>
  <c r="J27" i="39"/>
  <c r="AC27" i="39" s="1"/>
  <c r="F15" i="40"/>
  <c r="J15" i="40"/>
  <c r="W15" i="40" s="1"/>
  <c r="H15" i="40"/>
  <c r="AB15" i="40"/>
  <c r="E92" i="40"/>
  <c r="F92" i="40"/>
  <c r="G92" i="40" s="1"/>
  <c r="H23" i="40"/>
  <c r="U23" i="40"/>
  <c r="H36" i="33"/>
  <c r="AB36" i="33" s="1"/>
  <c r="H37" i="34"/>
  <c r="AB37" i="34" s="1"/>
  <c r="H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J32" i="40"/>
  <c r="H32" i="40"/>
  <c r="U32" i="40" s="1"/>
  <c r="H33" i="40"/>
  <c r="F33" i="40"/>
  <c r="J33" i="40"/>
  <c r="AC33" i="40" s="1"/>
  <c r="H35" i="40"/>
  <c r="AB35" i="40" s="1"/>
  <c r="F35" i="40"/>
  <c r="AA35" i="40" s="1"/>
  <c r="J35" i="40"/>
  <c r="AC35" i="40" s="1"/>
  <c r="J38" i="39"/>
  <c r="W38" i="39" s="1"/>
  <c r="H38" i="39"/>
  <c r="U38" i="39" s="1"/>
  <c r="J16" i="40"/>
  <c r="W16" i="40" s="1"/>
  <c r="J14" i="40"/>
  <c r="H42" i="40"/>
  <c r="U42" i="40" s="1"/>
  <c r="H40" i="40"/>
  <c r="U40" i="40"/>
  <c r="H34" i="40"/>
  <c r="U34" i="40"/>
  <c r="J42" i="40"/>
  <c r="AC42" i="40"/>
  <c r="J40" i="40"/>
  <c r="AC40" i="40"/>
  <c r="J34" i="40"/>
  <c r="AC34" i="40"/>
  <c r="F32" i="40"/>
  <c r="AA32" i="40"/>
  <c r="M1" i="46"/>
  <c r="M6" i="46"/>
  <c r="C6" i="46" s="1"/>
  <c r="M10" i="46"/>
  <c r="N2" i="46"/>
  <c r="N5" i="46"/>
  <c r="F58" i="46"/>
  <c r="F47" i="46"/>
  <c r="H49" i="46"/>
  <c r="N7" i="46"/>
  <c r="M7" i="46"/>
  <c r="M11" i="46"/>
  <c r="N3" i="46"/>
  <c r="N10" i="46"/>
  <c r="H47" i="46"/>
  <c r="J13" i="40"/>
  <c r="W13" i="40"/>
  <c r="W40" i="40"/>
  <c r="F34" i="44"/>
  <c r="F27" i="43"/>
  <c r="F66" i="9"/>
  <c r="P72" i="9"/>
  <c r="F71" i="9"/>
  <c r="F72" i="9"/>
  <c r="W35" i="40"/>
  <c r="AB32" i="40"/>
  <c r="AC47" i="39"/>
  <c r="S47" i="39"/>
  <c r="AB25" i="39"/>
  <c r="U37" i="34"/>
  <c r="J23" i="40"/>
  <c r="AC23" i="40"/>
  <c r="F23" i="40"/>
  <c r="S23" i="40" s="1"/>
  <c r="AC15" i="40"/>
  <c r="W27" i="39"/>
  <c r="S23" i="39"/>
  <c r="AB16" i="39"/>
  <c r="W14" i="39"/>
  <c r="U23" i="35"/>
  <c r="AB23" i="35"/>
  <c r="H20" i="35"/>
  <c r="U20" i="35" s="1"/>
  <c r="F20" i="35"/>
  <c r="S20" i="35"/>
  <c r="H15" i="34"/>
  <c r="AB15" i="34"/>
  <c r="J15" i="34"/>
  <c r="H41" i="33"/>
  <c r="F121" i="33"/>
  <c r="G121" i="33" s="1"/>
  <c r="H121" i="33" s="1"/>
  <c r="I121" i="33" s="1"/>
  <c r="J121" i="33" s="1"/>
  <c r="K121" i="33" s="1"/>
  <c r="L121" i="33" s="1"/>
  <c r="M121" i="33" s="1"/>
  <c r="F30" i="40"/>
  <c r="AA30" i="40" s="1"/>
  <c r="AB38" i="34"/>
  <c r="AA29" i="35"/>
  <c r="J29" i="39"/>
  <c r="AB21" i="39"/>
  <c r="AB17" i="39"/>
  <c r="AB33" i="36"/>
  <c r="AA11" i="36"/>
  <c r="AA14" i="35"/>
  <c r="S14" i="35"/>
  <c r="F33" i="37"/>
  <c r="S33" i="37" s="1"/>
  <c r="AB19" i="39"/>
  <c r="U19" i="39"/>
  <c r="U46" i="34"/>
  <c r="AC30" i="34"/>
  <c r="AA14" i="34"/>
  <c r="W12" i="34"/>
  <c r="U29" i="33"/>
  <c r="AC13" i="33"/>
  <c r="AA11" i="34"/>
  <c r="W32" i="33"/>
  <c r="H15" i="33"/>
  <c r="AA11" i="33"/>
  <c r="U17" i="21"/>
  <c r="W34" i="40"/>
  <c r="AB34" i="40"/>
  <c r="AB42" i="40"/>
  <c r="H25" i="40"/>
  <c r="AB25" i="40" s="1"/>
  <c r="F94" i="40"/>
  <c r="G94" i="40" s="1"/>
  <c r="U47" i="39"/>
  <c r="J37" i="34"/>
  <c r="AC37" i="34" s="1"/>
  <c r="J36" i="33"/>
  <c r="W36" i="33" s="1"/>
  <c r="AB23" i="40"/>
  <c r="H23" i="39"/>
  <c r="AB23" i="39"/>
  <c r="J23" i="39"/>
  <c r="AC23" i="39"/>
  <c r="G97" i="39"/>
  <c r="S16" i="39"/>
  <c r="S15" i="34"/>
  <c r="AA15" i="34"/>
  <c r="AA41" i="33"/>
  <c r="F106" i="33"/>
  <c r="G106" i="33" s="1"/>
  <c r="H106" i="33"/>
  <c r="I106" i="33" s="1"/>
  <c r="J106" i="33" s="1"/>
  <c r="K106" i="33" s="1"/>
  <c r="L106" i="33" s="1"/>
  <c r="M106" i="33" s="1"/>
  <c r="J34" i="33"/>
  <c r="AC34" i="33" s="1"/>
  <c r="U30" i="40"/>
  <c r="W29" i="35"/>
  <c r="W39" i="39"/>
  <c r="S39" i="39"/>
  <c r="U34" i="39"/>
  <c r="AB29" i="39"/>
  <c r="AB44" i="39"/>
  <c r="AA33" i="39"/>
  <c r="S33" i="39"/>
  <c r="U11" i="36"/>
  <c r="W14" i="35"/>
  <c r="F90" i="34"/>
  <c r="G90" i="34" s="1"/>
  <c r="H90" i="34" s="1"/>
  <c r="I90" i="34" s="1"/>
  <c r="J90" i="34" s="1"/>
  <c r="K90" i="34" s="1"/>
  <c r="L90" i="34" s="1"/>
  <c r="M90" i="34" s="1"/>
  <c r="F27" i="34"/>
  <c r="S27" i="34" s="1"/>
  <c r="AC43" i="39"/>
  <c r="W43" i="39"/>
  <c r="AA43" i="39"/>
  <c r="AA19" i="39"/>
  <c r="F32" i="37"/>
  <c r="S32" i="37" s="1"/>
  <c r="S46" i="34"/>
  <c r="U32" i="34"/>
  <c r="U14" i="34"/>
  <c r="AC14" i="34"/>
  <c r="U12" i="34"/>
  <c r="AB13" i="33"/>
  <c r="G80" i="34"/>
  <c r="F17" i="34"/>
  <c r="AA17" i="34"/>
  <c r="J17" i="34"/>
  <c r="AC17" i="34"/>
  <c r="H11" i="34"/>
  <c r="AB11" i="34"/>
  <c r="J35" i="33"/>
  <c r="W35" i="33"/>
  <c r="S32" i="33"/>
  <c r="AC15" i="33"/>
  <c r="H11" i="33"/>
  <c r="U11" i="33"/>
  <c r="H10" i="33"/>
  <c r="U10" i="33"/>
  <c r="J10" i="33"/>
  <c r="U40" i="21"/>
  <c r="U13" i="39"/>
  <c r="AC16" i="35"/>
  <c r="AC13" i="40"/>
  <c r="J11" i="34"/>
  <c r="W11" i="34"/>
  <c r="S17" i="34"/>
  <c r="F25" i="40"/>
  <c r="AA25" i="40"/>
  <c r="J11" i="33"/>
  <c r="W11" i="33"/>
  <c r="H33" i="37"/>
  <c r="AB33" i="37"/>
  <c r="W15" i="34"/>
  <c r="AC15" i="34"/>
  <c r="AB20" i="35"/>
  <c r="W23" i="40"/>
  <c r="D73" i="9"/>
  <c r="N73" i="9" s="1"/>
  <c r="AP11" i="1"/>
  <c r="J51" i="15"/>
  <c r="B11" i="1"/>
  <c r="E11" i="1" s="1"/>
  <c r="K11" i="1"/>
  <c r="M11" i="1" s="1"/>
  <c r="B9" i="1"/>
  <c r="E9" i="1" s="1"/>
  <c r="K9" i="1"/>
  <c r="M9" i="1" s="1"/>
  <c r="B7" i="1"/>
  <c r="E7" i="1" s="1"/>
  <c r="K7" i="1"/>
  <c r="M7" i="1" s="1"/>
  <c r="O7" i="1"/>
  <c r="P7" i="1"/>
  <c r="C20" i="43"/>
  <c r="F6" i="1"/>
  <c r="AP6" i="1"/>
  <c r="G11" i="1"/>
  <c r="M22" i="44"/>
  <c r="F32" i="15"/>
  <c r="F59" i="15"/>
  <c r="F29" i="12"/>
  <c r="F70" i="9"/>
  <c r="D86" i="9"/>
  <c r="M20" i="44"/>
  <c r="F31" i="43"/>
  <c r="F30" i="44"/>
  <c r="C30" i="44" s="1"/>
  <c r="C27" i="43"/>
  <c r="C25" i="12"/>
  <c r="C29" i="12"/>
  <c r="AA26" i="36"/>
  <c r="U25" i="36"/>
  <c r="H20" i="36"/>
  <c r="U20" i="36"/>
  <c r="G68" i="36"/>
  <c r="J20" i="36"/>
  <c r="AC20" i="36"/>
  <c r="F20" i="36"/>
  <c r="S20" i="36"/>
  <c r="G62" i="36"/>
  <c r="J14" i="36"/>
  <c r="H14" i="36"/>
  <c r="U14" i="36" s="1"/>
  <c r="F14" i="36"/>
  <c r="AA14" i="36"/>
  <c r="W20" i="36"/>
  <c r="U27" i="36"/>
  <c r="S33" i="36"/>
  <c r="S16" i="36"/>
  <c r="AC33" i="35"/>
  <c r="U22" i="35"/>
  <c r="AA13" i="35"/>
  <c r="S8" i="35"/>
  <c r="AA20" i="35"/>
  <c r="S23" i="35"/>
  <c r="S16" i="35"/>
  <c r="AB14" i="35"/>
  <c r="U9" i="35"/>
  <c r="AC18" i="35"/>
  <c r="W18" i="35"/>
  <c r="U18" i="35"/>
  <c r="AB18" i="35"/>
  <c r="S30" i="35"/>
  <c r="AB30" i="35"/>
  <c r="S27" i="35"/>
  <c r="S28" i="35"/>
  <c r="F26" i="35"/>
  <c r="AA26" i="35" s="1"/>
  <c r="AB9" i="37"/>
  <c r="W12" i="37"/>
  <c r="AA9" i="37"/>
  <c r="S17" i="37"/>
  <c r="W28" i="37"/>
  <c r="AA31" i="37"/>
  <c r="AA33" i="37"/>
  <c r="U32" i="37"/>
  <c r="J33" i="37"/>
  <c r="W33" i="37"/>
  <c r="I99" i="37"/>
  <c r="J99" i="37" s="1"/>
  <c r="K99" i="37" s="1"/>
  <c r="L99" i="37" s="1"/>
  <c r="M99" i="37" s="1"/>
  <c r="S29" i="37"/>
  <c r="J19" i="37"/>
  <c r="AC19" i="37" s="1"/>
  <c r="F19" i="37"/>
  <c r="AA19" i="37"/>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AA33" i="34"/>
  <c r="U34" i="34"/>
  <c r="J25" i="34"/>
  <c r="H25" i="34"/>
  <c r="U25" i="34" s="1"/>
  <c r="F25" i="34"/>
  <c r="J23" i="34"/>
  <c r="AC23" i="34" s="1"/>
  <c r="G86" i="34"/>
  <c r="F23" i="34"/>
  <c r="H23" i="34"/>
  <c r="U23" i="34" s="1"/>
  <c r="W17" i="34"/>
  <c r="AC11" i="34"/>
  <c r="U11" i="34"/>
  <c r="W10" i="34"/>
  <c r="U10" i="34"/>
  <c r="W37" i="34"/>
  <c r="AC40" i="34"/>
  <c r="W44" i="34"/>
  <c r="W29" i="34"/>
  <c r="AC21" i="34"/>
  <c r="W21" i="34"/>
  <c r="U15" i="34"/>
  <c r="AB21" i="34"/>
  <c r="U21" i="34"/>
  <c r="U19" i="34"/>
  <c r="AB41" i="34"/>
  <c r="AA41" i="34"/>
  <c r="S9" i="34"/>
  <c r="S10" i="34"/>
  <c r="U37" i="33"/>
  <c r="S35" i="33"/>
  <c r="W34" i="33"/>
  <c r="AB11" i="33"/>
  <c r="AC35" i="33"/>
  <c r="S29" i="33"/>
  <c r="W43" i="33"/>
  <c r="W39" i="33"/>
  <c r="AB34" i="33"/>
  <c r="AB26" i="33"/>
  <c r="H25" i="33"/>
  <c r="AB25" i="33"/>
  <c r="J25" i="33"/>
  <c r="W25"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AC21" i="33"/>
  <c r="W21" i="33"/>
  <c r="AB10" i="33"/>
  <c r="U25" i="33"/>
  <c r="AB21" i="33"/>
  <c r="U21" i="33"/>
  <c r="AA21" i="33"/>
  <c r="S21" i="33"/>
  <c r="AA36" i="33"/>
  <c r="W39" i="21"/>
  <c r="W32" i="21"/>
  <c r="U35" i="21"/>
  <c r="W43" i="21"/>
  <c r="AA37" i="21"/>
  <c r="S42" i="21"/>
  <c r="AB32" i="21"/>
  <c r="AC46" i="21"/>
  <c r="AC26" i="21"/>
  <c r="F85" i="21"/>
  <c r="G85" i="21" s="1"/>
  <c r="J23" i="21"/>
  <c r="W23" i="21" s="1"/>
  <c r="F23" i="21"/>
  <c r="AA23" i="21" s="1"/>
  <c r="H23" i="21"/>
  <c r="AA17" i="21"/>
  <c r="F15" i="21"/>
  <c r="F77" i="21"/>
  <c r="G77" i="21" s="1"/>
  <c r="J15" i="21"/>
  <c r="W15" i="21" s="1"/>
  <c r="H15" i="21"/>
  <c r="AC11" i="21"/>
  <c r="W13" i="21"/>
  <c r="AC23" i="21"/>
  <c r="AC21" i="21"/>
  <c r="W21" i="21"/>
  <c r="AC19" i="21"/>
  <c r="W10" i="21"/>
  <c r="AC38" i="21"/>
  <c r="AB21" i="21"/>
  <c r="U21" i="21"/>
  <c r="W33" i="40"/>
  <c r="U15" i="40"/>
  <c r="AB13" i="40"/>
  <c r="W11" i="40"/>
  <c r="U21" i="40"/>
  <c r="W42" i="40"/>
  <c r="U35" i="40"/>
  <c r="F37" i="40"/>
  <c r="J37" i="40"/>
  <c r="AC37" i="40" s="1"/>
  <c r="H37" i="40"/>
  <c r="AB37"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G88" i="40"/>
  <c r="F19" i="40"/>
  <c r="H19" i="40"/>
  <c r="U19" i="40" s="1"/>
  <c r="J19" i="40"/>
  <c r="W17" i="40"/>
  <c r="AC17" i="40"/>
  <c r="F17" i="40"/>
  <c r="H17" i="40"/>
  <c r="AB17" i="40" s="1"/>
  <c r="W21" i="40"/>
  <c r="AB40" i="40"/>
  <c r="U10" i="40"/>
  <c r="U27" i="40"/>
  <c r="AB27" i="40"/>
  <c r="AC44" i="39"/>
  <c r="W13" i="39"/>
  <c r="S11" i="39"/>
  <c r="AB45" i="39"/>
  <c r="AA21" i="39"/>
  <c r="S29" i="39"/>
  <c r="AC21" i="39"/>
  <c r="AC17" i="39"/>
  <c r="S14" i="39"/>
  <c r="U11" i="39"/>
  <c r="U41" i="39"/>
  <c r="U23" i="39"/>
  <c r="AB38" i="39"/>
  <c r="U31" i="39"/>
  <c r="AB31" i="39"/>
  <c r="S25" i="39"/>
  <c r="S38" i="39"/>
  <c r="D18" i="9"/>
  <c r="M44" i="9" s="1"/>
  <c r="M43" i="9"/>
  <c r="B22" i="63"/>
  <c r="M20" i="15"/>
  <c r="D96" i="9"/>
  <c r="F28" i="15"/>
  <c r="C28" i="15"/>
  <c r="M18" i="15"/>
  <c r="A18" i="64"/>
  <c r="B74" i="63" s="1"/>
  <c r="C53" i="10"/>
  <c r="A25" i="64" s="1"/>
  <c r="A18" i="51"/>
  <c r="B14" i="63" s="1"/>
  <c r="C24" i="12"/>
  <c r="F3" i="35"/>
  <c r="K1" i="43"/>
  <c r="K1" i="12"/>
  <c r="G1" i="44"/>
  <c r="I4" i="6"/>
  <c r="G3" i="46"/>
  <c r="H22" i="46"/>
  <c r="BK5" i="3"/>
  <c r="BO5" i="3"/>
  <c r="BP5" i="3"/>
  <c r="BN5" i="3"/>
  <c r="BC5" i="3"/>
  <c r="BD5" i="3"/>
  <c r="E8" i="6"/>
  <c r="BR5" i="3"/>
  <c r="G28" i="6"/>
  <c r="BS5" i="3"/>
  <c r="BQ5" i="3"/>
  <c r="BM5" i="3"/>
  <c r="F29" i="6" s="1"/>
  <c r="H48" i="46"/>
  <c r="H52" i="46"/>
  <c r="H53" i="46"/>
  <c r="G28" i="12"/>
  <c r="G22" i="43"/>
  <c r="G26" i="12"/>
  <c r="D24" i="44"/>
  <c r="D26" i="44"/>
  <c r="G27" i="12"/>
  <c r="G23" i="43"/>
  <c r="G21" i="43"/>
  <c r="H54" i="46"/>
  <c r="H50" i="46"/>
  <c r="H55" i="46"/>
  <c r="H51" i="46"/>
  <c r="E11" i="46"/>
  <c r="C7" i="46" s="1"/>
  <c r="E10" i="46"/>
  <c r="N8" i="46"/>
  <c r="N4" i="46"/>
  <c r="N1" i="46"/>
  <c r="M9" i="46"/>
  <c r="M2" i="46"/>
  <c r="N11" i="46"/>
  <c r="N9" i="46"/>
  <c r="F69" i="46"/>
  <c r="M4" i="46"/>
  <c r="M12" i="46"/>
  <c r="M8" i="46"/>
  <c r="M3" i="46"/>
  <c r="M5" i="46"/>
  <c r="H6" i="48"/>
  <c r="E9" i="46"/>
  <c r="H15" i="48"/>
  <c r="H5" i="48"/>
  <c r="H14" i="48"/>
  <c r="F38" i="46"/>
  <c r="F36" i="46"/>
  <c r="F34" i="46"/>
  <c r="J17" i="46"/>
  <c r="C17" i="46"/>
  <c r="F39" i="46"/>
  <c r="H13" i="48"/>
  <c r="H11" i="48"/>
  <c r="E8" i="46"/>
  <c r="I17" i="46"/>
  <c r="C16" i="46"/>
  <c r="E17" i="46"/>
  <c r="D71" i="46"/>
  <c r="D84" i="46"/>
  <c r="D69" i="46"/>
  <c r="E69" i="46" s="1"/>
  <c r="B67" i="46"/>
  <c r="E47" i="46"/>
  <c r="E58" i="46"/>
  <c r="B56" i="46" s="1"/>
  <c r="A4" i="64"/>
  <c r="A4" i="51"/>
  <c r="C51" i="10"/>
  <c r="H58" i="46"/>
  <c r="H62" i="46"/>
  <c r="H71" i="46"/>
  <c r="H75" i="46"/>
  <c r="H76" i="46"/>
  <c r="I100" i="46"/>
  <c r="N100" i="46"/>
  <c r="H100" i="46"/>
  <c r="F108" i="46"/>
  <c r="H80" i="46"/>
  <c r="B45" i="46"/>
  <c r="AB11" i="46"/>
  <c r="AB13" i="46"/>
  <c r="E100" i="46"/>
  <c r="G100" i="46"/>
  <c r="H84" i="46"/>
  <c r="H65" i="46"/>
  <c r="C100" i="46"/>
  <c r="J100" i="46"/>
  <c r="M100" i="46"/>
  <c r="U12" i="35"/>
  <c r="W11" i="35"/>
  <c r="S14" i="37"/>
  <c r="S13" i="21"/>
  <c r="C24" i="9"/>
  <c r="C25" i="9"/>
  <c r="AP7" i="1"/>
  <c r="G7" i="1"/>
  <c r="AP9" i="1"/>
  <c r="G9" i="1"/>
  <c r="AP8" i="1"/>
  <c r="G8" i="1"/>
  <c r="B6" i="63"/>
  <c r="B46" i="50"/>
  <c r="B4" i="63"/>
  <c r="D46" i="36"/>
  <c r="E46" i="36" s="1"/>
  <c r="C59" i="34"/>
  <c r="D59" i="34"/>
  <c r="E59" i="34" s="1"/>
  <c r="F59" i="34" s="1"/>
  <c r="C48" i="35"/>
  <c r="D48" i="35" s="1"/>
  <c r="C52" i="37"/>
  <c r="D52" i="37" s="1"/>
  <c r="C67" i="40"/>
  <c r="P24" i="46"/>
  <c r="B68" i="40" s="1"/>
  <c r="P25" i="46"/>
  <c r="B73" i="39" s="1"/>
  <c r="P23" i="46"/>
  <c r="P21" i="46"/>
  <c r="P22" i="46"/>
  <c r="C72" i="39"/>
  <c r="O19" i="46"/>
  <c r="A22" i="51"/>
  <c r="B16" i="63" s="1"/>
  <c r="H77" i="46"/>
  <c r="H73" i="46"/>
  <c r="H69" i="46"/>
  <c r="H74" i="46"/>
  <c r="H86" i="46"/>
  <c r="H82" i="46"/>
  <c r="H63" i="46"/>
  <c r="H64" i="46"/>
  <c r="H10" i="48"/>
  <c r="H87" i="46"/>
  <c r="H85" i="46"/>
  <c r="H83" i="46"/>
  <c r="O13" i="1"/>
  <c r="P13" i="1"/>
  <c r="K10" i="1"/>
  <c r="M10" i="1" s="1"/>
  <c r="O10" i="1"/>
  <c r="P10" i="1"/>
  <c r="S13" i="1"/>
  <c r="R13" i="1"/>
  <c r="B6" i="1"/>
  <c r="E6" i="1" s="1"/>
  <c r="B10" i="1"/>
  <c r="E10" i="1" s="1"/>
  <c r="B8" i="1"/>
  <c r="E8" i="1"/>
  <c r="B12" i="1"/>
  <c r="E12" i="1"/>
  <c r="K6" i="1"/>
  <c r="M6" i="1" s="1"/>
  <c r="O9" i="1"/>
  <c r="P9" i="1"/>
  <c r="O11" i="1"/>
  <c r="P11" i="1"/>
  <c r="O12" i="1"/>
  <c r="P12" i="1"/>
  <c r="G1" i="15"/>
  <c r="F66" i="36"/>
  <c r="H18" i="36"/>
  <c r="U18" i="36" s="1"/>
  <c r="S25" i="36"/>
  <c r="U23" i="36"/>
  <c r="W28" i="36"/>
  <c r="U13" i="36"/>
  <c r="U10" i="36"/>
  <c r="W29" i="36"/>
  <c r="S9" i="36"/>
  <c r="AC30" i="35"/>
  <c r="W32" i="35"/>
  <c r="AA33" i="35"/>
  <c r="U32" i="35"/>
  <c r="W22" i="35"/>
  <c r="S32" i="35"/>
  <c r="AC33" i="37"/>
  <c r="U33" i="37"/>
  <c r="AC15" i="37"/>
  <c r="S12" i="37"/>
  <c r="W36" i="37"/>
  <c r="U26" i="37"/>
  <c r="AB28" i="37"/>
  <c r="W13" i="37"/>
  <c r="S26" i="37"/>
  <c r="AB35" i="34"/>
  <c r="AB29" i="34"/>
  <c r="AB13" i="34"/>
  <c r="S47" i="34"/>
  <c r="S19" i="34"/>
  <c r="S8" i="34"/>
  <c r="AA19" i="33"/>
  <c r="AC25" i="33"/>
  <c r="S43" i="33"/>
  <c r="AB12" i="33"/>
  <c r="S9" i="33"/>
  <c r="S39" i="21"/>
  <c r="AB25" i="21"/>
  <c r="W25" i="21"/>
  <c r="AC37" i="21"/>
  <c r="U27" i="21"/>
  <c r="S27" i="21"/>
  <c r="AC27" i="21"/>
  <c r="G96" i="40"/>
  <c r="J27" i="40"/>
  <c r="W37" i="40"/>
  <c r="W30" i="40"/>
  <c r="U17" i="40"/>
  <c r="S40" i="40"/>
  <c r="G105" i="39"/>
  <c r="J31" i="39"/>
  <c r="S45" i="39"/>
  <c r="W41" i="39"/>
  <c r="AB43" i="39"/>
  <c r="AC46" i="39"/>
  <c r="S34" i="39"/>
  <c r="W42" i="39"/>
  <c r="W36" i="39"/>
  <c r="W23" i="39"/>
  <c r="U14" i="39"/>
  <c r="W16"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F28" i="6"/>
  <c r="F30" i="6" s="1"/>
  <c r="AJ11" i="46"/>
  <c r="AJ13" i="46"/>
  <c r="AF11" i="46"/>
  <c r="AF13" i="46"/>
  <c r="AI11" i="46"/>
  <c r="AA11" i="46"/>
  <c r="H101" i="46"/>
  <c r="H109" i="46"/>
  <c r="C23" i="46" s="1"/>
  <c r="E22" i="46"/>
  <c r="G22" i="46"/>
  <c r="F22" i="46"/>
  <c r="AH11" i="46"/>
  <c r="AH13" i="46"/>
  <c r="AD11" i="46"/>
  <c r="AD13" i="46"/>
  <c r="Z11" i="46"/>
  <c r="Z13" i="46"/>
  <c r="Y11" i="46"/>
  <c r="Y13" i="46"/>
  <c r="AG11" i="46"/>
  <c r="AG13" i="46"/>
  <c r="AC11" i="46"/>
  <c r="AC13" i="46"/>
  <c r="F101" i="46"/>
  <c r="F109" i="46"/>
  <c r="N101" i="46"/>
  <c r="N109" i="46"/>
  <c r="K101" i="46"/>
  <c r="K109" i="46"/>
  <c r="Z7" i="46"/>
  <c r="E101" i="46"/>
  <c r="E104" i="46" s="1"/>
  <c r="M101" i="46"/>
  <c r="D101" i="46"/>
  <c r="D106" i="46" s="1"/>
  <c r="L101" i="46"/>
  <c r="I101" i="46"/>
  <c r="I105" i="46" s="1"/>
  <c r="N104" i="45"/>
  <c r="B113" i="46"/>
  <c r="D118" i="46" s="1"/>
  <c r="E118" i="46" s="1"/>
  <c r="F118" i="46" s="1"/>
  <c r="J101" i="46"/>
  <c r="G101" i="46"/>
  <c r="G104" i="46" s="1"/>
  <c r="C101" i="46"/>
  <c r="S14" i="36"/>
  <c r="AB20" i="36"/>
  <c r="AA20" i="36"/>
  <c r="AC14" i="36"/>
  <c r="W14" i="36"/>
  <c r="AB14" i="36"/>
  <c r="S26" i="35"/>
  <c r="S19" i="37"/>
  <c r="W19" i="37"/>
  <c r="AB19" i="37"/>
  <c r="U19" i="37"/>
  <c r="W17" i="37"/>
  <c r="AB25" i="34"/>
  <c r="AA25" i="34"/>
  <c r="S25" i="34"/>
  <c r="W25" i="34"/>
  <c r="AC25" i="34"/>
  <c r="AA23" i="34"/>
  <c r="S23" i="34"/>
  <c r="W23" i="34"/>
  <c r="AA25" i="33"/>
  <c r="S25" i="33"/>
  <c r="AC23" i="33"/>
  <c r="S23" i="33"/>
  <c r="AA23" i="33"/>
  <c r="AC17" i="33"/>
  <c r="S17" i="33"/>
  <c r="U17" i="33"/>
  <c r="AB17" i="33"/>
  <c r="U23" i="21"/>
  <c r="AB23" i="21"/>
  <c r="U15" i="21"/>
  <c r="AB15" i="21"/>
  <c r="AC15" i="21"/>
  <c r="C104" i="46"/>
  <c r="F106" i="46"/>
  <c r="F107" i="46"/>
  <c r="F103" i="46"/>
  <c r="K104" i="46"/>
  <c r="K107" i="46"/>
  <c r="K105" i="46"/>
  <c r="AB39" i="40"/>
  <c r="AC39" i="40"/>
  <c r="W39" i="40"/>
  <c r="U37" i="40"/>
  <c r="AA37" i="40"/>
  <c r="S37" i="40"/>
  <c r="AC29" i="40"/>
  <c r="W29" i="40"/>
  <c r="AA29" i="40"/>
  <c r="S29" i="40"/>
  <c r="W19" i="40"/>
  <c r="AC19" i="40"/>
  <c r="AA19" i="40"/>
  <c r="S19" i="40"/>
  <c r="AB19" i="40"/>
  <c r="AC27" i="40"/>
  <c r="W27" i="40"/>
  <c r="W31" i="39"/>
  <c r="AC31" i="39"/>
  <c r="E58" i="39"/>
  <c r="E5" i="6"/>
  <c r="O6" i="1"/>
  <c r="P6" i="1"/>
  <c r="C15" i="12"/>
  <c r="E12" i="6"/>
  <c r="E64" i="39"/>
  <c r="G29" i="6"/>
  <c r="G30" i="6" s="1"/>
  <c r="E14" i="6"/>
  <c r="E10" i="6"/>
  <c r="E15" i="6"/>
  <c r="E28" i="6"/>
  <c r="E13" i="6"/>
  <c r="E11" i="6"/>
  <c r="E63" i="39" s="1"/>
  <c r="H70" i="46"/>
  <c r="H72" i="46"/>
  <c r="A9" i="64"/>
  <c r="A9" i="51"/>
  <c r="B9" i="63" s="1"/>
  <c r="A25" i="51"/>
  <c r="B18" i="63" s="1"/>
  <c r="E52" i="37"/>
  <c r="F52" i="37" s="1"/>
  <c r="E48" i="35"/>
  <c r="F48" i="35"/>
  <c r="G48" i="35" s="1"/>
  <c r="D72" i="39"/>
  <c r="E70" i="39"/>
  <c r="F70" i="39" s="1"/>
  <c r="D67" i="40"/>
  <c r="E65" i="40"/>
  <c r="F65" i="40" s="1"/>
  <c r="G39" i="46"/>
  <c r="I39" i="46"/>
  <c r="E4" i="4"/>
  <c r="C4" i="4"/>
  <c r="B20" i="55" s="1"/>
  <c r="B70" i="63" s="1"/>
  <c r="G66" i="36"/>
  <c r="J18" i="36"/>
  <c r="W18" i="36" s="1"/>
  <c r="K102" i="46"/>
  <c r="K103" i="46"/>
  <c r="K106" i="46"/>
  <c r="F105" i="46"/>
  <c r="F104" i="46"/>
  <c r="F102" i="46"/>
  <c r="C109" i="46"/>
  <c r="C103" i="46"/>
  <c r="J106" i="46"/>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8" i="46"/>
  <c r="J118" i="46" s="1"/>
  <c r="K118" i="46" s="1"/>
  <c r="L118" i="46" s="1"/>
  <c r="M118" i="46" s="1"/>
  <c r="L106" i="46"/>
  <c r="L102" i="46"/>
  <c r="L107" i="46"/>
  <c r="L105" i="46"/>
  <c r="L109" i="46"/>
  <c r="L104" i="46"/>
  <c r="L103" i="46"/>
  <c r="E103" i="46"/>
  <c r="E107" i="46"/>
  <c r="E102" i="46"/>
  <c r="G109" i="46"/>
  <c r="G106" i="46"/>
  <c r="G105" i="46"/>
  <c r="B116" i="46"/>
  <c r="C116" i="46" s="1"/>
  <c r="G118" i="46"/>
  <c r="H118" i="46" s="1"/>
  <c r="D117" i="46"/>
  <c r="E117" i="46" s="1"/>
  <c r="F117" i="46" s="1"/>
  <c r="G117" i="46" s="1"/>
  <c r="H117" i="46" s="1"/>
  <c r="I102" i="46"/>
  <c r="I109" i="46"/>
  <c r="I107" i="46"/>
  <c r="D102" i="46"/>
  <c r="D104" i="46"/>
  <c r="D109" i="46"/>
  <c r="D103" i="46"/>
  <c r="M107" i="46"/>
  <c r="M104" i="46"/>
  <c r="M102" i="46"/>
  <c r="M103" i="46"/>
  <c r="M109" i="46"/>
  <c r="M105" i="46"/>
  <c r="M106" i="46"/>
  <c r="H104" i="46"/>
  <c r="H102" i="46"/>
  <c r="H105" i="46"/>
  <c r="H107" i="46"/>
  <c r="H106" i="46"/>
  <c r="H103" i="46"/>
  <c r="D21" i="12"/>
  <c r="C21" i="12" s="1"/>
  <c r="D12" i="11"/>
  <c r="C12" i="11"/>
  <c r="E59" i="40"/>
  <c r="E29" i="6"/>
  <c r="K15" i="1" s="1"/>
  <c r="L20" i="6"/>
  <c r="E58" i="40"/>
  <c r="E16" i="6"/>
  <c r="E60" i="40"/>
  <c r="E65" i="39"/>
  <c r="E30" i="6"/>
  <c r="L19" i="6"/>
  <c r="E62" i="40"/>
  <c r="E67" i="39"/>
  <c r="E66" i="39"/>
  <c r="E61" i="40"/>
  <c r="B21" i="55"/>
  <c r="B72" i="63" s="1"/>
  <c r="E67" i="40"/>
  <c r="E72" i="39"/>
  <c r="J22" i="46"/>
  <c r="L27" i="6"/>
  <c r="O14" i="1"/>
  <c r="O16" i="1"/>
  <c r="P14" i="1"/>
  <c r="P16" i="1"/>
  <c r="C13" i="12" s="1"/>
  <c r="C17" i="12" s="1"/>
  <c r="C45" i="9"/>
  <c r="C44" i="9"/>
  <c r="G14" i="66"/>
  <c r="B6" i="66" s="1"/>
  <c r="O40" i="9"/>
  <c r="R7" i="54" s="1"/>
  <c r="B52" i="63" s="1"/>
  <c r="K31" i="9"/>
  <c r="K32" i="9" s="1"/>
  <c r="N69" i="9"/>
  <c r="M84" i="9" s="1"/>
  <c r="N84" i="9" s="1"/>
  <c r="O39" i="9"/>
  <c r="K29" i="9"/>
  <c r="M86" i="9"/>
  <c r="N86" i="9" s="1"/>
  <c r="M88" i="9"/>
  <c r="N88" i="9" s="1"/>
  <c r="M85" i="9"/>
  <c r="N85" i="9" s="1"/>
  <c r="K30" i="9"/>
  <c r="R6" i="54"/>
  <c r="B50" i="63"/>
  <c r="N76" i="9"/>
  <c r="C46" i="9"/>
  <c r="I14" i="66"/>
  <c r="B8" i="66" s="1"/>
  <c r="H14" i="66" l="1"/>
  <c r="B7" i="66" s="1"/>
  <c r="G58" i="21"/>
  <c r="H58" i="21" s="1"/>
  <c r="I58" i="21" s="1"/>
  <c r="J58" i="21" s="1"/>
  <c r="K58" i="21" s="1"/>
  <c r="L58" i="21" s="1"/>
  <c r="M58" i="21" s="1"/>
  <c r="N58" i="21" s="1"/>
  <c r="O58" i="21" s="1"/>
  <c r="F7" i="21"/>
  <c r="H7" i="21"/>
  <c r="J7" i="21"/>
  <c r="G58" i="33"/>
  <c r="H58" i="33" s="1"/>
  <c r="I58" i="33" s="1"/>
  <c r="J58" i="33" s="1"/>
  <c r="K58" i="33" s="1"/>
  <c r="L58" i="33" s="1"/>
  <c r="M58" i="33" s="1"/>
  <c r="N58" i="33" s="1"/>
  <c r="O58" i="33" s="1"/>
  <c r="F7" i="33"/>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J7" i="37"/>
  <c r="G52" i="37"/>
  <c r="H52" i="37" s="1"/>
  <c r="I52" i="37" s="1"/>
  <c r="J52" i="37" s="1"/>
  <c r="K52" i="37" s="1"/>
  <c r="L52" i="37" s="1"/>
  <c r="M52" i="37" s="1"/>
  <c r="N52" i="37" s="1"/>
  <c r="O52" i="37" s="1"/>
  <c r="G59" i="34"/>
  <c r="H59" i="34" s="1"/>
  <c r="I59" i="34" s="1"/>
  <c r="J59" i="34" s="1"/>
  <c r="K59" i="34" s="1"/>
  <c r="L59" i="34" s="1"/>
  <c r="M59" i="34" s="1"/>
  <c r="N59" i="34" s="1"/>
  <c r="O59" i="34" s="1"/>
  <c r="F7" i="34"/>
  <c r="F46" i="36"/>
  <c r="G46" i="36" s="1"/>
  <c r="H46" i="36" s="1"/>
  <c r="I46" i="36" s="1"/>
  <c r="J46" i="36" s="1"/>
  <c r="K46" i="36" s="1"/>
  <c r="L46" i="36" s="1"/>
  <c r="M46" i="36" s="1"/>
  <c r="N46" i="36" s="1"/>
  <c r="O46" i="36" s="1"/>
  <c r="F7" i="36"/>
  <c r="C106" i="46"/>
  <c r="C105" i="46"/>
  <c r="J104" i="46"/>
  <c r="J103" i="46"/>
  <c r="J105" i="46"/>
  <c r="J109" i="46"/>
  <c r="K14" i="1"/>
  <c r="M14" i="1" s="1"/>
  <c r="AC18" i="36"/>
  <c r="D107" i="46"/>
  <c r="D105" i="46"/>
  <c r="I106" i="46"/>
  <c r="I103" i="46"/>
  <c r="I104" i="46"/>
  <c r="B118" i="46"/>
  <c r="C118" i="46" s="1"/>
  <c r="D116" i="46"/>
  <c r="E116" i="46" s="1"/>
  <c r="F116" i="46" s="1"/>
  <c r="G116" i="46" s="1"/>
  <c r="H116" i="46" s="1"/>
  <c r="E109" i="46"/>
  <c r="E105" i="46"/>
  <c r="E106" i="46"/>
  <c r="B115" i="46"/>
  <c r="I117" i="46"/>
  <c r="J117" i="46" s="1"/>
  <c r="K117" i="46" s="1"/>
  <c r="L117" i="46" s="1"/>
  <c r="M117" i="46" s="1"/>
  <c r="F7" i="37"/>
  <c r="H7" i="37"/>
  <c r="J102" i="46"/>
  <c r="C102" i="46"/>
  <c r="I116" i="46"/>
  <c r="J116" i="46" s="1"/>
  <c r="K116" i="46" s="1"/>
  <c r="L116" i="46" s="1"/>
  <c r="M116" i="46" s="1"/>
  <c r="J7" i="36"/>
  <c r="H7" i="36"/>
  <c r="H7" i="35"/>
  <c r="J7" i="35"/>
  <c r="H7" i="34"/>
  <c r="J7" i="34"/>
  <c r="U29" i="40"/>
  <c r="AA39" i="40"/>
  <c r="C107" i="46"/>
  <c r="J107" i="46"/>
  <c r="S23" i="21"/>
  <c r="AB23" i="33"/>
  <c r="AB23" i="34"/>
  <c r="AB18" i="36"/>
  <c r="D22" i="46"/>
  <c r="C21" i="46" s="1"/>
  <c r="C5" i="46"/>
  <c r="F27" i="6"/>
  <c r="F31" i="6" s="1"/>
  <c r="E53" i="40"/>
  <c r="AC38" i="39"/>
  <c r="AA17" i="40"/>
  <c r="S17" i="40"/>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A17" i="51"/>
  <c r="B13" i="63"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S21" i="40"/>
  <c r="AA21" i="40"/>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D38" i="46"/>
  <c r="H38" i="46" s="1"/>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D1" i="57"/>
  <c r="E10" i="57" s="1"/>
  <c r="I21" i="57"/>
  <c r="D46" i="59"/>
  <c r="T46" i="59"/>
  <c r="D38" i="59"/>
  <c r="T38" i="59"/>
  <c r="D34" i="59"/>
  <c r="T34" i="59"/>
  <c r="G1" i="70"/>
  <c r="G1" i="68"/>
  <c r="G1" i="72"/>
  <c r="G1" i="71"/>
  <c r="G1" i="69"/>
  <c r="B54" i="46"/>
  <c r="C27" i="40"/>
  <c r="S27" i="40"/>
  <c r="S21" i="34"/>
  <c r="S18" i="35"/>
  <c r="C61" i="59"/>
  <c r="C53" i="59"/>
  <c r="Q48" i="59"/>
  <c r="Q47" i="59"/>
  <c r="G5" i="3"/>
  <c r="B3" i="3" s="1"/>
  <c r="F10" i="1"/>
  <c r="D100" i="46"/>
  <c r="U10" i="59"/>
  <c r="E9" i="59"/>
  <c r="E8" i="59" s="1"/>
  <c r="AZ404" i="3"/>
  <c r="AZ396" i="3"/>
  <c r="AZ388" i="3"/>
  <c r="AA12" i="46"/>
  <c r="AA13" i="46" s="1"/>
  <c r="AE12" i="46"/>
  <c r="AE13" i="46" s="1"/>
  <c r="AI12" i="46"/>
  <c r="AI13" i="46" s="1"/>
  <c r="H1" i="65"/>
  <c r="C21" i="59"/>
  <c r="C17" i="59"/>
  <c r="C13" i="59"/>
  <c r="C15" i="43"/>
  <c r="C28" i="70"/>
  <c r="C28" i="68"/>
  <c r="K76" i="9"/>
  <c r="K77" i="9" s="1"/>
  <c r="K79" i="9" s="1"/>
  <c r="K81" i="9" s="1"/>
  <c r="AB6" i="59"/>
  <c r="C19" i="46" s="1"/>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BA403" i="3"/>
  <c r="AZ403" i="3" s="1"/>
  <c r="BL400" i="3"/>
  <c r="AZ400" i="3" s="1"/>
  <c r="BA399" i="3"/>
  <c r="AZ399" i="3" s="1"/>
  <c r="BL396" i="3"/>
  <c r="BA395" i="3"/>
  <c r="AZ395" i="3" s="1"/>
  <c r="BL392" i="3"/>
  <c r="AZ392" i="3" s="1"/>
  <c r="BA391" i="3"/>
  <c r="AZ391" i="3" s="1"/>
  <c r="BL388" i="3"/>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S18" i="74"/>
  <c r="M18" i="74" s="1"/>
  <c r="S39" i="74"/>
  <c r="M39" i="74" s="1"/>
  <c r="J39" i="74"/>
  <c r="K39" i="74" s="1"/>
  <c r="L39" i="74"/>
  <c r="N39" i="74" s="1"/>
  <c r="P39" i="74" s="1"/>
  <c r="Q39" i="74" s="1"/>
  <c r="J10" i="74"/>
  <c r="K10" i="74" s="1"/>
  <c r="S10" i="74"/>
  <c r="M10" i="74" s="1"/>
  <c r="L10" i="74"/>
  <c r="J42" i="74"/>
  <c r="S42" i="74" s="1"/>
  <c r="M42" i="74" s="1"/>
  <c r="K42" i="74"/>
  <c r="L42" i="74" s="1"/>
  <c r="J23" i="74"/>
  <c r="K23" i="74" s="1"/>
  <c r="J36" i="74"/>
  <c r="J32" i="74"/>
  <c r="K32" i="74"/>
  <c r="L32" i="74" s="1"/>
  <c r="J25" i="74"/>
  <c r="S25" i="74"/>
  <c r="M25" i="74" s="1"/>
  <c r="K25" i="74"/>
  <c r="S19" i="74"/>
  <c r="M19" i="74" s="1"/>
  <c r="J19" i="74"/>
  <c r="K19" i="74" s="1"/>
  <c r="BL78" i="3"/>
  <c r="BL5" i="3" s="1"/>
  <c r="BA77" i="3"/>
  <c r="C28" i="69"/>
  <c r="J41" i="74"/>
  <c r="K41" i="74" s="1"/>
  <c r="J12" i="74"/>
  <c r="K12" i="74" s="1"/>
  <c r="L12" i="74"/>
  <c r="J16" i="74"/>
  <c r="S16" i="74" s="1"/>
  <c r="M16" i="74" s="1"/>
  <c r="J40" i="74"/>
  <c r="S40" i="74"/>
  <c r="M40" i="74" s="1"/>
  <c r="K40" i="74"/>
  <c r="J15" i="74"/>
  <c r="K15" i="74" s="1"/>
  <c r="L15" i="74"/>
  <c r="J11" i="74"/>
  <c r="K11" i="74" s="1"/>
  <c r="S11" i="74"/>
  <c r="M11" i="74" s="1"/>
  <c r="L11" i="74"/>
  <c r="J34" i="74"/>
  <c r="K34" i="74"/>
  <c r="S34" i="74" s="1"/>
  <c r="M34" i="74" s="1"/>
  <c r="J30" i="74"/>
  <c r="K30" i="74" s="1"/>
  <c r="S21" i="74"/>
  <c r="M21" i="74" s="1"/>
  <c r="J21" i="74"/>
  <c r="K21" i="74" s="1"/>
  <c r="S17" i="74"/>
  <c r="M17" i="74" s="1"/>
  <c r="J17" i="74"/>
  <c r="K17" i="74" s="1"/>
  <c r="N13" i="74"/>
  <c r="P13" i="74" s="1"/>
  <c r="Q13" i="74" s="1"/>
  <c r="J29" i="74"/>
  <c r="J33" i="74"/>
  <c r="J37" i="74"/>
  <c r="K37" i="74" s="1"/>
  <c r="S37" i="74"/>
  <c r="M37" i="74" s="1"/>
  <c r="S14" i="74"/>
  <c r="M14" i="74" s="1"/>
  <c r="S27" i="74"/>
  <c r="M27" i="74" s="1"/>
  <c r="S13" i="74"/>
  <c r="M13" i="74" s="1"/>
  <c r="S6" i="74"/>
  <c r="M6" i="74" s="1"/>
  <c r="N6" i="74" s="1"/>
  <c r="P6" i="74" s="1"/>
  <c r="Q6" i="74" s="1"/>
  <c r="S8" i="74"/>
  <c r="M8" i="74" s="1"/>
  <c r="P62" i="68"/>
  <c r="D22" i="69"/>
  <c r="P62" i="70"/>
  <c r="D22" i="71"/>
  <c r="F28" i="72"/>
  <c r="C28" i="72" s="1"/>
  <c r="N8" i="74"/>
  <c r="P8" i="74" s="1"/>
  <c r="Q8" i="74" s="1"/>
  <c r="N14" i="74"/>
  <c r="P14" i="74" s="1"/>
  <c r="Q14" i="74" s="1"/>
  <c r="N27" i="74"/>
  <c r="P27" i="74" s="1"/>
  <c r="Q27" i="74" s="1"/>
  <c r="J31" i="74"/>
  <c r="J35" i="74"/>
  <c r="K35" i="74" s="1"/>
  <c r="L35" i="74" s="1"/>
  <c r="S35" i="74"/>
  <c r="M35" i="74" s="1"/>
  <c r="J9" i="74"/>
  <c r="E11" i="52"/>
  <c r="B23" i="52"/>
  <c r="E80" i="46"/>
  <c r="B78" i="46" s="1"/>
  <c r="C24" i="46" s="1"/>
  <c r="D23" i="15"/>
  <c r="L38" i="74"/>
  <c r="S38" i="74"/>
  <c r="M38" i="74" s="1"/>
  <c r="B4" i="52"/>
  <c r="B6" i="52"/>
  <c r="E9" i="52"/>
  <c r="B10" i="52"/>
  <c r="E5" i="52"/>
  <c r="B16" i="52"/>
  <c r="E10" i="52"/>
  <c r="B8" i="52"/>
  <c r="B9" i="52"/>
  <c r="B7" i="52"/>
  <c r="E4" i="52"/>
  <c r="E16" i="52"/>
  <c r="B11" i="52"/>
  <c r="E8" i="52"/>
  <c r="B5" i="52"/>
  <c r="B13" i="52"/>
  <c r="B22" i="52"/>
  <c r="E21" i="52"/>
  <c r="B14" i="52"/>
  <c r="E6" i="52"/>
  <c r="E7" i="52"/>
  <c r="L17" i="74"/>
  <c r="L19" i="74"/>
  <c r="N19" i="74" s="1"/>
  <c r="P19" i="74" s="1"/>
  <c r="Q19" i="74" s="1"/>
  <c r="L21" i="74"/>
  <c r="L23" i="74"/>
  <c r="L25" i="74"/>
  <c r="K16" i="74"/>
  <c r="K18" i="74"/>
  <c r="K20" i="74"/>
  <c r="S20" i="74" s="1"/>
  <c r="M20" i="74" s="1"/>
  <c r="K22" i="74"/>
  <c r="S22" i="74" s="1"/>
  <c r="M22" i="74" s="1"/>
  <c r="K24" i="74"/>
  <c r="S24" i="74" s="1"/>
  <c r="M24" i="74" s="1"/>
  <c r="N35" i="74"/>
  <c r="P35" i="74" s="1"/>
  <c r="Q35" i="74" s="1"/>
  <c r="L37" i="74"/>
  <c r="N37" i="74" s="1"/>
  <c r="P37" i="74" s="1"/>
  <c r="Q37" i="74" s="1"/>
  <c r="L40" i="74"/>
  <c r="N40" i="74" s="1"/>
  <c r="P40" i="74" s="1"/>
  <c r="Q40" i="74" s="1"/>
  <c r="K3" i="74"/>
  <c r="S3" i="74" s="1"/>
  <c r="M3" i="74" s="1"/>
  <c r="C14" i="12"/>
  <c r="N42" i="74" l="1"/>
  <c r="P42" i="74" s="1"/>
  <c r="Q42" i="74" s="1"/>
  <c r="L34" i="74"/>
  <c r="N34" i="74" s="1"/>
  <c r="P34" i="74" s="1"/>
  <c r="Q34" i="74" s="1"/>
  <c r="N25" i="74"/>
  <c r="P25" i="74" s="1"/>
  <c r="Q25" i="74" s="1"/>
  <c r="N21" i="74"/>
  <c r="P21" i="74" s="1"/>
  <c r="Q21" i="74" s="1"/>
  <c r="N17" i="74"/>
  <c r="P17" i="74" s="1"/>
  <c r="Q17" i="74" s="1"/>
  <c r="N38" i="74"/>
  <c r="P38" i="74" s="1"/>
  <c r="Q38" i="74" s="1"/>
  <c r="K9" i="74"/>
  <c r="S9" i="74" s="1"/>
  <c r="M9" i="74" s="1"/>
  <c r="L9" i="74"/>
  <c r="N9" i="74" s="1"/>
  <c r="P9" i="74" s="1"/>
  <c r="Q9" i="74" s="1"/>
  <c r="K31" i="74"/>
  <c r="S31" i="74" s="1"/>
  <c r="M31" i="74" s="1"/>
  <c r="L31" i="74"/>
  <c r="N31" i="74" s="1"/>
  <c r="P31" i="74" s="1"/>
  <c r="Q31" i="74" s="1"/>
  <c r="K33" i="74"/>
  <c r="S33" i="74" s="1"/>
  <c r="M33" i="74" s="1"/>
  <c r="L33" i="74"/>
  <c r="N33" i="74" s="1"/>
  <c r="P33" i="74" s="1"/>
  <c r="Q33" i="74" s="1"/>
  <c r="K29" i="74"/>
  <c r="S29" i="74" s="1"/>
  <c r="M29" i="74" s="1"/>
  <c r="L29" i="74"/>
  <c r="N29" i="74" s="1"/>
  <c r="P29" i="74" s="1"/>
  <c r="Q29" i="74" s="1"/>
  <c r="L30" i="74"/>
  <c r="S30" i="74"/>
  <c r="M30" i="74" s="1"/>
  <c r="N11" i="74"/>
  <c r="P11" i="74" s="1"/>
  <c r="Q11" i="74" s="1"/>
  <c r="S15" i="74"/>
  <c r="M15" i="74" s="1"/>
  <c r="S12" i="74"/>
  <c r="M12" i="74" s="1"/>
  <c r="L41" i="74"/>
  <c r="N41" i="74" s="1"/>
  <c r="P41" i="74" s="1"/>
  <c r="Q41" i="74" s="1"/>
  <c r="S41" i="74"/>
  <c r="M41" i="74" s="1"/>
  <c r="AZ77" i="3"/>
  <c r="AZ5" i="3" s="1"/>
  <c r="BA5" i="3"/>
  <c r="E27" i="6" s="1"/>
  <c r="K36" i="74"/>
  <c r="L36" i="74" s="1"/>
  <c r="S23" i="74"/>
  <c r="M23" i="74" s="1"/>
  <c r="N23" i="74" s="1"/>
  <c r="P23" i="74" s="1"/>
  <c r="Q23" i="74" s="1"/>
  <c r="N10" i="74"/>
  <c r="P10" i="74" s="1"/>
  <c r="Q10" i="74" s="1"/>
  <c r="AZ78" i="3"/>
  <c r="D13" i="59"/>
  <c r="C14" i="59"/>
  <c r="D21" i="59"/>
  <c r="C22" i="59"/>
  <c r="D5" i="75"/>
  <c r="D6" i="75" s="1"/>
  <c r="G9" i="75" s="1"/>
  <c r="D8" i="78"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H16" i="1"/>
  <c r="K16" i="1"/>
  <c r="K12" i="1"/>
  <c r="M12" i="1" s="1"/>
  <c r="I9" i="43"/>
  <c r="W6" i="3"/>
  <c r="K25" i="6"/>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AB7" i="34"/>
  <c r="T49" i="34" s="1"/>
  <c r="G49" i="34" s="1"/>
  <c r="U7" i="34"/>
  <c r="U7" i="35"/>
  <c r="AB7" i="35"/>
  <c r="T38" i="35" s="1"/>
  <c r="G38" i="35" s="1"/>
  <c r="W7" i="36"/>
  <c r="AC7" i="36"/>
  <c r="V36" i="36" s="1"/>
  <c r="I36" i="36" s="1"/>
  <c r="S5" i="46"/>
  <c r="S4" i="46"/>
  <c r="S3" i="46"/>
  <c r="S7" i="46"/>
  <c r="S2" i="46"/>
  <c r="S6" i="4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AP16" i="1" s="1"/>
  <c r="F22" i="11" s="1"/>
  <c r="G10" i="1"/>
  <c r="G16" i="1" s="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C115" i="46"/>
  <c r="D113" i="46" s="1"/>
  <c r="AA7" i="36"/>
  <c r="R36" i="36" s="1"/>
  <c r="S7" i="36"/>
  <c r="S7" i="34"/>
  <c r="AA7" i="34"/>
  <c r="R49" i="34" s="1"/>
  <c r="W7" i="37"/>
  <c r="AC7" i="37"/>
  <c r="V42" i="37" s="1"/>
  <c r="I42" i="37" s="1"/>
  <c r="AA7" i="33"/>
  <c r="R48" i="33" s="1"/>
  <c r="S7" i="33"/>
  <c r="W7" i="21"/>
  <c r="AC7" i="21"/>
  <c r="V48" i="21" s="1"/>
  <c r="I48" i="21" s="1"/>
  <c r="AA7" i="21"/>
  <c r="R48" i="21" s="1"/>
  <c r="S7" i="2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M24" i="68"/>
  <c r="J3" i="65"/>
  <c r="F9" i="68"/>
  <c r="F6" i="71"/>
  <c r="F14" i="67"/>
  <c r="M26" i="44"/>
  <c r="F43" i="15"/>
  <c r="F13" i="69"/>
  <c r="B12" i="67"/>
  <c r="F12" i="67"/>
  <c r="M8" i="68"/>
  <c r="J7" i="65"/>
  <c r="N4" i="65"/>
  <c r="B13" i="67"/>
  <c r="F40" i="15"/>
  <c r="F13" i="15"/>
  <c r="F42" i="69"/>
  <c r="F42" i="71"/>
  <c r="B14" i="67"/>
  <c r="J15" i="72"/>
  <c r="F42" i="68"/>
  <c r="L47" i="72"/>
  <c r="M29" i="70"/>
  <c r="F6" i="68"/>
  <c r="F16" i="71"/>
  <c r="J36" i="70"/>
  <c r="F11" i="44"/>
  <c r="M27" i="72"/>
  <c r="F26" i="15"/>
  <c r="L48" i="69"/>
  <c r="L48" i="70"/>
  <c r="F38" i="72"/>
  <c r="N3" i="65"/>
  <c r="F8" i="44"/>
  <c r="M6" i="68"/>
  <c r="M8" i="44"/>
  <c r="J15" i="70"/>
  <c r="F40" i="68"/>
  <c r="F36" i="70"/>
  <c r="L47" i="70"/>
  <c r="L48" i="44"/>
  <c r="M30" i="44"/>
  <c r="M27" i="70"/>
  <c r="M29" i="15"/>
  <c r="M9" i="69"/>
  <c r="F10" i="67"/>
  <c r="E8" i="67"/>
  <c r="M10" i="44"/>
  <c r="F7" i="68"/>
  <c r="F37" i="69"/>
  <c r="M23" i="71"/>
  <c r="M22" i="70"/>
  <c r="J36" i="71"/>
  <c r="N5" i="65"/>
  <c r="F7" i="15"/>
  <c r="L47" i="71"/>
  <c r="F26" i="70"/>
  <c r="J5" i="65"/>
  <c r="F38" i="44"/>
  <c r="F38" i="68"/>
  <c r="E14" i="67"/>
  <c r="M29" i="44"/>
  <c r="F11" i="67"/>
  <c r="F37" i="68"/>
  <c r="L48" i="72"/>
  <c r="F40" i="72"/>
  <c r="F43" i="72"/>
  <c r="F42" i="72"/>
  <c r="F40" i="44"/>
  <c r="J15" i="68"/>
  <c r="M22" i="15"/>
  <c r="F7" i="69"/>
  <c r="F37" i="70"/>
  <c r="F36" i="72"/>
  <c r="F26" i="69"/>
  <c r="F42" i="70"/>
  <c r="F8" i="69"/>
  <c r="M8" i="71"/>
  <c r="L47" i="68"/>
  <c r="M8" i="15"/>
  <c r="F6" i="69"/>
  <c r="F13" i="70"/>
  <c r="F36" i="15"/>
  <c r="M22" i="72"/>
  <c r="F13" i="71"/>
  <c r="M27" i="71"/>
  <c r="M31" i="44"/>
  <c r="M25" i="44"/>
  <c r="M28" i="44"/>
  <c r="F13" i="67"/>
  <c r="F39" i="44"/>
  <c r="F43" i="69"/>
  <c r="M22" i="71"/>
  <c r="F9" i="70"/>
  <c r="F13" i="72"/>
  <c r="M24" i="71"/>
  <c r="L47" i="69"/>
  <c r="B9" i="67"/>
  <c r="M22" i="69"/>
  <c r="N7" i="65"/>
  <c r="M28" i="15"/>
  <c r="F43" i="70"/>
  <c r="M6" i="70"/>
  <c r="F8" i="15"/>
  <c r="M23" i="15"/>
  <c r="M24" i="15"/>
  <c r="F16" i="68"/>
  <c r="J15" i="71"/>
  <c r="M24" i="70"/>
  <c r="B11" i="67"/>
  <c r="M27" i="15"/>
  <c r="F40" i="71"/>
  <c r="M26" i="71"/>
  <c r="F16" i="70"/>
  <c r="M26" i="72"/>
  <c r="M29" i="71"/>
  <c r="M26" i="69"/>
  <c r="F18" i="44"/>
  <c r="F13" i="68"/>
  <c r="I5" i="65"/>
  <c r="F37" i="71"/>
  <c r="F6" i="70"/>
  <c r="F8" i="71"/>
  <c r="F26" i="72"/>
  <c r="M26" i="70"/>
  <c r="M23" i="68"/>
  <c r="F37" i="15"/>
  <c r="J6" i="65"/>
  <c r="M29" i="68"/>
  <c r="F36" i="69"/>
  <c r="L47" i="15"/>
  <c r="M23" i="44"/>
  <c r="M23" i="72"/>
  <c r="F9" i="71"/>
  <c r="M24" i="69"/>
  <c r="I7" i="65"/>
  <c r="M9" i="71"/>
  <c r="M9" i="68"/>
  <c r="M26" i="15"/>
  <c r="C19" i="44"/>
  <c r="M9" i="72"/>
  <c r="M8" i="69"/>
  <c r="L48" i="71"/>
  <c r="B10" i="67"/>
  <c r="M6" i="72"/>
  <c r="M28" i="69"/>
  <c r="F40" i="69"/>
  <c r="F26" i="71"/>
  <c r="F9" i="67"/>
  <c r="F45" i="44"/>
  <c r="L49" i="44"/>
  <c r="F37" i="44"/>
  <c r="F38" i="15"/>
  <c r="F8" i="72"/>
  <c r="M27" i="69"/>
  <c r="E12" i="67"/>
  <c r="F38" i="70"/>
  <c r="F43" i="71"/>
  <c r="F10" i="44"/>
  <c r="F7" i="71"/>
  <c r="M27" i="68"/>
  <c r="J17" i="44"/>
  <c r="J36" i="68"/>
  <c r="J4" i="65"/>
  <c r="F9" i="15"/>
  <c r="L48" i="68"/>
  <c r="M29" i="69"/>
  <c r="E11" i="67"/>
  <c r="M11" i="44"/>
  <c r="F7" i="72"/>
  <c r="M9" i="70"/>
  <c r="M28" i="70"/>
  <c r="F28" i="44"/>
  <c r="M8" i="70"/>
  <c r="F7" i="70"/>
  <c r="F6" i="72"/>
  <c r="F8" i="68"/>
  <c r="F40" i="70"/>
  <c r="F16" i="72"/>
  <c r="F8" i="67"/>
  <c r="F43" i="68"/>
  <c r="F37" i="72"/>
  <c r="F36" i="71"/>
  <c r="M6" i="15"/>
  <c r="J15" i="15"/>
  <c r="M6" i="71"/>
  <c r="I3" i="65"/>
  <c r="J36" i="72"/>
  <c r="M22" i="68"/>
  <c r="F43" i="44"/>
  <c r="F38" i="69"/>
  <c r="F38" i="71"/>
  <c r="M26" i="68"/>
  <c r="F9" i="44"/>
  <c r="M23" i="69"/>
  <c r="B8" i="67"/>
  <c r="M9" i="15"/>
  <c r="F46" i="44"/>
  <c r="M29" i="72"/>
  <c r="J36" i="69"/>
  <c r="E10" i="67"/>
  <c r="M24" i="44"/>
  <c r="J15" i="69"/>
  <c r="E9" i="67"/>
  <c r="F36" i="68"/>
  <c r="F16" i="69"/>
  <c r="E13" i="67"/>
  <c r="M6" i="69"/>
  <c r="F15" i="44"/>
  <c r="M8" i="72"/>
  <c r="F42" i="15"/>
  <c r="F9" i="72"/>
  <c r="J36" i="15"/>
  <c r="F6" i="15"/>
  <c r="M28" i="71"/>
  <c r="M28" i="72"/>
  <c r="I4" i="65"/>
  <c r="M24" i="72"/>
  <c r="I6" i="65"/>
  <c r="L48" i="15"/>
  <c r="F16" i="15"/>
  <c r="N6" i="65"/>
  <c r="F26" i="68"/>
  <c r="F8" i="70"/>
  <c r="M23" i="70"/>
  <c r="M28" i="68"/>
  <c r="F9" i="69"/>
  <c r="E2" i="65"/>
  <c r="I52" i="21" l="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M16" i="1"/>
  <c r="AC6" i="3"/>
  <c r="D22" i="59"/>
  <c r="T22" i="59"/>
  <c r="D14" i="59"/>
  <c r="T14" i="59"/>
  <c r="K19" i="6"/>
  <c r="K22" i="6"/>
  <c r="K21" i="6"/>
  <c r="E31" i="6"/>
  <c r="K26" i="6"/>
  <c r="M26" i="6" s="1"/>
  <c r="I26" i="6" s="1"/>
  <c r="S26" i="6" s="1"/>
  <c r="K20" i="6"/>
  <c r="K23" i="6"/>
  <c r="K24" i="6"/>
  <c r="N30" i="74"/>
  <c r="P30" i="74" s="1"/>
  <c r="Q30" i="74" s="1"/>
  <c r="S36" i="74"/>
  <c r="M36" i="74" s="1"/>
  <c r="N36" i="74" s="1"/>
  <c r="P36" i="74" s="1"/>
  <c r="Q36" i="74" s="1"/>
  <c r="Q43" i="74" s="1"/>
  <c r="E48" i="21"/>
  <c r="R49" i="21"/>
  <c r="R49" i="33"/>
  <c r="E48" i="33"/>
  <c r="I46" i="37"/>
  <c r="J46" i="37" s="1"/>
  <c r="I47" i="37"/>
  <c r="J47" i="37" s="1"/>
  <c r="R50" i="34"/>
  <c r="E49" i="34"/>
  <c r="I42" i="35"/>
  <c r="J42" i="35" s="1"/>
  <c r="I53" i="34"/>
  <c r="J53" i="34" s="1"/>
  <c r="I54" i="34"/>
  <c r="J54" i="34" s="1"/>
  <c r="J12" i="40"/>
  <c r="H12" i="40"/>
  <c r="H12" i="39"/>
  <c r="F12" i="39"/>
  <c r="F12" i="40"/>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E6" i="3" s="1"/>
  <c r="M20" i="46"/>
  <c r="AY6" i="3"/>
  <c r="E3" i="6"/>
  <c r="F67" i="68"/>
  <c r="F70" i="15"/>
  <c r="C6" i="72"/>
  <c r="C27" i="70"/>
  <c r="C27" i="71"/>
  <c r="C29" i="44"/>
  <c r="L58" i="72"/>
  <c r="Q74" i="72" s="1"/>
  <c r="L59" i="72"/>
  <c r="I54" i="69"/>
  <c r="L56" i="69"/>
  <c r="J57" i="69"/>
  <c r="J55" i="69" s="1"/>
  <c r="J58" i="69" s="1"/>
  <c r="Q51" i="69" s="1"/>
  <c r="J59" i="69"/>
  <c r="L60" i="69"/>
  <c r="J60" i="69"/>
  <c r="Q49" i="69" s="1"/>
  <c r="L57" i="69"/>
  <c r="J53" i="69"/>
  <c r="F63" i="71"/>
  <c r="J59" i="15"/>
  <c r="J57" i="15"/>
  <c r="J55" i="15" s="1"/>
  <c r="J58" i="15" s="1"/>
  <c r="Q51" i="15" s="1"/>
  <c r="L56" i="15"/>
  <c r="J60" i="15"/>
  <c r="Q49" i="15" s="1"/>
  <c r="J53" i="15"/>
  <c r="Q53" i="15" s="1"/>
  <c r="L57" i="15"/>
  <c r="L60" i="15"/>
  <c r="Q58" i="15" s="1"/>
  <c r="I54" i="15"/>
  <c r="Q72" i="70"/>
  <c r="C27" i="72"/>
  <c r="Q73" i="44"/>
  <c r="F50" i="70"/>
  <c r="F50" i="69"/>
  <c r="F64" i="69"/>
  <c r="F70" i="72"/>
  <c r="J22" i="44"/>
  <c r="F70" i="71"/>
  <c r="L60" i="44"/>
  <c r="Q63" i="44" s="1"/>
  <c r="L59" i="44"/>
  <c r="Q62" i="44" s="1"/>
  <c r="F64" i="72"/>
  <c r="F50" i="72"/>
  <c r="F63" i="68"/>
  <c r="F50" i="71"/>
  <c r="F63" i="15"/>
  <c r="F70" i="70"/>
  <c r="F49" i="70"/>
  <c r="M7" i="70"/>
  <c r="L59" i="68"/>
  <c r="Q75" i="68" s="1"/>
  <c r="L58" i="68"/>
  <c r="Q74" i="68" s="1"/>
  <c r="F67" i="69"/>
  <c r="C27" i="15"/>
  <c r="Q72" i="71"/>
  <c r="J53" i="71"/>
  <c r="F1" i="71" s="1"/>
  <c r="L57" i="71"/>
  <c r="I54" i="71"/>
  <c r="L60" i="71"/>
  <c r="Q58" i="71" s="1"/>
  <c r="J59" i="71"/>
  <c r="J57" i="71"/>
  <c r="J55" i="71" s="1"/>
  <c r="J58" i="71" s="1"/>
  <c r="Q51" i="71" s="1"/>
  <c r="J60" i="71"/>
  <c r="Q49" i="71" s="1"/>
  <c r="L56" i="71"/>
  <c r="F70" i="68"/>
  <c r="F65" i="15"/>
  <c r="C6" i="70"/>
  <c r="C27" i="68"/>
  <c r="C27" i="69"/>
  <c r="F49" i="68"/>
  <c r="M7" i="68"/>
  <c r="F67" i="72"/>
  <c r="L58" i="15"/>
  <c r="Q61" i="15" s="1"/>
  <c r="L59" i="15"/>
  <c r="Q62" i="15" s="1"/>
  <c r="F65" i="70"/>
  <c r="C4" i="65"/>
  <c r="B39" i="1" s="1"/>
  <c r="F11" i="15" s="1"/>
  <c r="C10" i="15" s="1"/>
  <c r="L58" i="70"/>
  <c r="Q74" i="70" s="1"/>
  <c r="L59" i="70"/>
  <c r="Q62" i="70" s="1"/>
  <c r="F64" i="15"/>
  <c r="C36" i="44"/>
  <c r="C8" i="44"/>
  <c r="C6" i="71"/>
  <c r="F50" i="15"/>
  <c r="M9" i="44"/>
  <c r="Q72" i="69"/>
  <c r="F63" i="72"/>
  <c r="L59" i="71"/>
  <c r="L58" i="71"/>
  <c r="J53" i="68"/>
  <c r="Q53" i="68" s="1"/>
  <c r="J60" i="68"/>
  <c r="Q49" i="68" s="1"/>
  <c r="L56" i="68"/>
  <c r="J59" i="68"/>
  <c r="J57" i="68"/>
  <c r="J55" i="68" s="1"/>
  <c r="J58" i="68" s="1"/>
  <c r="Q51" i="68" s="1"/>
  <c r="L60" i="68"/>
  <c r="L57" i="68"/>
  <c r="I54" i="68"/>
  <c r="F65" i="68"/>
  <c r="C6" i="68"/>
  <c r="L57" i="44"/>
  <c r="J58" i="44"/>
  <c r="J56" i="44" s="1"/>
  <c r="J59" i="44" s="1"/>
  <c r="Q52" i="44" s="1"/>
  <c r="J54" i="44"/>
  <c r="F1" i="44" s="1"/>
  <c r="J60" i="44"/>
  <c r="I55" i="44"/>
  <c r="J61" i="44"/>
  <c r="Q50" i="44" s="1"/>
  <c r="L59" i="69"/>
  <c r="Q62" i="69" s="1"/>
  <c r="L58" i="69"/>
  <c r="Q61" i="69" s="1"/>
  <c r="F64" i="71"/>
  <c r="Q72" i="72"/>
  <c r="C6" i="15"/>
  <c r="F64" i="70"/>
  <c r="F49" i="71"/>
  <c r="M7" i="71"/>
  <c r="L57" i="72"/>
  <c r="I54" i="72"/>
  <c r="L56" i="72"/>
  <c r="J57" i="72"/>
  <c r="J55" i="72" s="1"/>
  <c r="J58" i="72" s="1"/>
  <c r="Q51" i="72" s="1"/>
  <c r="J59" i="72"/>
  <c r="L60" i="72"/>
  <c r="Q58" i="72" s="1"/>
  <c r="J60" i="72"/>
  <c r="Q49" i="72" s="1"/>
  <c r="J53" i="72"/>
  <c r="Q53" i="72" s="1"/>
  <c r="F63" i="69"/>
  <c r="F63" i="70"/>
  <c r="F67" i="70"/>
  <c r="F65" i="72"/>
  <c r="C6" i="69"/>
  <c r="J1" i="65"/>
  <c r="F65" i="71"/>
  <c r="M7" i="15"/>
  <c r="J6" i="15" s="1"/>
  <c r="F49" i="15"/>
  <c r="M7" i="72"/>
  <c r="J6" i="72" s="1"/>
  <c r="F49" i="72"/>
  <c r="C48" i="72" s="1"/>
  <c r="F50" i="68"/>
  <c r="E20" i="46"/>
  <c r="P17" i="46" s="1"/>
  <c r="G20" i="46" s="1"/>
  <c r="C20" i="46" s="1"/>
  <c r="C33" i="46" s="1"/>
  <c r="J59" i="70"/>
  <c r="L57" i="70"/>
  <c r="J53" i="70"/>
  <c r="Q53" i="70" s="1"/>
  <c r="L56" i="70"/>
  <c r="I54" i="70"/>
  <c r="J57" i="70"/>
  <c r="J55" i="70" s="1"/>
  <c r="J58" i="70" s="1"/>
  <c r="Q51" i="70" s="1"/>
  <c r="L60" i="70"/>
  <c r="Q58" i="70" s="1"/>
  <c r="J60" i="70"/>
  <c r="Q49" i="70" s="1"/>
  <c r="F67" i="71"/>
  <c r="Q72" i="15"/>
  <c r="F65" i="69"/>
  <c r="F70" i="69"/>
  <c r="M7" i="69"/>
  <c r="F49" i="69"/>
  <c r="C48" i="69" s="1"/>
  <c r="Q72" i="68"/>
  <c r="F64" i="68"/>
  <c r="F67" i="15"/>
  <c r="Q62" i="68"/>
  <c r="Q75" i="44"/>
  <c r="Q74" i="15"/>
  <c r="B40" i="1"/>
  <c r="F58" i="71"/>
  <c r="C16" i="70"/>
  <c r="M17" i="70"/>
  <c r="C16" i="15"/>
  <c r="F58" i="69"/>
  <c r="E3" i="65"/>
  <c r="F31" i="15"/>
  <c r="M17" i="71"/>
  <c r="AE10" i="1"/>
  <c r="M17" i="69"/>
  <c r="M17" i="72"/>
  <c r="F31" i="68"/>
  <c r="C16" i="68"/>
  <c r="F58" i="15"/>
  <c r="M17" i="68"/>
  <c r="C18" i="44"/>
  <c r="F33" i="44"/>
  <c r="M17" i="15"/>
  <c r="C16" i="69"/>
  <c r="M19" i="44"/>
  <c r="C16" i="71"/>
  <c r="F31" i="70"/>
  <c r="F31" i="69"/>
  <c r="F58" i="68"/>
  <c r="F31" i="72"/>
  <c r="F58" i="70"/>
  <c r="C16" i="72"/>
  <c r="F31" i="71"/>
  <c r="F58" i="72"/>
  <c r="F1" i="72" l="1"/>
  <c r="Q55" i="74"/>
  <c r="D6" i="78" s="1"/>
  <c r="Q91" i="74"/>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3" i="77"/>
  <c r="D5" i="77" s="1"/>
  <c r="D9" i="78" s="1"/>
  <c r="D16" i="43"/>
  <c r="C16" i="43" s="1"/>
  <c r="L38" i="9"/>
  <c r="B14" i="66" s="1"/>
  <c r="B1" i="66" s="1"/>
  <c r="D16" i="12"/>
  <c r="E6" i="6"/>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29" i="46"/>
  <c r="D1" i="46" s="1"/>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F1" i="68"/>
  <c r="Q67" i="71"/>
  <c r="C48" i="70"/>
  <c r="Q67" i="70"/>
  <c r="Q76" i="44"/>
  <c r="Q75" i="15"/>
  <c r="Q67" i="72"/>
  <c r="L46" i="69"/>
  <c r="F1" i="15"/>
  <c r="Q67" i="15"/>
  <c r="Q61" i="70"/>
  <c r="F11" i="68"/>
  <c r="C10" i="68" s="1"/>
  <c r="C5" i="68" s="1"/>
  <c r="C38" i="68" s="1"/>
  <c r="C52" i="15"/>
  <c r="F11" i="72"/>
  <c r="C10" i="72" s="1"/>
  <c r="C5" i="72" s="1"/>
  <c r="C32" i="72" s="1"/>
  <c r="F11" i="70"/>
  <c r="C10" i="70" s="1"/>
  <c r="C5" i="70" s="1"/>
  <c r="C33" i="70" s="1"/>
  <c r="L46" i="71"/>
  <c r="F11" i="69"/>
  <c r="C10" i="69" s="1"/>
  <c r="C5" i="69" s="1"/>
  <c r="C38" i="69" s="1"/>
  <c r="F13" i="44"/>
  <c r="C12" i="44" s="1"/>
  <c r="C7" i="44" s="1"/>
  <c r="C40" i="44" s="1"/>
  <c r="M11" i="69"/>
  <c r="J10" i="69" s="1"/>
  <c r="M11" i="71"/>
  <c r="J10" i="71" s="1"/>
  <c r="C5" i="15"/>
  <c r="C33" i="15" s="1"/>
  <c r="L46" i="68"/>
  <c r="L46" i="15"/>
  <c r="M11" i="72"/>
  <c r="J10" i="72" s="1"/>
  <c r="M11" i="70"/>
  <c r="J10" i="70" s="1"/>
  <c r="M13" i="44"/>
  <c r="J12" i="44" s="1"/>
  <c r="F11" i="71"/>
  <c r="C10" i="71" s="1"/>
  <c r="C5" i="71" s="1"/>
  <c r="C32" i="71" s="1"/>
  <c r="M11" i="68"/>
  <c r="J10" i="68" s="1"/>
  <c r="M11" i="15"/>
  <c r="J10" i="15" s="1"/>
  <c r="J5" i="15" s="1"/>
  <c r="J18" i="15" s="1"/>
  <c r="Q61" i="68"/>
  <c r="Q61" i="72"/>
  <c r="Q74" i="69"/>
  <c r="Q53" i="71"/>
  <c r="Q75" i="70"/>
  <c r="C48" i="15"/>
  <c r="C47" i="15" s="1"/>
  <c r="C60" i="15" s="1"/>
  <c r="L46" i="70"/>
  <c r="O17" i="46"/>
  <c r="J5" i="72"/>
  <c r="J18" i="72" s="1"/>
  <c r="Q75" i="69"/>
  <c r="F1" i="70"/>
  <c r="Q54" i="44"/>
  <c r="T11" i="46"/>
  <c r="V11" i="46" s="1"/>
  <c r="T2" i="46"/>
  <c r="V2" i="46" s="1"/>
  <c r="C38" i="46"/>
  <c r="E38" i="46" s="1"/>
  <c r="T4" i="46"/>
  <c r="V4" i="46" s="1"/>
  <c r="T12" i="46"/>
  <c r="V12" i="46" s="1"/>
  <c r="C34" i="46"/>
  <c r="G34" i="46" s="1"/>
  <c r="I34" i="46" s="1"/>
  <c r="T6" i="46"/>
  <c r="V6" i="46" s="1"/>
  <c r="T15" i="46"/>
  <c r="V15" i="46" s="1"/>
  <c r="T16" i="46"/>
  <c r="V16" i="46" s="1"/>
  <c r="T8" i="46"/>
  <c r="V8" i="46" s="1"/>
  <c r="C36" i="46"/>
  <c r="E36" i="46" s="1"/>
  <c r="C29" i="46"/>
  <c r="C30" i="46" s="1"/>
  <c r="E30" i="46" s="1"/>
  <c r="T7" i="46"/>
  <c r="V7" i="46" s="1"/>
  <c r="T3" i="46"/>
  <c r="V3" i="46" s="1"/>
  <c r="T5" i="46"/>
  <c r="V5" i="46" s="1"/>
  <c r="T13" i="46"/>
  <c r="V13" i="46" s="1"/>
  <c r="T9" i="46"/>
  <c r="V9" i="46" s="1"/>
  <c r="T14" i="46"/>
  <c r="V14" i="46" s="1"/>
  <c r="T10" i="46"/>
  <c r="V10" i="46" s="1"/>
  <c r="C39" i="46"/>
  <c r="E39" i="46" s="1"/>
  <c r="C37" i="46"/>
  <c r="G37" i="46" s="1"/>
  <c r="I37" i="46" s="1"/>
  <c r="C35" i="46"/>
  <c r="G35" i="46" s="1"/>
  <c r="I35" i="46" s="1"/>
  <c r="N17" i="46"/>
  <c r="M17" i="46"/>
  <c r="L46" i="72"/>
  <c r="F17" i="11"/>
  <c r="J6" i="69"/>
  <c r="Q58" i="68"/>
  <c r="Q67" i="68"/>
  <c r="Q74" i="71"/>
  <c r="Q61" i="71"/>
  <c r="J8" i="44"/>
  <c r="J7" i="44" s="1"/>
  <c r="J20" i="44" s="1"/>
  <c r="C48" i="68"/>
  <c r="J6" i="70"/>
  <c r="Q58" i="69"/>
  <c r="Q67" i="69"/>
  <c r="J6" i="71"/>
  <c r="J5" i="71" s="1"/>
  <c r="J26" i="71" s="1"/>
  <c r="Q62" i="71"/>
  <c r="Q75" i="71"/>
  <c r="J6" i="68"/>
  <c r="C48" i="71"/>
  <c r="F1" i="69"/>
  <c r="Q53" i="69"/>
  <c r="Q62" i="72"/>
  <c r="Q75" i="72"/>
  <c r="C52" i="70"/>
  <c r="C47" i="70" s="1"/>
  <c r="C59" i="70" s="1"/>
  <c r="C34" i="44"/>
  <c r="C52" i="68"/>
  <c r="C52" i="72"/>
  <c r="C47" i="72" s="1"/>
  <c r="F24" i="15"/>
  <c r="C24" i="15" s="1"/>
  <c r="F24" i="69"/>
  <c r="C24" i="69" s="1"/>
  <c r="F24" i="71"/>
  <c r="C24" i="71" s="1"/>
  <c r="F21" i="43"/>
  <c r="F26" i="12"/>
  <c r="F24" i="68"/>
  <c r="C24" i="68" s="1"/>
  <c r="F24" i="70"/>
  <c r="C24" i="70" s="1"/>
  <c r="F24" i="72"/>
  <c r="C24" i="72" s="1"/>
  <c r="F26" i="44"/>
  <c r="C26" i="44" s="1"/>
  <c r="C33" i="68"/>
  <c r="C38" i="71"/>
  <c r="E33" i="46"/>
  <c r="G33" i="46"/>
  <c r="I33" i="46" s="1"/>
  <c r="AE11" i="1"/>
  <c r="C17" i="69"/>
  <c r="C17" i="72"/>
  <c r="C17" i="68"/>
  <c r="C17" i="70"/>
  <c r="AE9" i="1"/>
  <c r="AE8" i="1"/>
  <c r="C17" i="71"/>
  <c r="C17" i="15"/>
  <c r="F41" i="71"/>
  <c r="AE6" i="1"/>
  <c r="F41" i="72"/>
  <c r="AE7" i="1"/>
  <c r="F41" i="68" s="1"/>
  <c r="F41" i="70"/>
  <c r="L52" i="44"/>
  <c r="J5" i="69" l="1"/>
  <c r="J24" i="69" s="1"/>
  <c r="C52" i="71"/>
  <c r="D13" i="11"/>
  <c r="C13" i="11" s="1"/>
  <c r="D22" i="12"/>
  <c r="C22" i="12" s="1"/>
  <c r="C20" i="12" s="1"/>
  <c r="C8" i="66"/>
  <c r="C6" i="66"/>
  <c r="C7" i="66"/>
  <c r="C14" i="43"/>
  <c r="C17" i="43"/>
  <c r="S16" i="1"/>
  <c r="T6" i="1"/>
  <c r="T10" i="1"/>
  <c r="C38" i="35"/>
  <c r="C39" i="35"/>
  <c r="B3" i="35" s="1"/>
  <c r="B2" i="35" s="1"/>
  <c r="K38" i="9"/>
  <c r="C14" i="66" s="1"/>
  <c r="B2" i="66" s="1"/>
  <c r="H25" i="6"/>
  <c r="H23" i="6"/>
  <c r="D25" i="6"/>
  <c r="R25" i="6" s="1"/>
  <c r="R12" i="1" s="1"/>
  <c r="D23" i="6"/>
  <c r="R23" i="6" s="1"/>
  <c r="R10" i="1" s="1"/>
  <c r="D24" i="6"/>
  <c r="H24" i="6"/>
  <c r="E63" i="40"/>
  <c r="C22" i="4"/>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C33" i="69"/>
  <c r="G38" i="46"/>
  <c r="I38" i="46" s="1"/>
  <c r="E37" i="46"/>
  <c r="J26" i="72"/>
  <c r="F68" i="72"/>
  <c r="J29" i="71"/>
  <c r="F68" i="71"/>
  <c r="J29" i="72"/>
  <c r="G36" i="46"/>
  <c r="I36" i="46" s="1"/>
  <c r="C38" i="72"/>
  <c r="C32" i="68"/>
  <c r="J28" i="44"/>
  <c r="J31" i="44" s="1"/>
  <c r="Q67" i="44" s="1"/>
  <c r="J24" i="72"/>
  <c r="C33" i="72"/>
  <c r="J24" i="71"/>
  <c r="J26" i="44"/>
  <c r="J5" i="68"/>
  <c r="J18" i="68" s="1"/>
  <c r="E34" i="46"/>
  <c r="E35" i="46"/>
  <c r="J18" i="71"/>
  <c r="C38" i="15"/>
  <c r="C32" i="70"/>
  <c r="E29" i="46"/>
  <c r="C32" i="69"/>
  <c r="C59" i="15"/>
  <c r="C38" i="70"/>
  <c r="C32" i="15"/>
  <c r="C33" i="71"/>
  <c r="C52" i="69"/>
  <c r="C47" i="69" s="1"/>
  <c r="C59" i="69" s="1"/>
  <c r="J5" i="70"/>
  <c r="J18" i="70" s="1"/>
  <c r="L58" i="44"/>
  <c r="L61" i="44" s="1"/>
  <c r="Q59" i="44" s="1"/>
  <c r="Q69" i="44"/>
  <c r="C47" i="68"/>
  <c r="C65" i="68" s="1"/>
  <c r="C47" i="71"/>
  <c r="C59" i="71" s="1"/>
  <c r="C60" i="70"/>
  <c r="F68" i="70"/>
  <c r="C65" i="70"/>
  <c r="C65" i="15"/>
  <c r="F68" i="68"/>
  <c r="J24" i="15"/>
  <c r="J26" i="15"/>
  <c r="C59" i="72"/>
  <c r="C65" i="72"/>
  <c r="C60" i="72"/>
  <c r="C23" i="43"/>
  <c r="D21" i="43" s="1"/>
  <c r="C27" i="12"/>
  <c r="D26" i="12" s="1"/>
  <c r="C32" i="12" s="1"/>
  <c r="D30" i="12" s="1"/>
  <c r="C14" i="71"/>
  <c r="M21" i="68"/>
  <c r="F35" i="68"/>
  <c r="C14" i="70"/>
  <c r="C14" i="72"/>
  <c r="F41" i="15"/>
  <c r="F41" i="69"/>
  <c r="C14" i="15"/>
  <c r="F35" i="71"/>
  <c r="M21" i="71"/>
  <c r="C14" i="68"/>
  <c r="C14" i="69"/>
  <c r="J18" i="69" l="1"/>
  <c r="J26" i="69"/>
  <c r="C23" i="12"/>
  <c r="Q58" i="44"/>
  <c r="Q64" i="44" s="1"/>
  <c r="C27" i="46"/>
  <c r="C18" i="43"/>
  <c r="C15" i="69"/>
  <c r="C18" i="69"/>
  <c r="C15" i="68"/>
  <c r="C18" i="68"/>
  <c r="J20" i="71"/>
  <c r="C34" i="71"/>
  <c r="F62" i="71"/>
  <c r="C61" i="71" s="1"/>
  <c r="C18" i="15"/>
  <c r="C15" i="15"/>
  <c r="C19" i="15" s="1"/>
  <c r="C18" i="72"/>
  <c r="C15" i="72"/>
  <c r="C19" i="72" s="1"/>
  <c r="C15" i="70"/>
  <c r="C18" i="70"/>
  <c r="C34" i="68"/>
  <c r="C31" i="68" s="1"/>
  <c r="F62" i="68"/>
  <c r="C61" i="68" s="1"/>
  <c r="J20" i="68"/>
  <c r="C15" i="71"/>
  <c r="C18" i="71"/>
  <c r="D16" i="6"/>
  <c r="D30" i="6"/>
  <c r="R22" i="6"/>
  <c r="R9" i="1" s="1"/>
  <c r="L2" i="79"/>
  <c r="K3" i="79" s="1"/>
  <c r="C8" i="11" s="1"/>
  <c r="C7" i="11" s="1"/>
  <c r="F1" i="46"/>
  <c r="A6" i="64"/>
  <c r="A6" i="51"/>
  <c r="B7" i="63" s="1"/>
  <c r="A20" i="51"/>
  <c r="B15" i="63" s="1"/>
  <c r="A20" i="64"/>
  <c r="N5" i="54"/>
  <c r="B43" i="63" s="1"/>
  <c r="D8" i="66"/>
  <c r="D6" i="66"/>
  <c r="D7" i="66"/>
  <c r="C31" i="71"/>
  <c r="L70" i="39"/>
  <c r="K72" i="39"/>
  <c r="L65" i="40"/>
  <c r="K67" i="40"/>
  <c r="I27" i="6"/>
  <c r="S19" i="6"/>
  <c r="S27" i="6" s="1"/>
  <c r="R26" i="6"/>
  <c r="R19" i="6"/>
  <c r="D27" i="6"/>
  <c r="D31" i="6" s="1"/>
  <c r="R21" i="6"/>
  <c r="R8" i="1" s="1"/>
  <c r="R24" i="6"/>
  <c r="R11" i="1" s="1"/>
  <c r="T13" i="1"/>
  <c r="T12" i="1"/>
  <c r="Q49" i="44"/>
  <c r="Q55" i="44" s="1"/>
  <c r="F68" i="15"/>
  <c r="J29" i="15"/>
  <c r="J26" i="68"/>
  <c r="J29" i="68" s="1"/>
  <c r="J24" i="68"/>
  <c r="C26" i="46"/>
  <c r="B2" i="46" s="1"/>
  <c r="F68" i="69"/>
  <c r="J29" i="69"/>
  <c r="Q68" i="44"/>
  <c r="Q77" i="44" s="1"/>
  <c r="C60" i="71"/>
  <c r="C58" i="71" s="1"/>
  <c r="J26" i="70"/>
  <c r="J29" i="70" s="1"/>
  <c r="L47" i="44"/>
  <c r="C60" i="69"/>
  <c r="C60" i="68"/>
  <c r="C65" i="71"/>
  <c r="J24" i="70"/>
  <c r="C65" i="69"/>
  <c r="C59" i="68"/>
  <c r="F35" i="69"/>
  <c r="M21" i="69"/>
  <c r="F35" i="70"/>
  <c r="M21" i="70"/>
  <c r="F7" i="67"/>
  <c r="M21" i="72"/>
  <c r="F35" i="72"/>
  <c r="C19" i="9"/>
  <c r="E7" i="67"/>
  <c r="C16" i="44"/>
  <c r="B7" i="67"/>
  <c r="C35" i="12" l="1"/>
  <c r="C33" i="12" s="1"/>
  <c r="C28" i="12"/>
  <c r="C26" i="12" s="1"/>
  <c r="C31" i="12" s="1"/>
  <c r="C30" i="12" s="1"/>
  <c r="C19" i="71"/>
  <c r="C20" i="71" s="1"/>
  <c r="C26" i="71" s="1"/>
  <c r="C19" i="69"/>
  <c r="C19" i="43"/>
  <c r="C25" i="43" s="1"/>
  <c r="C24" i="43" s="1"/>
  <c r="C19" i="70"/>
  <c r="C19" i="68"/>
  <c r="C20" i="44"/>
  <c r="C17" i="44"/>
  <c r="C21" i="44" s="1"/>
  <c r="C34" i="72"/>
  <c r="C31" i="72" s="1"/>
  <c r="F62" i="72"/>
  <c r="C61" i="72" s="1"/>
  <c r="C58" i="72" s="1"/>
  <c r="J20" i="72"/>
  <c r="E4" i="67"/>
  <c r="J20" i="70"/>
  <c r="F62" i="70"/>
  <c r="C61" i="70" s="1"/>
  <c r="C58" i="70" s="1"/>
  <c r="C34" i="70"/>
  <c r="C31" i="70" s="1"/>
  <c r="J20" i="69"/>
  <c r="C34" i="69"/>
  <c r="C31" i="69" s="1"/>
  <c r="F62" i="69"/>
  <c r="C61" i="69" s="1"/>
  <c r="C58" i="69" s="1"/>
  <c r="C20" i="70"/>
  <c r="C23" i="70" s="1"/>
  <c r="C26" i="70"/>
  <c r="C20" i="15"/>
  <c r="C26" i="15" s="1"/>
  <c r="I6" i="6"/>
  <c r="I5" i="6"/>
  <c r="L67" i="40"/>
  <c r="M65" i="40"/>
  <c r="M70" i="39"/>
  <c r="L72" i="39"/>
  <c r="R6" i="1"/>
  <c r="R27" i="6"/>
  <c r="T16" i="1"/>
  <c r="C18" i="11"/>
  <c r="C17" i="11"/>
  <c r="C20" i="72"/>
  <c r="C23" i="72" s="1"/>
  <c r="C20" i="69"/>
  <c r="C26" i="69" s="1"/>
  <c r="E3" i="67"/>
  <c r="C58" i="68"/>
  <c r="L43" i="9"/>
  <c r="B2" i="67"/>
  <c r="B3" i="46"/>
  <c r="D4" i="46"/>
  <c r="B4" i="46"/>
  <c r="M21" i="15"/>
  <c r="F35" i="15"/>
  <c r="C20" i="9"/>
  <c r="C21" i="9"/>
  <c r="C23" i="15" l="1"/>
  <c r="C29" i="15" s="1"/>
  <c r="C20" i="68"/>
  <c r="C26" i="68" s="1"/>
  <c r="C36" i="12"/>
  <c r="B2" i="12" s="1"/>
  <c r="C23" i="69"/>
  <c r="C29" i="69" s="1"/>
  <c r="C36" i="69" s="1"/>
  <c r="C23" i="71"/>
  <c r="C29" i="71" s="1"/>
  <c r="C36" i="71" s="1"/>
  <c r="C29" i="70"/>
  <c r="J19" i="70" s="1"/>
  <c r="J17" i="70" s="1"/>
  <c r="C22" i="43"/>
  <c r="C21" i="43" s="1"/>
  <c r="C28" i="43" s="1"/>
  <c r="C30" i="43" s="1"/>
  <c r="C34" i="15"/>
  <c r="C31" i="15" s="1"/>
  <c r="F62" i="15"/>
  <c r="C61" i="15" s="1"/>
  <c r="C58" i="15" s="1"/>
  <c r="J20" i="15"/>
  <c r="J14" i="69"/>
  <c r="J19" i="69"/>
  <c r="J17" i="69" s="1"/>
  <c r="C56" i="70"/>
  <c r="C63" i="70" s="1"/>
  <c r="J14" i="70"/>
  <c r="M72" i="39"/>
  <c r="N70" i="39"/>
  <c r="N72" i="39" s="1"/>
  <c r="Q50" i="71"/>
  <c r="C56" i="71"/>
  <c r="C63" i="71" s="1"/>
  <c r="Q50" i="70"/>
  <c r="C26" i="72"/>
  <c r="C29" i="72" s="1"/>
  <c r="C19" i="11"/>
  <c r="C20" i="11" s="1"/>
  <c r="C21" i="11" s="1"/>
  <c r="C22" i="11" s="1"/>
  <c r="C23" i="11" s="1"/>
  <c r="B2" i="11" s="1"/>
  <c r="R16" i="1"/>
  <c r="N65" i="40"/>
  <c r="N67" i="40" s="1"/>
  <c r="M67" i="40"/>
  <c r="J9" i="40" s="1"/>
  <c r="C22" i="44"/>
  <c r="C28" i="44" s="1"/>
  <c r="C25" i="44"/>
  <c r="B3" i="67"/>
  <c r="B4" i="67"/>
  <c r="J19" i="15" l="1"/>
  <c r="J17" i="15" s="1"/>
  <c r="Q50" i="15"/>
  <c r="C13" i="15"/>
  <c r="C13" i="71"/>
  <c r="C56" i="69"/>
  <c r="C63" i="69" s="1"/>
  <c r="C23" i="68"/>
  <c r="C29" i="68" s="1"/>
  <c r="B3" i="12"/>
  <c r="B4" i="12"/>
  <c r="B5" i="12"/>
  <c r="C56" i="15"/>
  <c r="C63" i="15" s="1"/>
  <c r="C36" i="70"/>
  <c r="C13" i="70"/>
  <c r="C37" i="70" s="1"/>
  <c r="C56" i="68"/>
  <c r="C63" i="68" s="1"/>
  <c r="J14" i="68"/>
  <c r="J22" i="68" s="1"/>
  <c r="C36" i="15"/>
  <c r="J14" i="15"/>
  <c r="J22" i="15" s="1"/>
  <c r="J14" i="71"/>
  <c r="J22" i="71" s="1"/>
  <c r="J19" i="71"/>
  <c r="J17" i="71" s="1"/>
  <c r="C13" i="69"/>
  <c r="J35" i="69" s="1"/>
  <c r="Q50" i="69"/>
  <c r="Q50" i="72"/>
  <c r="C13" i="72"/>
  <c r="C56" i="72"/>
  <c r="C63" i="72" s="1"/>
  <c r="J14" i="72"/>
  <c r="C36" i="72"/>
  <c r="J19" i="72"/>
  <c r="J17" i="72" s="1"/>
  <c r="C31" i="44"/>
  <c r="F9" i="40"/>
  <c r="H9" i="40"/>
  <c r="B3" i="11"/>
  <c r="B5" i="11"/>
  <c r="B4" i="11"/>
  <c r="C37" i="71"/>
  <c r="C30" i="71" s="1"/>
  <c r="C39" i="71" s="1"/>
  <c r="J35" i="71"/>
  <c r="Q71" i="71"/>
  <c r="C55" i="71"/>
  <c r="C64" i="71" s="1"/>
  <c r="C57" i="71" s="1"/>
  <c r="C66" i="71" s="1"/>
  <c r="C67" i="71" s="1"/>
  <c r="J9" i="39"/>
  <c r="F9" i="39"/>
  <c r="H9" i="39"/>
  <c r="J13" i="70"/>
  <c r="J23" i="70" s="1"/>
  <c r="J22" i="70"/>
  <c r="C55" i="15"/>
  <c r="C64" i="15" s="1"/>
  <c r="C57" i="15" s="1"/>
  <c r="C66" i="15" s="1"/>
  <c r="C67" i="15" s="1"/>
  <c r="C70" i="15" s="1"/>
  <c r="Q71" i="15"/>
  <c r="C37" i="15"/>
  <c r="C30" i="15" s="1"/>
  <c r="C39" i="15" s="1"/>
  <c r="J35" i="15"/>
  <c r="Q71" i="69"/>
  <c r="C37" i="69"/>
  <c r="C30" i="69" s="1"/>
  <c r="C39" i="69" s="1"/>
  <c r="W9" i="40"/>
  <c r="AC9" i="40"/>
  <c r="V44" i="40" s="1"/>
  <c r="I44" i="40" s="1"/>
  <c r="J13" i="71"/>
  <c r="J23" i="71" s="1"/>
  <c r="J35" i="70"/>
  <c r="C55" i="70"/>
  <c r="C64" i="70" s="1"/>
  <c r="C57" i="70" s="1"/>
  <c r="C66" i="70" s="1"/>
  <c r="C67" i="70" s="1"/>
  <c r="C70" i="70" s="1"/>
  <c r="J13" i="68"/>
  <c r="J23" i="68" s="1"/>
  <c r="J13" i="15"/>
  <c r="J23" i="15" s="1"/>
  <c r="J13" i="69"/>
  <c r="J23" i="69" s="1"/>
  <c r="J22" i="69"/>
  <c r="D19" i="9"/>
  <c r="C30" i="70" l="1"/>
  <c r="C39" i="70" s="1"/>
  <c r="C13" i="68"/>
  <c r="Q50" i="68"/>
  <c r="J19" i="68"/>
  <c r="J17" i="68" s="1"/>
  <c r="C36" i="68"/>
  <c r="Q71" i="70"/>
  <c r="J39" i="15"/>
  <c r="J40" i="15" s="1"/>
  <c r="J16" i="70"/>
  <c r="J25" i="70" s="1"/>
  <c r="J16" i="68"/>
  <c r="J25" i="68" s="1"/>
  <c r="J39" i="70"/>
  <c r="J40" i="70" s="1"/>
  <c r="C55" i="69"/>
  <c r="C64" i="69" s="1"/>
  <c r="C57" i="69" s="1"/>
  <c r="C66" i="69" s="1"/>
  <c r="C67" i="69" s="1"/>
  <c r="J39" i="71"/>
  <c r="J40" i="71" s="1"/>
  <c r="J16" i="71"/>
  <c r="J25" i="71" s="1"/>
  <c r="C70" i="71"/>
  <c r="Q70" i="70"/>
  <c r="C40" i="70"/>
  <c r="I48" i="40"/>
  <c r="J48" i="40" s="1"/>
  <c r="C40" i="69"/>
  <c r="Q70" i="69"/>
  <c r="Q69" i="69" s="1"/>
  <c r="J16" i="69"/>
  <c r="J25" i="69" s="1"/>
  <c r="C70" i="69"/>
  <c r="C46" i="69"/>
  <c r="J16" i="15"/>
  <c r="J25" i="15" s="1"/>
  <c r="J39" i="69"/>
  <c r="J40" i="69" s="1"/>
  <c r="Q70" i="15"/>
  <c r="Q69" i="15" s="1"/>
  <c r="C40" i="15"/>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C40" i="71"/>
  <c r="C46" i="71" s="1"/>
  <c r="Q70" i="71"/>
  <c r="Q69" i="71" s="1"/>
  <c r="AA9" i="40"/>
  <c r="R44" i="40" s="1"/>
  <c r="S9" i="40"/>
  <c r="J13" i="72"/>
  <c r="J23" i="72" s="1"/>
  <c r="J22" i="72"/>
  <c r="C37" i="72"/>
  <c r="C30" i="72" s="1"/>
  <c r="C39" i="72" s="1"/>
  <c r="J35" i="72"/>
  <c r="Q71" i="72"/>
  <c r="C55" i="72"/>
  <c r="C64" i="72" s="1"/>
  <c r="C57" i="72" s="1"/>
  <c r="C66" i="72" s="1"/>
  <c r="C67" i="72" s="1"/>
  <c r="C70" i="72" s="1"/>
  <c r="L44" i="9"/>
  <c r="G19" i="9"/>
  <c r="D4" i="78" s="1"/>
  <c r="D22" i="9"/>
  <c r="L51" i="69"/>
  <c r="L51" i="70"/>
  <c r="L51" i="15"/>
  <c r="L51" i="71"/>
  <c r="D20" i="9"/>
  <c r="D21" i="9"/>
  <c r="J16" i="72" l="1"/>
  <c r="J25" i="72" s="1"/>
  <c r="C55" i="68"/>
  <c r="C64" i="68" s="1"/>
  <c r="C57" i="68" s="1"/>
  <c r="C66" i="68" s="1"/>
  <c r="C67" i="68" s="1"/>
  <c r="C70" i="68" s="1"/>
  <c r="J35" i="68"/>
  <c r="J39" i="68" s="1"/>
  <c r="J40" i="68" s="1"/>
  <c r="C37" i="68"/>
  <c r="C30" i="68" s="1"/>
  <c r="C39" i="68" s="1"/>
  <c r="Q71" i="68"/>
  <c r="Q69" i="70"/>
  <c r="Q68" i="71"/>
  <c r="Q68" i="15"/>
  <c r="Q68" i="70"/>
  <c r="Q68" i="69"/>
  <c r="Q70" i="72"/>
  <c r="Q69" i="72" s="1"/>
  <c r="C40" i="72"/>
  <c r="G53" i="39"/>
  <c r="H53" i="39" s="1"/>
  <c r="G54" i="39"/>
  <c r="H54" i="39" s="1"/>
  <c r="R50" i="39"/>
  <c r="E49" i="39"/>
  <c r="I54" i="39" s="1"/>
  <c r="J54" i="39" s="1"/>
  <c r="J39" i="72"/>
  <c r="J40" i="72" s="1"/>
  <c r="R45" i="40"/>
  <c r="E44" i="40"/>
  <c r="I53" i="39"/>
  <c r="J53" i="39" s="1"/>
  <c r="C43" i="44"/>
  <c r="C39" i="44"/>
  <c r="C32" i="44" s="1"/>
  <c r="C42" i="44" s="1"/>
  <c r="Q72" i="44"/>
  <c r="G49" i="40"/>
  <c r="H49" i="40" s="1"/>
  <c r="G48" i="40"/>
  <c r="H48" i="40" s="1"/>
  <c r="E10" i="43"/>
  <c r="Q66" i="69"/>
  <c r="Q76" i="69" s="1"/>
  <c r="C43" i="69"/>
  <c r="J42" i="69"/>
  <c r="J43" i="69" s="1"/>
  <c r="Q57" i="69"/>
  <c r="Q63" i="69" s="1"/>
  <c r="Q48" i="69"/>
  <c r="Q54" i="69" s="1"/>
  <c r="B2" i="69"/>
  <c r="B3" i="69" s="1"/>
  <c r="Q48" i="71"/>
  <c r="Q54" i="71" s="1"/>
  <c r="G10" i="43"/>
  <c r="B2" i="71"/>
  <c r="B3" i="71" s="1"/>
  <c r="Q66" i="71"/>
  <c r="Q76" i="71" s="1"/>
  <c r="C43" i="71"/>
  <c r="Q57" i="71"/>
  <c r="Q63" i="71" s="1"/>
  <c r="J42" i="71"/>
  <c r="J43" i="71" s="1"/>
  <c r="J15" i="44"/>
  <c r="J25" i="44" s="1"/>
  <c r="J24" i="44"/>
  <c r="C46" i="15"/>
  <c r="B2" i="15"/>
  <c r="B3" i="15" s="1"/>
  <c r="C10" i="43"/>
  <c r="Q66" i="15"/>
  <c r="Q76" i="15" s="1"/>
  <c r="Q48" i="15"/>
  <c r="Q54" i="15" s="1"/>
  <c r="C43" i="15"/>
  <c r="Q57" i="15"/>
  <c r="Q63" i="15" s="1"/>
  <c r="J42" i="15"/>
  <c r="J43" i="15" s="1"/>
  <c r="C46" i="70"/>
  <c r="F10" i="43"/>
  <c r="C43" i="70"/>
  <c r="Q66" i="70"/>
  <c r="Q76" i="70" s="1"/>
  <c r="J42" i="70"/>
  <c r="J43" i="70" s="1"/>
  <c r="Q57" i="70"/>
  <c r="Q63" i="70" s="1"/>
  <c r="B2" i="70"/>
  <c r="B3" i="70" s="1"/>
  <c r="Q48" i="70"/>
  <c r="Q54" i="70" s="1"/>
  <c r="G21" i="9"/>
  <c r="G20" i="9"/>
  <c r="N43" i="9"/>
  <c r="C32" i="9"/>
  <c r="G22" i="9"/>
  <c r="L51" i="68"/>
  <c r="L51" i="72"/>
  <c r="Q68" i="68" l="1"/>
  <c r="J18" i="44"/>
  <c r="J27" i="44" s="1"/>
  <c r="C40" i="68"/>
  <c r="Q70" i="68"/>
  <c r="Q69" i="68" s="1"/>
  <c r="Q68" i="72"/>
  <c r="Q71" i="44"/>
  <c r="Q70" i="44" s="1"/>
  <c r="C44" i="44"/>
  <c r="C45" i="44" s="1"/>
  <c r="B2" i="44" s="1"/>
  <c r="E48" i="40"/>
  <c r="F48" i="40" s="1"/>
  <c r="E49" i="40"/>
  <c r="F49" i="40" s="1"/>
  <c r="I49" i="40"/>
  <c r="J49" i="40" s="1"/>
  <c r="C49" i="39"/>
  <c r="C50" i="39"/>
  <c r="C44" i="40"/>
  <c r="C45" i="40"/>
  <c r="E54" i="39"/>
  <c r="F54" i="39" s="1"/>
  <c r="E53" i="39"/>
  <c r="F53" i="39" s="1"/>
  <c r="C46" i="72"/>
  <c r="Q66" i="72"/>
  <c r="Q76" i="72" s="1"/>
  <c r="Q57" i="72"/>
  <c r="Q63" i="72" s="1"/>
  <c r="B2" i="72"/>
  <c r="B3" i="72" s="1"/>
  <c r="C43" i="72"/>
  <c r="H10" i="43"/>
  <c r="Q48" i="72"/>
  <c r="Q54" i="72" s="1"/>
  <c r="J42" i="72"/>
  <c r="J43" i="72" s="1"/>
  <c r="D5" i="78"/>
  <c r="D10" i="78" s="1"/>
  <c r="O38" i="9"/>
  <c r="C34" i="9"/>
  <c r="O43" i="9"/>
  <c r="C42" i="9"/>
  <c r="C33" i="9"/>
  <c r="C35" i="9"/>
  <c r="F42" i="9" s="1"/>
  <c r="C46" i="68" l="1"/>
  <c r="Q66" i="68"/>
  <c r="Q76" i="68" s="1"/>
  <c r="B2" i="68"/>
  <c r="B3" i="68" s="1"/>
  <c r="J42" i="68"/>
  <c r="J43" i="68" s="1"/>
  <c r="D10" i="43"/>
  <c r="Q48" i="68"/>
  <c r="Q54" i="68" s="1"/>
  <c r="C43" i="68"/>
  <c r="Q57" i="68"/>
  <c r="Q63" i="68" s="1"/>
  <c r="C6" i="43"/>
  <c r="C31" i="43" s="1"/>
  <c r="C32" i="43" s="1"/>
  <c r="B2" i="43" s="1"/>
  <c r="B3" i="43" s="1"/>
  <c r="B5" i="43"/>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D14" i="66"/>
  <c r="R5" i="54"/>
  <c r="B48" i="63" s="1"/>
  <c r="D63" i="9"/>
  <c r="N68" i="9"/>
  <c r="M38" i="9"/>
  <c r="K27" i="9" s="1"/>
  <c r="E42" i="9"/>
  <c r="P5" i="54" s="1"/>
  <c r="B46" i="63" s="1"/>
  <c r="N38" i="9"/>
  <c r="K28" i="9" s="1"/>
  <c r="D42" i="9"/>
  <c r="Q5" i="54" s="1"/>
  <c r="B47" i="63" s="1"/>
  <c r="K25" i="9"/>
  <c r="K26" i="9"/>
  <c r="B4" i="43" l="1"/>
  <c r="B3" i="39"/>
  <c r="B5" i="39"/>
  <c r="B4" i="39"/>
  <c r="B4" i="40"/>
  <c r="B3" i="40"/>
  <c r="B5" i="40"/>
  <c r="C96" i="9"/>
  <c r="C91" i="9" s="1"/>
  <c r="C103" i="9"/>
  <c r="C90" i="9"/>
  <c r="C97" i="9" s="1"/>
  <c r="C111" i="9"/>
  <c r="C104" i="9" s="1"/>
  <c r="D71" i="9"/>
  <c r="D66" i="9" s="1"/>
  <c r="N72" i="9" s="1"/>
  <c r="D77" i="9"/>
  <c r="N75" i="9" s="1"/>
  <c r="D70" i="9"/>
  <c r="C82" i="9"/>
  <c r="C81" i="9" s="1"/>
  <c r="C85" i="9" s="1"/>
  <c r="C86" i="9" s="1"/>
  <c r="D72" i="9" s="1"/>
  <c r="E14" i="66"/>
  <c r="F14" i="66"/>
  <c r="B5" i="66"/>
  <c r="C5" i="66" l="1"/>
  <c r="D5" i="66"/>
  <c r="C113" i="9"/>
  <c r="C98" i="9"/>
  <c r="E98" i="9" s="1"/>
  <c r="E99" i="9" s="1"/>
  <c r="C99" i="9" l="1"/>
  <c r="C114" i="9"/>
  <c r="E114" i="9" s="1"/>
  <c r="E115"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<sst xmlns="http://schemas.openxmlformats.org/spreadsheetml/2006/main" count="9269" uniqueCount="3236">
  <si>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</si>
  <si>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</si>
  <si>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</si>
  <si>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</si>
  <si>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</si>
  <si>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</si>
  <si>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</si>
  <si>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</si>
  <si>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</si>
  <si>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</si>
  <si>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</si>
  <si>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</si>
  <si>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</si>
  <si>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</si>
  <si>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</si>
  <si>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</si>
  <si>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29" type="noConversion"/>
  </si>
  <si>
    <t>-</t>
    <phoneticPr fontId="29" type="noConversion"/>
  </si>
  <si>
    <t>-</t>
    <phoneticPr fontId="29" type="noConversion"/>
  </si>
  <si>
    <t>——</t>
    <phoneticPr fontId="36" type="noConversion"/>
  </si>
  <si>
    <t>——</t>
    <phoneticPr fontId="24"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</si>
  <si>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</si>
  <si>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</si>
  <si>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</si>
  <si>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</si>
  <si>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</si>
  <si>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</si>
  <si>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</si>
  <si>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</si>
  <si>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</si>
  <si>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</si>
  <si>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</si>
  <si>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</si>
  <si>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</si>
  <si>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</si>
  <si>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</si>
  <si>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0" type="noConversion"/>
  </si>
  <si>
    <t>地下公共配套设施</t>
    <phoneticPr fontId="40" type="noConversion"/>
  </si>
  <si>
    <t>地上物业管理用房</t>
    <phoneticPr fontId="40" type="noConversion"/>
  </si>
  <si>
    <t>地下设备及其他</t>
    <phoneticPr fontId="40" type="noConversion"/>
  </si>
  <si>
    <t>分摊土地面积</t>
    <phoneticPr fontId="40" type="noConversion"/>
  </si>
  <si>
    <t>建筑面积</t>
    <phoneticPr fontId="40" type="noConversion"/>
  </si>
  <si>
    <t>面积合计</t>
    <phoneticPr fontId="40" type="noConversion"/>
  </si>
  <si>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</si>
  <si>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</si>
  <si>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</si>
  <si>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</si>
  <si>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</si>
  <si>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</si>
  <si>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</si>
  <si>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</si>
  <si>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</si>
  <si>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</si>
  <si>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</si>
  <si>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</si>
  <si>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</si>
  <si>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</si>
  <si>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</si>
  <si>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</si>
  <si>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</si>
  <si>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</si>
  <si>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</si>
  <si>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</si>
  <si>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</si>
  <si>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</si>
  <si>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</si>
  <si>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</si>
  <si>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</si>
  <si>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</si>
  <si>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</si>
  <si>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</si>
  <si>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</si>
  <si>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</si>
  <si>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</si>
  <si>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</si>
  <si>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</si>
  <si>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2"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</si>
  <si>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</si>
  <si>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</si>
  <si>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</si>
  <si>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</si>
  <si>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</si>
  <si>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t>50-60</t>
    </r>
    <r>
      <rPr>
        <sz val="11"/>
        <color indexed="8"/>
        <rFont val="仿宋_GB2312"/>
        <family val="3"/>
        <charset val="134"/>
      </rPr>
      <t>（含）</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</si>
  <si>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</si>
  <si>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</si>
  <si>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2"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</si>
  <si>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</si>
  <si>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</si>
  <si>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</si>
  <si>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</si>
  <si>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</si>
  <si>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t>40-50</t>
    </r>
    <r>
      <rPr>
        <sz val="11"/>
        <color indexed="8"/>
        <rFont val="仿宋_GB2312"/>
        <family val="3"/>
        <charset val="134"/>
      </rPr>
      <t>（含）</t>
    </r>
    <phoneticPr fontId="17" type="noConversion"/>
  </si>
  <si>
    <r>
      <rPr>
        <sz val="11"/>
        <color indexed="8"/>
        <rFont val="仿宋_GB2312"/>
        <family val="3"/>
        <charset val="134"/>
      </rPr>
      <t>一般</t>
    </r>
  </si>
  <si>
    <r>
      <rPr>
        <sz val="11"/>
        <color indexed="8"/>
        <rFont val="仿宋_GB2312"/>
        <family val="3"/>
        <charset val="134"/>
      </rPr>
      <t>单面临街</t>
    </r>
    <phoneticPr fontId="42"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</si>
  <si>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</si>
  <si>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</si>
  <si>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t>30-40</t>
    </r>
    <r>
      <rPr>
        <sz val="11"/>
        <color indexed="8"/>
        <rFont val="仿宋_GB2312"/>
        <family val="3"/>
        <charset val="134"/>
      </rPr>
      <t>（含）</t>
    </r>
    <phoneticPr fontId="17" type="noConversion"/>
  </si>
  <si>
    <r>
      <rPr>
        <sz val="11"/>
        <color indexed="8"/>
        <rFont val="仿宋_GB2312"/>
        <family val="3"/>
        <charset val="134"/>
      </rPr>
      <t>较差</t>
    </r>
  </si>
  <si>
    <r>
      <rPr>
        <sz val="11"/>
        <color indexed="8"/>
        <rFont val="仿宋_GB2312"/>
        <family val="3"/>
        <charset val="134"/>
      </rPr>
      <t>不临街</t>
    </r>
    <phoneticPr fontId="42" type="noConversion"/>
  </si>
  <si>
    <r>
      <rPr>
        <sz val="11"/>
        <color indexed="8"/>
        <rFont val="仿宋_GB2312"/>
        <family val="3"/>
        <charset val="134"/>
      </rPr>
      <t>洋房</t>
    </r>
    <phoneticPr fontId="17" type="noConversion"/>
  </si>
  <si>
    <r>
      <t>20-30</t>
    </r>
    <r>
      <rPr>
        <sz val="11"/>
        <color indexed="8"/>
        <rFont val="仿宋_GB2312"/>
        <family val="3"/>
        <charset val="134"/>
      </rPr>
      <t>（含）</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</si>
  <si>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</si>
  <si>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</si>
  <si>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</si>
  <si>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</si>
  <si>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t>10-20</t>
    </r>
    <r>
      <rPr>
        <sz val="11"/>
        <color indexed="8"/>
        <rFont val="仿宋_GB2312"/>
        <family val="3"/>
        <charset val="134"/>
      </rPr>
      <t>（含）</t>
    </r>
    <phoneticPr fontId="17" type="noConversion"/>
  </si>
  <si>
    <r>
      <rPr>
        <sz val="11"/>
        <color indexed="8"/>
        <rFont val="仿宋_GB2312"/>
        <family val="3"/>
        <charset val="134"/>
      </rPr>
      <t>联排</t>
    </r>
    <phoneticPr fontId="17" type="noConversion"/>
  </si>
  <si>
    <r>
      <t>0-10</t>
    </r>
    <r>
      <rPr>
        <sz val="11"/>
        <color indexed="8"/>
        <rFont val="仿宋_GB2312"/>
        <family val="3"/>
        <charset val="134"/>
      </rPr>
      <t>（含）</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</si>
  <si>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</si>
  <si>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</si>
  <si>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</si>
  <si>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</si>
  <si>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</si>
  <si>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</si>
  <si>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</si>
  <si>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</si>
  <si>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</si>
  <si>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</si>
  <si>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</si>
  <si>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</si>
  <si>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</si>
  <si>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</si>
  <si>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</si>
  <si>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</si>
  <si>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</si>
  <si>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</si>
  <si>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</si>
  <si>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</si>
  <si>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</si>
  <si>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t>60-70</t>
    </r>
    <r>
      <rPr>
        <sz val="11"/>
        <color indexed="8"/>
        <rFont val="仿宋_GB2312"/>
        <family val="3"/>
        <charset val="134"/>
      </rPr>
      <t>（含）</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</si>
  <si>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</si>
  <si>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</si>
  <si>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判定</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</si>
  <si>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</si>
  <si>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</si>
  <si>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</si>
  <si>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</si>
  <si>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</si>
  <si>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</si>
  <si>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</si>
  <si>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</si>
  <si>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</si>
  <si>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</si>
  <si>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</si>
  <si>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2"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</si>
  <si>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</si>
  <si>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2"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</si>
  <si>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</si>
  <si>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</si>
  <si>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</si>
  <si>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</si>
  <si>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</si>
  <si>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</si>
  <si>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</si>
  <si>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</si>
  <si>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</si>
  <si>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</si>
  <si>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</si>
  <si>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</si>
  <si>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</si>
  <si>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</si>
  <si>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</si>
  <si>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</si>
  <si>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</si>
  <si>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</si>
  <si>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</si>
  <si>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</si>
  <si>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</si>
  <si>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</si>
  <si>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</si>
  <si>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</si>
  <si>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</si>
  <si>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</si>
  <si>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</si>
  <si>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</si>
  <si>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</si>
  <si>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</si>
  <si>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</si>
  <si>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</si>
  <si>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</si>
  <si>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</si>
  <si>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</si>
  <si>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</si>
  <si>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</si>
  <si>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</si>
  <si>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</si>
  <si>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</si>
  <si>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</si>
  <si>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</si>
  <si>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</si>
  <si>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</si>
  <si>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</si>
  <si>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</si>
  <si>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</si>
  <si>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</si>
  <si>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</si>
  <si>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</si>
  <si>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</si>
  <si>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</si>
  <si>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</si>
  <si>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</si>
  <si>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</si>
  <si>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</si>
  <si>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</si>
  <si>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</si>
  <si>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</si>
  <si>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</si>
  <si>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</si>
  <si>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</si>
  <si>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</si>
  <si>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</si>
  <si>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</si>
  <si>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</si>
  <si>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</si>
  <si>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</si>
  <si>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</si>
  <si>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</si>
  <si>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</si>
  <si>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</si>
  <si>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</si>
  <si>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</si>
  <si>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</si>
  <si>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</si>
  <si>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</si>
  <si>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</si>
  <si>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</si>
  <si>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</si>
  <si>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</si>
  <si>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</si>
  <si>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</si>
  <si>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</si>
  <si>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</si>
  <si>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</si>
  <si>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</si>
  <si>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</si>
  <si>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</si>
  <si>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</si>
  <si>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</si>
  <si>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</si>
  <si>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</si>
  <si>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</si>
  <si>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</si>
  <si>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</si>
  <si>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</si>
  <si>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</si>
  <si>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</si>
  <si>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</si>
  <si>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</si>
  <si>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</si>
  <si>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</si>
  <si>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</si>
  <si>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</si>
  <si>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</si>
  <si>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</si>
  <si>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</si>
  <si>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</si>
  <si>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</si>
  <si>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</si>
  <si>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</si>
  <si>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</si>
  <si>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</si>
  <si>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</si>
  <si>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</si>
  <si>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</si>
  <si>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</si>
  <si>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</si>
  <si>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</si>
  <si>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</si>
  <si>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</si>
  <si>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</si>
  <si>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</si>
  <si>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</si>
  <si>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</si>
  <si>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</si>
  <si>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</si>
  <si>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</si>
  <si>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</si>
  <si>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</si>
  <si>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</si>
  <si>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</si>
  <si>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</si>
  <si>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</si>
  <si>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</si>
  <si>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</si>
  <si>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</si>
  <si>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</si>
  <si>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</si>
  <si>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</si>
  <si>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</si>
  <si>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</si>
  <si>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</si>
  <si>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</si>
  <si>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</si>
  <si>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</si>
  <si>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</si>
  <si>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</si>
  <si>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</si>
  <si>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</si>
  <si>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</si>
  <si>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</si>
  <si>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</si>
  <si>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</si>
  <si>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</si>
  <si>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</si>
  <si>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</si>
  <si>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</si>
  <si>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</si>
  <si>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</si>
  <si>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</si>
  <si>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</si>
  <si>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</si>
  <si>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</si>
  <si>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</si>
  <si>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</si>
  <si>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</si>
  <si>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</si>
  <si>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</si>
  <si>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</si>
  <si>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</si>
  <si>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</si>
  <si>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</si>
  <si>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</si>
  <si>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</si>
  <si>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</si>
  <si>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</si>
  <si>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</si>
  <si>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</si>
  <si>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</si>
  <si>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</si>
  <si>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</si>
  <si>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</si>
  <si>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</si>
  <si>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</si>
  <si>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</si>
  <si>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</si>
  <si>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</si>
  <si>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</si>
  <si>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</si>
  <si>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</si>
  <si>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</si>
  <si>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</si>
  <si>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</si>
  <si>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</si>
  <si>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</si>
  <si>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</si>
  <si>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</si>
  <si>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</si>
  <si>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</si>
  <si>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</si>
  <si>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</si>
  <si>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</si>
  <si>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</si>
  <si>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</si>
  <si>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</si>
  <si>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</si>
  <si>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</si>
  <si>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</si>
  <si>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</si>
  <si>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</si>
  <si>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</si>
  <si>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</si>
  <si>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</si>
  <si>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</si>
  <si>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</si>
  <si>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</si>
  <si>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</si>
  <si>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</si>
  <si>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</si>
  <si>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</si>
  <si>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</si>
  <si>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</si>
  <si>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</si>
  <si>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</si>
  <si>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</si>
  <si>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</si>
  <si>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</si>
  <si>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</si>
  <si>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</si>
  <si>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</si>
  <si>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</si>
  <si>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</si>
  <si>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</si>
  <si>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</si>
  <si>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</si>
  <si>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</si>
  <si>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</si>
  <si>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</si>
  <si>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</si>
  <si>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</si>
  <si>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</si>
  <si>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</si>
  <si>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</si>
  <si>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</si>
  <si>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</si>
  <si>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</si>
  <si>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</si>
  <si>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</si>
  <si>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</si>
  <si>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</si>
  <si>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</si>
  <si>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</si>
  <si>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</si>
  <si>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</si>
  <si>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</si>
  <si>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</si>
  <si>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</si>
  <si>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</si>
  <si>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</si>
  <si>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</si>
  <si>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</si>
  <si>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</si>
  <si>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</si>
  <si>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正常</t>
    </r>
  </si>
  <si>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</si>
  <si>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</si>
  <si>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</si>
  <si>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</si>
  <si>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</si>
  <si>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</si>
  <si>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</si>
  <si>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</si>
  <si>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</si>
  <si>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</si>
  <si>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</si>
  <si>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</si>
  <si>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</si>
  <si>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</si>
  <si>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</si>
  <si>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</si>
  <si>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</si>
  <si>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</si>
  <si>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</si>
  <si>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</si>
  <si>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</si>
  <si>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</si>
  <si>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</si>
  <si>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</si>
  <si>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</si>
  <si>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</si>
  <si>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</si>
  <si>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</si>
  <si>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</si>
  <si>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</si>
  <si>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购房发票</t>
    </r>
  </si>
  <si>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</si>
  <si>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</si>
  <si>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</si>
  <si>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</si>
  <si>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</si>
  <si>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</si>
  <si>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</si>
  <si>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</si>
  <si>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</si>
  <si>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</si>
  <si>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</si>
  <si>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</si>
  <si>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</si>
  <si>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</si>
  <si>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</si>
  <si>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</si>
  <si>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</si>
  <si>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</si>
  <si>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</si>
  <si>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</si>
  <si>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</si>
  <si>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</si>
  <si>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</si>
  <si>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</si>
  <si>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</si>
  <si>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</si>
  <si>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</si>
  <si>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</si>
  <si>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</si>
  <si>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</si>
  <si>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</si>
  <si>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</si>
  <si>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</si>
  <si>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</si>
  <si>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</si>
  <si>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</si>
  <si>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</si>
  <si>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</si>
  <si>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</si>
  <si>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</si>
  <si>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</si>
  <si>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</si>
  <si>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</si>
  <si>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</si>
  <si>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</si>
  <si>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</si>
  <si>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</si>
  <si>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</si>
  <si>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</si>
  <si>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</si>
  <si>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</si>
  <si>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</si>
  <si>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</si>
  <si>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</si>
  <si>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</si>
  <si>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</si>
  <si>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</si>
  <si>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4" type="noConversion"/>
  </si>
  <si>
    <r>
      <rPr>
        <b/>
        <sz val="11"/>
        <color indexed="8"/>
        <rFont val="仿宋_GB2312"/>
        <family val="3"/>
        <charset val="134"/>
      </rPr>
      <t>以建造成本为基数计取</t>
    </r>
    <phoneticPr fontId="44" type="noConversion"/>
  </si>
  <si>
    <r>
      <rPr>
        <b/>
        <sz val="11"/>
        <color indexed="8"/>
        <rFont val="仿宋_GB2312"/>
        <family val="3"/>
        <charset val="134"/>
      </rPr>
      <t>销售费用</t>
    </r>
    <phoneticPr fontId="17" type="noConversion"/>
  </si>
  <si>
    <r>
      <t>P</t>
    </r>
    <r>
      <rPr>
        <b/>
        <vertAlign val="subscript"/>
        <sz val="10"/>
        <color indexed="8"/>
        <rFont val="仿宋_GB2312"/>
        <family val="3"/>
        <charset val="134"/>
      </rPr>
      <t>建</t>
    </r>
    <phoneticPr fontId="17"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</si>
  <si>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4" type="noConversion"/>
  </si>
  <si>
    <r>
      <t>P</t>
    </r>
    <r>
      <rPr>
        <b/>
        <vertAlign val="subscript"/>
        <sz val="11"/>
        <color indexed="8"/>
        <rFont val="仿宋_GB2312"/>
        <family val="3"/>
        <charset val="134"/>
      </rPr>
      <t>建</t>
    </r>
    <phoneticPr fontId="17"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</si>
  <si>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</si>
  <si>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</si>
  <si>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</si>
  <si>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7" type="noConversion"/>
  </si>
  <si>
    <r>
      <rPr>
        <b/>
        <sz val="11"/>
        <color indexed="8"/>
        <rFont val="仿宋_GB2312"/>
        <family val="3"/>
        <charset val="134"/>
      </rPr>
      <t>建筑物重置价格</t>
    </r>
    <phoneticPr fontId="18" type="noConversion"/>
  </si>
  <si>
    <r>
      <rPr>
        <b/>
        <sz val="11"/>
        <color indexed="8"/>
        <rFont val="仿宋_GB2312"/>
        <family val="3"/>
        <charset val="134"/>
      </rPr>
      <t>成新率</t>
    </r>
    <phoneticPr fontId="18"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</si>
  <si>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8"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</si>
  <si>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6"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</si>
  <si>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</si>
  <si>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</si>
  <si>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</si>
  <si>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</si>
  <si>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</si>
  <si>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</si>
  <si>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</si>
  <si>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</si>
  <si>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</si>
  <si>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</si>
  <si>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</si>
  <si>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</si>
  <si>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</si>
  <si>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</si>
  <si>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</si>
  <si>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</si>
  <si>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</si>
  <si>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</si>
  <si>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</si>
  <si>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</si>
  <si>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</si>
  <si>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</si>
  <si>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</si>
  <si>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</si>
  <si>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</si>
  <si>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</si>
  <si>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</si>
  <si>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</si>
  <si>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</si>
  <si>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</si>
  <si>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</si>
  <si>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</si>
  <si>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</si>
  <si>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</si>
  <si>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</si>
  <si>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</si>
  <si>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</si>
  <si>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</si>
  <si>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</si>
  <si>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</si>
  <si>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</si>
  <si>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</si>
  <si>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</si>
  <si>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</si>
  <si>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</si>
  <si>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</si>
  <si>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</si>
  <si>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</si>
  <si>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</si>
  <si>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</si>
  <si>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</si>
  <si>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</si>
  <si>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地下商业（</t>
    </r>
    <r>
      <rPr>
        <sz val="10"/>
        <rFont val="Arial"/>
        <family val="2"/>
      </rPr>
      <t>-4</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</si>
  <si>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</si>
  <si>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</si>
  <si>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</si>
  <si>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</si>
  <si>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</si>
  <si>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</si>
  <si>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</si>
  <si>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</si>
  <si>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</si>
  <si>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</si>
  <si>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</si>
  <si>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</si>
  <si>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</si>
  <si>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</si>
  <si>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</si>
  <si>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</si>
  <si>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</si>
  <si>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</si>
  <si>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</si>
  <si>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</si>
  <si>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</si>
  <si>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</si>
  <si>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</si>
  <si>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</si>
  <si>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</si>
  <si>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</si>
  <si>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</si>
  <si>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</si>
  <si>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</si>
  <si>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</si>
  <si>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</si>
  <si>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</si>
  <si>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</si>
  <si>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</si>
  <si>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</si>
  <si>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</si>
  <si>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</si>
  <si>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</si>
  <si>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</si>
  <si>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</si>
  <si>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</si>
  <si>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</si>
  <si>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</si>
  <si>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</si>
  <si>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</si>
  <si>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</si>
  <si>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</si>
  <si>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</si>
  <si>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</si>
  <si>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</si>
  <si>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</si>
  <si>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</si>
  <si>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</si>
  <si>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</si>
  <si>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</si>
  <si>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</si>
  <si>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</si>
  <si>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</si>
  <si>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</si>
  <si>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</si>
  <si>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</si>
  <si>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</si>
  <si>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</si>
  <si>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</si>
  <si>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</si>
  <si>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</si>
  <si>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</si>
  <si>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</si>
  <si>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</si>
  <si>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</si>
  <si>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</si>
  <si>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</si>
  <si>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</si>
  <si>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</si>
  <si>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</si>
  <si>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</si>
  <si>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</si>
  <si>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</si>
  <si>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</si>
  <si>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</si>
  <si>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</si>
  <si>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</si>
  <si>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</si>
  <si>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</si>
  <si>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</si>
  <si>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</si>
  <si>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</si>
  <si>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</si>
  <si>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</si>
  <si>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</si>
  <si>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</si>
  <si>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</si>
  <si>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</si>
  <si>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</si>
  <si>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</si>
  <si>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</si>
  <si>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</si>
  <si>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</si>
  <si>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</si>
  <si>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</si>
  <si>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</si>
  <si>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</si>
  <si>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</si>
  <si>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</si>
  <si>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</si>
  <si>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</si>
  <si>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</si>
  <si>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</si>
  <si>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</si>
  <si>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</si>
  <si>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</si>
  <si>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</si>
  <si>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</si>
  <si>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</si>
  <si>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</si>
  <si>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</si>
  <si>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</si>
  <si>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</si>
  <si>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</si>
  <si>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</si>
  <si>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</si>
  <si>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</si>
  <si>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</si>
  <si>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</si>
  <si>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</si>
  <si>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</si>
  <si>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</si>
  <si>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</si>
  <si>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</si>
  <si>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</si>
  <si>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</si>
  <si>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</si>
  <si>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</si>
  <si>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</si>
  <si>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</si>
  <si>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</si>
  <si>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</si>
  <si>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</si>
  <si>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</si>
  <si>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</si>
  <si>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</si>
  <si>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</si>
  <si>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4"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</si>
  <si>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4" type="noConversion"/>
  </si>
  <si>
    <r>
      <rPr>
        <sz val="11"/>
        <color indexed="8"/>
        <rFont val="仿宋_GB2312"/>
        <family val="3"/>
        <charset val="134"/>
      </rPr>
      <t>土地年纯收益</t>
    </r>
    <phoneticPr fontId="64"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</si>
  <si>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4" type="noConversion"/>
  </si>
  <si>
    <r>
      <rPr>
        <sz val="11"/>
        <color indexed="8"/>
        <rFont val="仿宋_GB2312"/>
        <family val="3"/>
        <charset val="134"/>
      </rPr>
      <t>土地价格</t>
    </r>
    <phoneticPr fontId="64"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</si>
  <si>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</si>
  <si>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</si>
  <si>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</si>
  <si>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</si>
  <si>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</si>
  <si>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</si>
  <si>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</si>
  <si>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</si>
  <si>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</si>
  <si>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</si>
  <si>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</si>
  <si>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</si>
  <si>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</si>
  <si>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</si>
  <si>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</si>
  <si>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</si>
  <si>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</si>
  <si>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</si>
  <si>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</si>
  <si>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</si>
  <si>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</si>
  <si>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t>60-70</t>
    </r>
    <r>
      <rPr>
        <sz val="11"/>
        <rFont val="仿宋_GB2312"/>
        <family val="3"/>
        <charset val="134"/>
      </rPr>
      <t>（含）</t>
    </r>
    <phoneticPr fontId="24" type="noConversion"/>
  </si>
  <si>
    <r>
      <t>50-60</t>
    </r>
    <r>
      <rPr>
        <sz val="11"/>
        <rFont val="仿宋_GB2312"/>
        <family val="3"/>
        <charset val="134"/>
      </rPr>
      <t>（含）</t>
    </r>
    <phoneticPr fontId="24" type="noConversion"/>
  </si>
  <si>
    <r>
      <t>40-50</t>
    </r>
    <r>
      <rPr>
        <sz val="11"/>
        <rFont val="仿宋_GB2312"/>
        <family val="3"/>
        <charset val="134"/>
      </rPr>
      <t>（含）</t>
    </r>
    <phoneticPr fontId="24" type="noConversion"/>
  </si>
  <si>
    <r>
      <t>30-40</t>
    </r>
    <r>
      <rPr>
        <sz val="11"/>
        <rFont val="仿宋_GB2312"/>
        <family val="3"/>
        <charset val="134"/>
      </rPr>
      <t>（含）</t>
    </r>
    <phoneticPr fontId="24" type="noConversion"/>
  </si>
  <si>
    <r>
      <t>20-30</t>
    </r>
    <r>
      <rPr>
        <sz val="11"/>
        <rFont val="仿宋_GB2312"/>
        <family val="3"/>
        <charset val="134"/>
      </rPr>
      <t>（含）</t>
    </r>
    <phoneticPr fontId="24" type="noConversion"/>
  </si>
  <si>
    <r>
      <t>10-20</t>
    </r>
    <r>
      <rPr>
        <sz val="11"/>
        <rFont val="仿宋_GB2312"/>
        <family val="3"/>
        <charset val="134"/>
      </rPr>
      <t>（含）</t>
    </r>
    <phoneticPr fontId="24" type="noConversion"/>
  </si>
  <si>
    <r>
      <t>0-10</t>
    </r>
    <r>
      <rPr>
        <sz val="11"/>
        <rFont val="仿宋_GB2312"/>
        <family val="3"/>
        <charset val="134"/>
      </rPr>
      <t>（含）</t>
    </r>
    <phoneticPr fontId="24"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</si>
  <si>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</si>
  <si>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</si>
  <si>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</si>
  <si>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</si>
  <si>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</si>
  <si>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</si>
  <si>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</si>
  <si>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</si>
  <si>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</si>
  <si>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</si>
  <si>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</si>
  <si>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</si>
  <si>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</si>
  <si>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</si>
  <si>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</si>
  <si>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</si>
  <si>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</si>
  <si>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</si>
  <si>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</si>
  <si>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</si>
  <si>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</si>
  <si>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</si>
  <si>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</si>
  <si>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</si>
  <si>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</si>
  <si>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</si>
  <si>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</si>
  <si>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</si>
  <si>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</si>
  <si>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</si>
  <si>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</si>
  <si>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</si>
  <si>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</si>
  <si>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</si>
  <si>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</si>
  <si>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</si>
  <si>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</si>
  <si>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</si>
  <si>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</si>
  <si>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</si>
  <si>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</si>
  <si>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</si>
  <si>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</si>
  <si>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</si>
  <si>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</si>
  <si>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</si>
  <si>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</si>
  <si>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</si>
  <si>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</si>
  <si>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</si>
  <si>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</si>
  <si>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</si>
  <si>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</si>
  <si>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</si>
  <si>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</si>
  <si>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</si>
  <si>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</si>
  <si>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</si>
  <si>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</si>
  <si>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</si>
  <si>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</si>
  <si>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</si>
  <si>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</si>
  <si>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</si>
  <si>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</si>
  <si>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</si>
  <si>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</si>
  <si>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</si>
  <si>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</si>
  <si>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</si>
  <si>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</si>
  <si>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</si>
  <si>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</si>
  <si>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</si>
  <si>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</si>
  <si>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</si>
  <si>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</si>
  <si>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</si>
  <si>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</si>
  <si>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</si>
  <si>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</si>
  <si>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</si>
  <si>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</si>
  <si>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</si>
  <si>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</si>
  <si>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2"/>
        <color indexed="8"/>
        <rFont val="仿宋_GB2312"/>
        <family val="3"/>
        <charset val="134"/>
      </rPr>
      <t>楼面单价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</si>
  <si>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</si>
  <si>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</si>
  <si>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建筑面积</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</si>
  <si>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</si>
  <si>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</si>
  <si>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</si>
  <si>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</si>
  <si>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</si>
  <si>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</si>
  <si>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</si>
  <si>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</si>
  <si>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</si>
  <si>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</si>
  <si>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</si>
  <si>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</si>
  <si>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</si>
  <si>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</si>
  <si>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</si>
  <si>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</si>
  <si>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</si>
  <si>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</si>
  <si>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</si>
  <si>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</si>
  <si>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</si>
  <si>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</si>
  <si>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6" type="noConversion"/>
  </si>
  <si>
    <t>用途类型</t>
    <phoneticPr fontId="17" type="noConversion"/>
  </si>
  <si>
    <r>
      <rPr>
        <b/>
        <sz val="11"/>
        <color indexed="8"/>
        <rFont val="楷体_GB2312"/>
        <family val="3"/>
        <charset val="134"/>
      </rPr>
      <t>容积率</t>
    </r>
    <phoneticPr fontId="126" type="noConversion"/>
  </si>
  <si>
    <r>
      <rPr>
        <sz val="11"/>
        <color indexed="8"/>
        <rFont val="楷体_GB2312"/>
        <family val="3"/>
        <charset val="134"/>
      </rPr>
      <t>项目</t>
    </r>
    <phoneticPr fontId="126" type="noConversion"/>
  </si>
  <si>
    <r>
      <rPr>
        <sz val="11"/>
        <color indexed="8"/>
        <rFont val="楷体_GB2312"/>
        <family val="3"/>
        <charset val="134"/>
      </rPr>
      <t>总</t>
    </r>
    <phoneticPr fontId="126" type="noConversion"/>
  </si>
  <si>
    <r>
      <rPr>
        <sz val="11"/>
        <color indexed="8"/>
        <rFont val="楷体_GB2312"/>
        <family val="3"/>
        <charset val="134"/>
      </rPr>
      <t>地上</t>
    </r>
    <phoneticPr fontId="126" type="noConversion"/>
  </si>
  <si>
    <r>
      <rPr>
        <sz val="11"/>
        <color indexed="8"/>
        <rFont val="楷体_GB2312"/>
        <family val="3"/>
        <charset val="134"/>
      </rPr>
      <t>估价对象</t>
    </r>
    <phoneticPr fontId="126"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</si>
  <si>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</si>
  <si>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</si>
  <si>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6" type="noConversion"/>
  </si>
  <si>
    <t>土地使用年期</t>
    <phoneticPr fontId="126" type="noConversion"/>
  </si>
  <si>
    <t>建安费用</t>
    <phoneticPr fontId="126"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</si>
  <si>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6" type="noConversion"/>
  </si>
  <si>
    <r>
      <rPr>
        <sz val="11"/>
        <color indexed="8"/>
        <rFont val="楷体_GB2312"/>
        <family val="3"/>
        <charset val="134"/>
      </rPr>
      <t>租期外</t>
    </r>
    <phoneticPr fontId="126" type="noConversion"/>
  </si>
  <si>
    <r>
      <rPr>
        <sz val="11"/>
        <color indexed="8"/>
        <rFont val="楷体_GB2312"/>
        <family val="3"/>
        <charset val="134"/>
      </rPr>
      <t>收益期</t>
    </r>
    <phoneticPr fontId="126" type="noConversion"/>
  </si>
  <si>
    <t>收益年期(总)</t>
    <phoneticPr fontId="6" type="noConversion"/>
  </si>
  <si>
    <r>
      <rPr>
        <sz val="11"/>
        <color indexed="8"/>
        <rFont val="楷体_GB2312"/>
        <family val="3"/>
        <charset val="134"/>
      </rPr>
      <t>非住宅项目及用公共配套计算实为</t>
    </r>
    <r>
      <rPr>
        <sz val="11"/>
        <color indexed="8"/>
        <rFont val="Arial"/>
        <family val="2"/>
      </rPr>
      <t>0</t>
    </r>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</si>
  <si>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</si>
  <si>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</si>
  <si>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</si>
  <si>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</si>
  <si>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</si>
  <si>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</si>
  <si>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</si>
  <si>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</si>
  <si>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</si>
  <si>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</si>
  <si>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</si>
  <si>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</si>
  <si>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</si>
  <si>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</si>
  <si>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</si>
  <si>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</si>
  <si>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</si>
  <si>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</si>
  <si>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</si>
  <si>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</si>
  <si>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</si>
  <si>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</si>
  <si>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</si>
  <si>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</si>
  <si>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r>
      <rPr>
        <sz val="10"/>
        <rFont val="楷体_GB2312"/>
        <family val="3"/>
        <charset val="134"/>
      </rPr>
      <t>宗地容积率</t>
    </r>
    <r>
      <rPr>
        <sz val="10"/>
        <rFont val="Arial"/>
        <family val="2"/>
      </rPr>
      <t>R</t>
    </r>
    <phoneticPr fontId="128" type="noConversion"/>
  </si>
  <si>
    <r>
      <rPr>
        <sz val="10"/>
        <rFont val="楷体_GB2312"/>
        <family val="3"/>
        <charset val="134"/>
      </rPr>
      <t>修正系数</t>
    </r>
    <phoneticPr fontId="128" type="noConversion"/>
  </si>
  <si>
    <t>用途</t>
    <phoneticPr fontId="128" type="noConversion"/>
  </si>
  <si>
    <t>土地级别</t>
    <phoneticPr fontId="128" type="noConversion"/>
  </si>
  <si>
    <r>
      <rPr>
        <sz val="10"/>
        <rFont val="楷体_GB2312"/>
        <family val="3"/>
        <charset val="134"/>
      </rPr>
      <t>商业</t>
    </r>
    <phoneticPr fontId="128" type="noConversion"/>
  </si>
  <si>
    <r>
      <rPr>
        <sz val="10"/>
        <rFont val="楷体_GB2312"/>
        <family val="3"/>
        <charset val="134"/>
      </rPr>
      <t>办公</t>
    </r>
    <phoneticPr fontId="128" type="noConversion"/>
  </si>
  <si>
    <t>住宅</t>
    <phoneticPr fontId="128" type="noConversion"/>
  </si>
  <si>
    <r>
      <rPr>
        <sz val="10"/>
        <rFont val="楷体_GB2312"/>
        <family val="3"/>
        <charset val="134"/>
      </rPr>
      <t>工业</t>
    </r>
    <phoneticPr fontId="128" type="noConversion"/>
  </si>
  <si>
    <t>北京市基准地价容积率修正系数表（办公）</t>
    <phoneticPr fontId="128" type="noConversion"/>
  </si>
  <si>
    <t>北京市基准地价容积率修正系数表（居住）</t>
    <phoneticPr fontId="128" type="noConversion"/>
  </si>
  <si>
    <t>容积率</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</si>
  <si>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</si>
  <si>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</si>
  <si>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</si>
  <si>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</si>
  <si>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</si>
  <si>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</si>
  <si>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</si>
  <si>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</si>
  <si>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</si>
  <si>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</si>
  <si>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</si>
  <si>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</si>
  <si>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北京市基准地价容积率修正系数表（工业）</t>
    <phoneticPr fontId="128" type="noConversion"/>
  </si>
  <si>
    <t>总价</t>
    <phoneticPr fontId="128" type="noConversion"/>
  </si>
  <si>
    <t>万元</t>
    <phoneticPr fontId="128" type="noConversion"/>
  </si>
  <si>
    <t>用途</t>
    <phoneticPr fontId="128" type="noConversion"/>
  </si>
  <si>
    <t>住宅</t>
  </si>
  <si>
    <t>土地级别</t>
    <phoneticPr fontId="128" type="noConversion"/>
  </si>
  <si>
    <t>四级</t>
  </si>
  <si>
    <t>区片编号</t>
    <phoneticPr fontId="128" type="noConversion"/>
  </si>
  <si>
    <t>元/平方米</t>
    <phoneticPr fontId="128" type="noConversion"/>
  </si>
  <si>
    <t>用途类别</t>
    <phoneticPr fontId="128" type="noConversion"/>
  </si>
  <si>
    <t>楼层</t>
    <phoneticPr fontId="128" type="noConversion"/>
  </si>
  <si>
    <t>（地上）</t>
    <phoneticPr fontId="128" type="noConversion"/>
  </si>
  <si>
    <t>适用的楼面熟地价</t>
    <phoneticPr fontId="128" type="noConversion"/>
  </si>
  <si>
    <t>商业路线价修正（商业用途）</t>
    <phoneticPr fontId="128" type="noConversion"/>
  </si>
  <si>
    <t>宗地深度（米）</t>
    <phoneticPr fontId="128" type="noConversion"/>
  </si>
  <si>
    <t>所在商业街</t>
    <phoneticPr fontId="128" type="noConversion"/>
  </si>
  <si>
    <t>A1</t>
    <phoneticPr fontId="128" type="noConversion"/>
  </si>
  <si>
    <t>临商业街红线1/4标准深度占地面积／宗地总面积</t>
    <phoneticPr fontId="128" type="noConversion"/>
  </si>
  <si>
    <t>加价幅度</t>
    <phoneticPr fontId="128" type="noConversion"/>
  </si>
  <si>
    <t>A2</t>
  </si>
  <si>
    <t>临商业街红线1/4至2/4标准深度占地面积／宗地总面积</t>
    <phoneticPr fontId="128" type="noConversion"/>
  </si>
  <si>
    <t>标准深度（米）</t>
    <phoneticPr fontId="128" type="noConversion"/>
  </si>
  <si>
    <t>A3</t>
  </si>
  <si>
    <t>临商业街红线2/4至3/4标准深度占地面积／宗地总面积</t>
    <phoneticPr fontId="128" type="noConversion"/>
  </si>
  <si>
    <t>1/4标准深度</t>
    <phoneticPr fontId="128" type="noConversion"/>
  </si>
  <si>
    <t>A4</t>
  </si>
  <si>
    <t>临商业街红线3/4至4/4标准深度占地面积／宗地总面积</t>
    <phoneticPr fontId="128" type="noConversion"/>
  </si>
  <si>
    <t>特殊情况修正（居住用途）</t>
    <phoneticPr fontId="128" type="noConversion"/>
  </si>
  <si>
    <t>需根据项目情况调整公式修正项</t>
    <phoneticPr fontId="128" type="noConversion"/>
  </si>
  <si>
    <t>轨道交通站点周边</t>
    <phoneticPr fontId="128" type="noConversion"/>
  </si>
  <si>
    <t>其他（垃圾填埋场/污水处理厂等），自定义，修正幅度不超过±10%</t>
    <phoneticPr fontId="128" type="noConversion"/>
  </si>
  <si>
    <t>开发程度差异修正</t>
    <phoneticPr fontId="128" type="noConversion"/>
  </si>
  <si>
    <t>估价对象开发程度</t>
    <phoneticPr fontId="128" type="noConversion"/>
  </si>
  <si>
    <t>——</t>
  </si>
  <si>
    <t>级别平均容积率</t>
    <phoneticPr fontId="128" type="noConversion"/>
  </si>
  <si>
    <t>级别开发程度</t>
    <phoneticPr fontId="128" type="noConversion"/>
  </si>
  <si>
    <t>对应的开发费</t>
    <phoneticPr fontId="128" type="noConversion"/>
  </si>
  <si>
    <t>用途修正系数</t>
    <phoneticPr fontId="128" type="noConversion"/>
  </si>
  <si>
    <t>期日修正指数</t>
    <phoneticPr fontId="128" type="noConversion"/>
  </si>
  <si>
    <t>基准期日</t>
    <phoneticPr fontId="128" type="noConversion"/>
  </si>
  <si>
    <t>估价期日</t>
    <phoneticPr fontId="128" type="noConversion"/>
  </si>
  <si>
    <t>2016-2</t>
  </si>
  <si>
    <t>2014-1</t>
  </si>
  <si>
    <t>2014-2</t>
  </si>
  <si>
    <t>2014-3</t>
  </si>
  <si>
    <t>2014-4</t>
  </si>
  <si>
    <t>2015-1</t>
  </si>
  <si>
    <t>2015-2</t>
  </si>
  <si>
    <t>2015-3</t>
  </si>
  <si>
    <t>2015-4</t>
  </si>
  <si>
    <t>2016-1</t>
  </si>
  <si>
    <t>2016-3</t>
  </si>
  <si>
    <t>2016-4</t>
  </si>
  <si>
    <t>年期修正系数</t>
    <phoneticPr fontId="128" type="noConversion"/>
  </si>
  <si>
    <t>现行一年期贷款利率</t>
    <phoneticPr fontId="128" type="noConversion"/>
  </si>
  <si>
    <t>土地还原率</t>
    <phoneticPr fontId="128" type="noConversion"/>
  </si>
  <si>
    <t>剩余使用年限</t>
    <phoneticPr fontId="128" type="noConversion"/>
  </si>
  <si>
    <t>商业</t>
    <phoneticPr fontId="128" type="noConversion"/>
  </si>
  <si>
    <t>容积率修正系数</t>
    <phoneticPr fontId="128" type="noConversion"/>
  </si>
  <si>
    <t>R&gt;10</t>
    <phoneticPr fontId="128" type="noConversion"/>
  </si>
  <si>
    <t>办公</t>
    <phoneticPr fontId="128" type="noConversion"/>
  </si>
  <si>
    <t>楼层修正系数（商业）</t>
    <phoneticPr fontId="128" type="noConversion"/>
  </si>
  <si>
    <t>因素修正系数</t>
    <phoneticPr fontId="128" type="noConversion"/>
  </si>
  <si>
    <t>工业</t>
  </si>
  <si>
    <t>估算结果</t>
    <phoneticPr fontId="128" type="noConversion"/>
  </si>
  <si>
    <t>商业</t>
    <phoneticPr fontId="128" type="noConversion"/>
  </si>
  <si>
    <t>办公</t>
    <phoneticPr fontId="128" type="noConversion"/>
  </si>
  <si>
    <t>工业</t>
    <phoneticPr fontId="128" type="noConversion"/>
  </si>
  <si>
    <t>熟地价</t>
    <phoneticPr fontId="128" type="noConversion"/>
  </si>
  <si>
    <t>上浮比率</t>
    <phoneticPr fontId="128" type="noConversion"/>
  </si>
  <si>
    <t>政府土地出让收益</t>
    <phoneticPr fontId="128" type="noConversion"/>
  </si>
  <si>
    <t>地上部分</t>
    <phoneticPr fontId="128" type="noConversion"/>
  </si>
  <si>
    <t>单价</t>
    <phoneticPr fontId="128" type="noConversion"/>
  </si>
  <si>
    <t>建筑面积</t>
    <phoneticPr fontId="128" type="noConversion"/>
  </si>
  <si>
    <t>总额</t>
    <phoneticPr fontId="128" type="noConversion"/>
  </si>
  <si>
    <t>地上部分——楼面熟地价</t>
    <phoneticPr fontId="128" type="noConversion"/>
  </si>
  <si>
    <t>地上部分——政府土地出让收益</t>
    <phoneticPr fontId="128" type="noConversion"/>
  </si>
  <si>
    <t>政府土地出让收益=楼面熟地价×政府土地出让收益比例</t>
    <phoneticPr fontId="128" type="noConversion"/>
  </si>
  <si>
    <t>地下部分</t>
    <phoneticPr fontId="128" type="noConversion"/>
  </si>
  <si>
    <t>楼面熟地价=适用的基准地价×期日修正系数×年期修正系数×因素修正系数×相应用途地下空间修正系数</t>
    <phoneticPr fontId="128" type="noConversion"/>
  </si>
  <si>
    <t>相应用途地下空间修正系数</t>
  </si>
  <si>
    <t>地下第1层商业</t>
    <phoneticPr fontId="128" type="noConversion"/>
  </si>
  <si>
    <t>地下第2层商业</t>
    <phoneticPr fontId="128" type="noConversion"/>
  </si>
  <si>
    <t>地下第3层商业</t>
    <phoneticPr fontId="128" type="noConversion"/>
  </si>
  <si>
    <t>地下第4层商业</t>
    <phoneticPr fontId="128" type="noConversion"/>
  </si>
  <si>
    <t>地下办公</t>
    <phoneticPr fontId="128" type="noConversion"/>
  </si>
  <si>
    <t>地下仓储</t>
    <phoneticPr fontId="128" type="noConversion"/>
  </si>
  <si>
    <t>地下车库</t>
    <phoneticPr fontId="128" type="noConversion"/>
  </si>
  <si>
    <t>结果不可超过《北京市区片基准地价因素总修正幅度表》所列修正幅度；依据估价对象用途调整链接</t>
    <phoneticPr fontId="128" type="noConversion"/>
  </si>
  <si>
    <t>商业</t>
    <phoneticPr fontId="128" type="noConversion"/>
  </si>
  <si>
    <t>影响因素</t>
    <phoneticPr fontId="128" type="noConversion"/>
  </si>
  <si>
    <t>情况说明</t>
    <phoneticPr fontId="128" type="noConversion"/>
  </si>
  <si>
    <t>等级</t>
    <phoneticPr fontId="128" type="noConversion"/>
  </si>
  <si>
    <r>
      <rPr>
        <sz val="10"/>
        <color indexed="8"/>
        <rFont val="楷体_GB2312"/>
        <family val="3"/>
        <charset val="134"/>
      </rPr>
      <t>修正幅度</t>
    </r>
    <phoneticPr fontId="128" type="noConversion"/>
  </si>
  <si>
    <r>
      <rPr>
        <sz val="10"/>
        <color indexed="8"/>
        <rFont val="楷体_GB2312"/>
        <family val="3"/>
        <charset val="134"/>
      </rPr>
      <t>权重</t>
    </r>
    <phoneticPr fontId="128" type="noConversion"/>
  </si>
  <si>
    <r>
      <rPr>
        <sz val="10"/>
        <rFont val="楷体_GB2312"/>
        <family val="3"/>
        <charset val="134"/>
      </rPr>
      <t>合计</t>
    </r>
    <phoneticPr fontId="128" type="noConversion"/>
  </si>
  <si>
    <r>
      <rPr>
        <sz val="10"/>
        <color indexed="8"/>
        <rFont val="宋体"/>
        <family val="3"/>
        <charset val="134"/>
      </rPr>
      <t>修正系数</t>
    </r>
    <phoneticPr fontId="128" type="noConversion"/>
  </si>
  <si>
    <r>
      <rPr>
        <sz val="11"/>
        <color indexed="8"/>
        <rFont val="楷体_GB2312"/>
        <family val="3"/>
        <charset val="134"/>
      </rPr>
      <t>好</t>
    </r>
    <phoneticPr fontId="128" type="noConversion"/>
  </si>
  <si>
    <r>
      <rPr>
        <sz val="11"/>
        <color indexed="8"/>
        <rFont val="楷体_GB2312"/>
        <family val="3"/>
        <charset val="134"/>
      </rPr>
      <t>较好</t>
    </r>
    <phoneticPr fontId="128" type="noConversion"/>
  </si>
  <si>
    <r>
      <rPr>
        <sz val="11"/>
        <color indexed="8"/>
        <rFont val="楷体_GB2312"/>
        <family val="3"/>
        <charset val="134"/>
      </rPr>
      <t>一般</t>
    </r>
    <phoneticPr fontId="128" type="noConversion"/>
  </si>
  <si>
    <r>
      <rPr>
        <sz val="11"/>
        <color indexed="8"/>
        <rFont val="楷体_GB2312"/>
        <family val="3"/>
        <charset val="134"/>
      </rPr>
      <t>较差</t>
    </r>
    <phoneticPr fontId="128" type="noConversion"/>
  </si>
  <si>
    <r>
      <rPr>
        <sz val="11"/>
        <color indexed="8"/>
        <rFont val="楷体_GB2312"/>
        <family val="3"/>
        <charset val="134"/>
      </rPr>
      <t>差</t>
    </r>
    <phoneticPr fontId="128" type="noConversion"/>
  </si>
  <si>
    <t xml:space="preserve"> 商业繁华程度</t>
    <phoneticPr fontId="128" type="noConversion"/>
  </si>
  <si>
    <t>交通便捷度</t>
    <phoneticPr fontId="128" type="noConversion"/>
  </si>
  <si>
    <t>区域土地利用方向</t>
    <phoneticPr fontId="128" type="noConversion"/>
  </si>
  <si>
    <t>临街宽度和深度</t>
    <phoneticPr fontId="128" type="noConversion"/>
  </si>
  <si>
    <t>临街道路状况</t>
    <phoneticPr fontId="128" type="noConversion"/>
  </si>
  <si>
    <t>宗地形状及可利用程度</t>
    <phoneticPr fontId="128" type="noConversion"/>
  </si>
  <si>
    <t>公共服务设施状况</t>
    <phoneticPr fontId="128" type="noConversion"/>
  </si>
  <si>
    <t>基础设施完备状况</t>
    <phoneticPr fontId="128" type="noConversion"/>
  </si>
  <si>
    <t>自然和人文环境状况</t>
    <phoneticPr fontId="128" type="noConversion"/>
  </si>
  <si>
    <t>办公</t>
    <phoneticPr fontId="128" type="noConversion"/>
  </si>
  <si>
    <t>办公集聚程度</t>
    <phoneticPr fontId="128" type="noConversion"/>
  </si>
  <si>
    <t>住宅</t>
    <phoneticPr fontId="128" type="noConversion"/>
  </si>
  <si>
    <t>居住社区成熟度</t>
    <phoneticPr fontId="128" type="noConversion"/>
  </si>
  <si>
    <t>交通便捷度</t>
    <phoneticPr fontId="128" type="noConversion"/>
  </si>
  <si>
    <t>临路状况</t>
    <phoneticPr fontId="128" type="noConversion"/>
  </si>
  <si>
    <t>与区域中心的接近程度</t>
    <phoneticPr fontId="128" type="noConversion"/>
  </si>
  <si>
    <t>工业</t>
    <phoneticPr fontId="128" type="noConversion"/>
  </si>
  <si>
    <t>产业集聚程度</t>
    <phoneticPr fontId="128" type="noConversion"/>
  </si>
  <si>
    <t>环境状况</t>
    <phoneticPr fontId="128" type="noConversion"/>
  </si>
  <si>
    <t>北京市区片基准地价表</t>
    <phoneticPr fontId="128" type="noConversion"/>
  </si>
  <si>
    <t>一级</t>
    <phoneticPr fontId="128" type="noConversion"/>
  </si>
  <si>
    <t>二级</t>
    <phoneticPr fontId="128" type="noConversion"/>
  </si>
  <si>
    <t>三级</t>
    <phoneticPr fontId="128" type="noConversion"/>
  </si>
  <si>
    <t>四级</t>
    <phoneticPr fontId="128" type="noConversion"/>
  </si>
  <si>
    <t>五级</t>
    <phoneticPr fontId="128" type="noConversion"/>
  </si>
  <si>
    <t>六级</t>
    <phoneticPr fontId="128" type="noConversion"/>
  </si>
  <si>
    <t>七级</t>
    <phoneticPr fontId="128" type="noConversion"/>
  </si>
  <si>
    <t>八级</t>
    <phoneticPr fontId="128" type="noConversion"/>
  </si>
  <si>
    <t>九级</t>
    <phoneticPr fontId="128" type="noConversion"/>
  </si>
  <si>
    <t>十级</t>
    <phoneticPr fontId="128" type="noConversion"/>
  </si>
  <si>
    <t>十一级</t>
    <phoneticPr fontId="128" type="noConversion"/>
  </si>
  <si>
    <t>十二级</t>
    <phoneticPr fontId="128" type="noConversion"/>
  </si>
  <si>
    <t>基准日期：2014年1月1日                                                    单位：元/建筑平方米</t>
    <phoneticPr fontId="128" type="noConversion"/>
  </si>
  <si>
    <t>Ⅰ—01</t>
    <phoneticPr fontId="128" type="noConversion"/>
  </si>
  <si>
    <t>Ⅱ—01</t>
    <phoneticPr fontId="128" type="noConversion"/>
  </si>
  <si>
    <t>Ⅲ—01</t>
    <phoneticPr fontId="128" type="noConversion"/>
  </si>
  <si>
    <t>Ⅳ-01</t>
    <phoneticPr fontId="128" type="noConversion"/>
  </si>
  <si>
    <t>Ⅴ-01</t>
    <phoneticPr fontId="128" type="noConversion"/>
  </si>
  <si>
    <t>Ⅵ-01</t>
    <phoneticPr fontId="128" type="noConversion"/>
  </si>
  <si>
    <t>Ⅶ-01</t>
    <phoneticPr fontId="128" type="noConversion"/>
  </si>
  <si>
    <t>Ⅷ-01</t>
    <phoneticPr fontId="128" type="noConversion"/>
  </si>
  <si>
    <t>Ⅸ-01</t>
    <phoneticPr fontId="128" type="noConversion"/>
  </si>
  <si>
    <t>Ⅹ-01</t>
    <phoneticPr fontId="128" type="noConversion"/>
  </si>
  <si>
    <t>Ⅺ-门1</t>
    <phoneticPr fontId="128" type="noConversion"/>
  </si>
  <si>
    <t>Ⅻ-门1</t>
    <phoneticPr fontId="128" type="noConversion"/>
  </si>
  <si>
    <t>级别</t>
    <phoneticPr fontId="128" type="noConversion"/>
  </si>
  <si>
    <t>商业</t>
    <phoneticPr fontId="128" type="noConversion"/>
  </si>
  <si>
    <t>办公</t>
    <phoneticPr fontId="128" type="noConversion"/>
  </si>
  <si>
    <t>住宅</t>
    <phoneticPr fontId="128" type="noConversion"/>
  </si>
  <si>
    <t>工业</t>
    <phoneticPr fontId="128" type="noConversion"/>
  </si>
  <si>
    <t>Ⅰ—02</t>
    <phoneticPr fontId="128" type="noConversion"/>
  </si>
  <si>
    <t>Ⅱ—02</t>
  </si>
  <si>
    <t>Ⅲ—02</t>
  </si>
  <si>
    <t>Ⅳ-02</t>
  </si>
  <si>
    <t>Ⅴ-02</t>
  </si>
  <si>
    <t>Ⅵ-02</t>
  </si>
  <si>
    <t>Ⅶ-02</t>
  </si>
  <si>
    <t>Ⅷ-02</t>
  </si>
  <si>
    <t>Ⅸ-02</t>
  </si>
  <si>
    <t>Ⅹ-02</t>
  </si>
  <si>
    <t>Ⅺ-门斋</t>
    <phoneticPr fontId="128" type="noConversion"/>
  </si>
  <si>
    <t>Ⅻ-房1</t>
    <phoneticPr fontId="128" type="noConversion"/>
  </si>
  <si>
    <t>区片编号</t>
    <phoneticPr fontId="128" type="noConversion"/>
  </si>
  <si>
    <t>区片价格</t>
    <phoneticPr fontId="128" type="noConversion"/>
  </si>
  <si>
    <t>Ⅰ—03</t>
  </si>
  <si>
    <t>Ⅱ—03</t>
  </si>
  <si>
    <t>Ⅲ—03</t>
  </si>
  <si>
    <t>Ⅳ-03</t>
  </si>
  <si>
    <t>Ⅴ-03</t>
  </si>
  <si>
    <t>Ⅵ-03</t>
  </si>
  <si>
    <t>Ⅶ-03</t>
  </si>
  <si>
    <t>Ⅷ-03</t>
  </si>
  <si>
    <t>Ⅸ-门1</t>
    <phoneticPr fontId="128" type="noConversion"/>
  </si>
  <si>
    <t>Ⅹ-门1</t>
    <phoneticPr fontId="128" type="noConversion"/>
  </si>
  <si>
    <t>Ⅺ-房1</t>
    <phoneticPr fontId="128" type="noConversion"/>
  </si>
  <si>
    <t>Ⅻ-昌1</t>
    <phoneticPr fontId="128" type="noConversion"/>
  </si>
  <si>
    <t>一级</t>
  </si>
  <si>
    <t>Ⅰ—04</t>
  </si>
  <si>
    <t>Ⅱ—04</t>
  </si>
  <si>
    <t>Ⅲ—04</t>
  </si>
  <si>
    <t>Ⅳ-04</t>
  </si>
  <si>
    <t>Ⅴ-04</t>
  </si>
  <si>
    <t>Ⅵ-04</t>
  </si>
  <si>
    <t>Ⅶ-04</t>
  </si>
  <si>
    <t>Ⅷ-04</t>
  </si>
  <si>
    <t>Ⅸ-门2</t>
    <phoneticPr fontId="128" type="noConversion"/>
  </si>
  <si>
    <t>Ⅹ-房1</t>
    <phoneticPr fontId="128" type="noConversion"/>
  </si>
  <si>
    <t>Ⅺ-房2</t>
  </si>
  <si>
    <t>Ⅻ-平1</t>
    <phoneticPr fontId="128" type="noConversion"/>
  </si>
  <si>
    <t>Ⅰ—02</t>
    <phoneticPr fontId="128" type="noConversion"/>
  </si>
  <si>
    <t>二级</t>
    <phoneticPr fontId="128" type="noConversion"/>
  </si>
  <si>
    <t>Ⅰ—05</t>
  </si>
  <si>
    <t>Ⅱ—05</t>
  </si>
  <si>
    <t>Ⅲ—05</t>
  </si>
  <si>
    <t>Ⅳ-05</t>
  </si>
  <si>
    <t>Ⅴ-05</t>
  </si>
  <si>
    <t>Ⅵ-05</t>
  </si>
  <si>
    <t>Ⅶ-05</t>
  </si>
  <si>
    <t>Ⅷ-门1</t>
    <phoneticPr fontId="128" type="noConversion"/>
  </si>
  <si>
    <t>Ⅸ-门潭</t>
    <phoneticPr fontId="128" type="noConversion"/>
  </si>
  <si>
    <t>Ⅹ-房2</t>
  </si>
  <si>
    <t>Ⅺ-通1</t>
    <phoneticPr fontId="128" type="noConversion"/>
  </si>
  <si>
    <t>Ⅻ-怀1</t>
    <phoneticPr fontId="128" type="noConversion"/>
  </si>
  <si>
    <t>Ⅱ—06</t>
  </si>
  <si>
    <t>Ⅲ—06</t>
  </si>
  <si>
    <t>Ⅳ-06</t>
  </si>
  <si>
    <t>Ⅴ-06</t>
  </si>
  <si>
    <t>Ⅵ-06</t>
  </si>
  <si>
    <t>Ⅶ-06</t>
  </si>
  <si>
    <t>Ⅷ-门军</t>
    <phoneticPr fontId="128" type="noConversion"/>
  </si>
  <si>
    <t>Ⅸ-房1</t>
    <phoneticPr fontId="128" type="noConversion"/>
  </si>
  <si>
    <t>Ⅹ-通1</t>
    <phoneticPr fontId="128" type="noConversion"/>
  </si>
  <si>
    <t>Ⅺ-顺1</t>
    <phoneticPr fontId="128" type="noConversion"/>
  </si>
  <si>
    <t>Ⅻ-密1</t>
    <phoneticPr fontId="128" type="noConversion"/>
  </si>
  <si>
    <t>Ⅱ—07</t>
  </si>
  <si>
    <t>Ⅲ—07</t>
  </si>
  <si>
    <t>Ⅳ-07</t>
  </si>
  <si>
    <t>Ⅴ-07</t>
  </si>
  <si>
    <t>Ⅵ-07</t>
  </si>
  <si>
    <t>Ⅶ-07</t>
  </si>
  <si>
    <t>Ⅷ-房1</t>
    <phoneticPr fontId="128" type="noConversion"/>
  </si>
  <si>
    <t>Ⅸ-房2</t>
  </si>
  <si>
    <t>Ⅹ-顺1</t>
    <phoneticPr fontId="128" type="noConversion"/>
  </si>
  <si>
    <t>Ⅺ-兴1</t>
    <phoneticPr fontId="128" type="noConversion"/>
  </si>
  <si>
    <t>Ⅻ-延1</t>
    <phoneticPr fontId="128" type="noConversion"/>
  </si>
  <si>
    <t>Ⅱ—08</t>
  </si>
  <si>
    <t>Ⅲ—08</t>
  </si>
  <si>
    <t>Ⅳ-08</t>
  </si>
  <si>
    <t>Ⅴ-08</t>
  </si>
  <si>
    <t>Ⅵ-08</t>
  </si>
  <si>
    <t>Ⅶ-08</t>
  </si>
  <si>
    <t>Ⅷ-房2</t>
  </si>
  <si>
    <t>Ⅸ-房3</t>
  </si>
  <si>
    <t>Ⅹ-顺2</t>
  </si>
  <si>
    <t>Ⅺ-兴2</t>
    <phoneticPr fontId="128" type="noConversion"/>
  </si>
  <si>
    <t>二级</t>
  </si>
  <si>
    <t>Ⅱ—01</t>
    <phoneticPr fontId="128" type="noConversion"/>
  </si>
  <si>
    <t>Ⅱ—09</t>
  </si>
  <si>
    <t>Ⅲ—09</t>
  </si>
  <si>
    <t>Ⅳ-09</t>
  </si>
  <si>
    <t>Ⅴ-09</t>
  </si>
  <si>
    <t>Ⅵ-09</t>
  </si>
  <si>
    <t>Ⅶ-09</t>
  </si>
  <si>
    <t>Ⅷ-房3</t>
  </si>
  <si>
    <t>Ⅸ-房4</t>
  </si>
  <si>
    <t>Ⅹ-顺3</t>
  </si>
  <si>
    <t>Ⅺ-昌1</t>
    <phoneticPr fontId="128" type="noConversion"/>
  </si>
  <si>
    <t>Ⅱ—10</t>
  </si>
  <si>
    <t>Ⅲ—10</t>
  </si>
  <si>
    <t>Ⅳ-10</t>
  </si>
  <si>
    <t>Ⅴ-10</t>
  </si>
  <si>
    <t>Ⅵ-10</t>
  </si>
  <si>
    <t>Ⅶ-10</t>
  </si>
  <si>
    <t>Ⅷ-通1</t>
    <phoneticPr fontId="128" type="noConversion"/>
  </si>
  <si>
    <t>Ⅸ-房5</t>
  </si>
  <si>
    <t>Ⅹ-兴1</t>
    <phoneticPr fontId="128" type="noConversion"/>
  </si>
  <si>
    <t>Ⅺ-昌2</t>
  </si>
  <si>
    <t>Ⅱ—11</t>
  </si>
  <si>
    <t>Ⅲ—11</t>
  </si>
  <si>
    <t>Ⅳ-11</t>
  </si>
  <si>
    <t>Ⅴ-11</t>
  </si>
  <si>
    <t>Ⅵ-11</t>
  </si>
  <si>
    <t>Ⅶ-11</t>
  </si>
  <si>
    <t>Ⅷ-通2</t>
  </si>
  <si>
    <t>Ⅸ-房6</t>
  </si>
  <si>
    <t>Ⅹ-兴2</t>
  </si>
  <si>
    <t>Ⅺ-平1</t>
    <phoneticPr fontId="128" type="noConversion"/>
  </si>
  <si>
    <t>Ⅱ—12</t>
  </si>
  <si>
    <t>Ⅲ—12</t>
  </si>
  <si>
    <t>Ⅳ-12</t>
  </si>
  <si>
    <t>Ⅴ-12</t>
  </si>
  <si>
    <t>Ⅵ-12</t>
  </si>
  <si>
    <t>Ⅶ-12</t>
  </si>
  <si>
    <t>Ⅷ-通3</t>
  </si>
  <si>
    <t>Ⅸ-通1</t>
    <phoneticPr fontId="128" type="noConversion"/>
  </si>
  <si>
    <t>Ⅹ-昌1</t>
    <phoneticPr fontId="128" type="noConversion"/>
  </si>
  <si>
    <t>Ⅺ-平2</t>
  </si>
  <si>
    <t>Ⅱ—13</t>
  </si>
  <si>
    <t>Ⅲ—13</t>
  </si>
  <si>
    <t>Ⅳ-13</t>
  </si>
  <si>
    <t>Ⅴ-13</t>
  </si>
  <si>
    <t>Ⅵ-13</t>
  </si>
  <si>
    <t>Ⅶ-13</t>
  </si>
  <si>
    <t>Ⅷ-顺1</t>
    <phoneticPr fontId="128" type="noConversion"/>
  </si>
  <si>
    <t>Ⅸ-通2</t>
  </si>
  <si>
    <t>Ⅹ-昌2</t>
  </si>
  <si>
    <t>Ⅺ-平3</t>
  </si>
  <si>
    <t>Ⅱ—14</t>
  </si>
  <si>
    <t>Ⅲ—14</t>
  </si>
  <si>
    <t>Ⅳ-14</t>
  </si>
  <si>
    <t>Ⅴ-14</t>
  </si>
  <si>
    <t>Ⅵ-14</t>
  </si>
  <si>
    <t>Ⅶ-门1</t>
    <phoneticPr fontId="128" type="noConversion"/>
  </si>
  <si>
    <t>Ⅷ-顺2</t>
  </si>
  <si>
    <t>Ⅸ-通3</t>
  </si>
  <si>
    <t>Ⅹ-昌3</t>
  </si>
  <si>
    <t>Ⅺ-平4</t>
  </si>
  <si>
    <t>Ⅱ—15</t>
  </si>
  <si>
    <t>Ⅲ—15</t>
  </si>
  <si>
    <t>Ⅳ-15</t>
  </si>
  <si>
    <t>Ⅴ-15</t>
  </si>
  <si>
    <t>Ⅵ-15</t>
  </si>
  <si>
    <t>Ⅶ-房1</t>
    <phoneticPr fontId="128" type="noConversion"/>
  </si>
  <si>
    <t>Ⅷ-顺3</t>
    <phoneticPr fontId="128" type="noConversion"/>
  </si>
  <si>
    <t>Ⅸ-顺1</t>
    <phoneticPr fontId="128" type="noConversion"/>
  </si>
  <si>
    <t>Ⅹ-平1</t>
    <phoneticPr fontId="128" type="noConversion"/>
  </si>
  <si>
    <t>Ⅺ-怀1</t>
    <phoneticPr fontId="128" type="noConversion"/>
  </si>
  <si>
    <t>Ⅱ—16</t>
  </si>
  <si>
    <t>Ⅲ—16</t>
  </si>
  <si>
    <t>Ⅳ-16</t>
  </si>
  <si>
    <t>Ⅴ-16</t>
  </si>
  <si>
    <t>Ⅵ-16</t>
  </si>
  <si>
    <t>Ⅶ-房2</t>
  </si>
  <si>
    <t>Ⅷ-顺4</t>
  </si>
  <si>
    <t>Ⅸ-顺2</t>
  </si>
  <si>
    <t>Ⅹ-平2</t>
  </si>
  <si>
    <t>Ⅺ-怀2</t>
  </si>
  <si>
    <t>Ⅱ—17</t>
  </si>
  <si>
    <t>Ⅲ—17</t>
  </si>
  <si>
    <t>Ⅳ-17</t>
  </si>
  <si>
    <t>Ⅴ-17</t>
  </si>
  <si>
    <t>Ⅵ-17</t>
  </si>
  <si>
    <t>Ⅶ-通1</t>
    <phoneticPr fontId="128" type="noConversion"/>
  </si>
  <si>
    <t>Ⅷ-顺5</t>
  </si>
  <si>
    <t>Ⅸ-顺3</t>
  </si>
  <si>
    <t>Ⅹ-怀1</t>
    <phoneticPr fontId="128" type="noConversion"/>
  </si>
  <si>
    <t>Ⅺ-密1</t>
    <phoneticPr fontId="128" type="noConversion"/>
  </si>
  <si>
    <t>Ⅱ—18</t>
  </si>
  <si>
    <t>Ⅲ—18</t>
  </si>
  <si>
    <t>Ⅳ-18</t>
  </si>
  <si>
    <t>Ⅴ-18</t>
  </si>
  <si>
    <t>Ⅵ-18</t>
  </si>
  <si>
    <t>Ⅶ-顺1</t>
    <phoneticPr fontId="128" type="noConversion"/>
  </si>
  <si>
    <t>Ⅷ-顺6</t>
  </si>
  <si>
    <t>Ⅸ-顺4</t>
  </si>
  <si>
    <t>Ⅹ-怀2</t>
  </si>
  <si>
    <t>Ⅺ-密2</t>
  </si>
  <si>
    <t>Ⅱ—19</t>
  </si>
  <si>
    <t>Ⅲ—19</t>
  </si>
  <si>
    <t>Ⅳ-19</t>
  </si>
  <si>
    <t>Ⅴ-19</t>
  </si>
  <si>
    <t>Ⅵ-19</t>
  </si>
  <si>
    <t>Ⅶ-顺2</t>
  </si>
  <si>
    <t>Ⅷ-顺7</t>
  </si>
  <si>
    <t>Ⅸ-兴1</t>
    <phoneticPr fontId="128" type="noConversion"/>
  </si>
  <si>
    <t>Ⅹ-怀3</t>
  </si>
  <si>
    <t>Ⅺ-密3</t>
  </si>
  <si>
    <t>Ⅲ—20</t>
  </si>
  <si>
    <t>Ⅳ-20</t>
  </si>
  <si>
    <t>Ⅴ-20</t>
  </si>
  <si>
    <t>Ⅵ-20</t>
  </si>
  <si>
    <t>Ⅶ-兴1</t>
    <phoneticPr fontId="128" type="noConversion"/>
  </si>
  <si>
    <t>Ⅷ-兴1</t>
    <phoneticPr fontId="128" type="noConversion"/>
  </si>
  <si>
    <t>Ⅸ-兴2</t>
  </si>
  <si>
    <t>Ⅹ-密1</t>
    <phoneticPr fontId="128" type="noConversion"/>
  </si>
  <si>
    <t>Ⅺ-延1</t>
    <phoneticPr fontId="128" type="noConversion"/>
  </si>
  <si>
    <t>Ⅱ—13</t>
    <phoneticPr fontId="128" type="noConversion"/>
  </si>
  <si>
    <t>Ⅳ-21</t>
  </si>
  <si>
    <t>Ⅴ-21</t>
  </si>
  <si>
    <t>Ⅵ-21</t>
  </si>
  <si>
    <t>Ⅶ-兴2</t>
  </si>
  <si>
    <t>Ⅷ-兴2</t>
  </si>
  <si>
    <t>Ⅸ-兴3</t>
  </si>
  <si>
    <t>Ⅹ-延1</t>
    <phoneticPr fontId="128" type="noConversion"/>
  </si>
  <si>
    <t>Ⅺ-延2</t>
  </si>
  <si>
    <t>Ⅳ-22</t>
  </si>
  <si>
    <t>Ⅴ-22</t>
  </si>
  <si>
    <t>Ⅵ-22</t>
  </si>
  <si>
    <t>Ⅶ-兴3</t>
  </si>
  <si>
    <t>Ⅷ-昌1</t>
    <phoneticPr fontId="128" type="noConversion"/>
  </si>
  <si>
    <t>Ⅸ-兴4</t>
  </si>
  <si>
    <t>Ⅹ-延2</t>
  </si>
  <si>
    <t>Ⅳ-23</t>
  </si>
  <si>
    <t>Ⅴ-23</t>
  </si>
  <si>
    <t>Ⅵ-23</t>
  </si>
  <si>
    <t>Ⅶ-昌1</t>
    <phoneticPr fontId="128" type="noConversion"/>
  </si>
  <si>
    <t>Ⅷ-昌2</t>
  </si>
  <si>
    <t>Ⅸ-兴5</t>
  </si>
  <si>
    <t>Ⅹ-亦1</t>
    <phoneticPr fontId="128" type="noConversion"/>
  </si>
  <si>
    <t>Ⅳ-电子城东</t>
    <phoneticPr fontId="128" type="noConversion"/>
  </si>
  <si>
    <t>Ⅴ-24</t>
  </si>
  <si>
    <t>Ⅵ-24</t>
  </si>
  <si>
    <t>Ⅶ-昌2</t>
  </si>
  <si>
    <t>Ⅷ-昌3</t>
  </si>
  <si>
    <t>Ⅸ-昌1</t>
    <phoneticPr fontId="128" type="noConversion"/>
  </si>
  <si>
    <t>Ⅹ-马坊工业园</t>
    <phoneticPr fontId="128" type="noConversion"/>
  </si>
  <si>
    <t>Ⅳ-电子城西</t>
    <phoneticPr fontId="128" type="noConversion"/>
  </si>
  <si>
    <t>Ⅴ-25</t>
  </si>
  <si>
    <t>Ⅵ-通1</t>
    <phoneticPr fontId="128" type="noConversion"/>
  </si>
  <si>
    <t>Ⅶ-昌3</t>
  </si>
  <si>
    <t>Ⅷ-昌4</t>
  </si>
  <si>
    <t>Ⅸ-昌2</t>
  </si>
  <si>
    <t>Ⅹ-延庆开发区</t>
    <phoneticPr fontId="128" type="noConversion"/>
  </si>
  <si>
    <t>Ⅳ-上地核心</t>
    <phoneticPr fontId="128" type="noConversion"/>
  </si>
  <si>
    <t>Ⅴ-26</t>
  </si>
  <si>
    <t>Ⅵ-通2</t>
  </si>
  <si>
    <t>Ⅶ-昌4</t>
  </si>
  <si>
    <t>Ⅷ-平1</t>
    <phoneticPr fontId="128" type="noConversion"/>
  </si>
  <si>
    <t>Ⅸ-昌3</t>
  </si>
  <si>
    <t>Ⅹ-八达岭开发区</t>
    <phoneticPr fontId="128" type="noConversion"/>
  </si>
  <si>
    <t>Ⅳ-丰台园东</t>
    <phoneticPr fontId="128" type="noConversion"/>
  </si>
  <si>
    <t>Ⅴ-电子城北</t>
    <phoneticPr fontId="128" type="noConversion"/>
  </si>
  <si>
    <t>Ⅵ-通3</t>
  </si>
  <si>
    <t>Ⅶ-昌5</t>
  </si>
  <si>
    <t>Ⅷ-怀1</t>
    <phoneticPr fontId="128" type="noConversion"/>
  </si>
  <si>
    <t>Ⅸ-昌4</t>
  </si>
  <si>
    <t>三级</t>
  </si>
  <si>
    <t>Ⅲ—01</t>
    <phoneticPr fontId="128" type="noConversion"/>
  </si>
  <si>
    <t>Ⅴ-永丰产业基地</t>
    <phoneticPr fontId="128" type="noConversion"/>
  </si>
  <si>
    <t>Ⅵ-通4</t>
  </si>
  <si>
    <t>Ⅶ-亦1</t>
    <phoneticPr fontId="128" type="noConversion"/>
  </si>
  <si>
    <t>Ⅷ-密1</t>
    <phoneticPr fontId="128" type="noConversion"/>
  </si>
  <si>
    <t>Ⅸ-昌5</t>
  </si>
  <si>
    <t>Ⅴ-航天城</t>
    <phoneticPr fontId="128" type="noConversion"/>
  </si>
  <si>
    <t>Ⅵ-顺1</t>
    <phoneticPr fontId="128" type="noConversion"/>
  </si>
  <si>
    <t>Ⅶ-国际教育园</t>
    <phoneticPr fontId="128" type="noConversion"/>
  </si>
  <si>
    <t>Ⅸ-昌南</t>
    <phoneticPr fontId="128" type="noConversion"/>
  </si>
  <si>
    <r>
      <t>Ⅴ-西北旺</t>
    </r>
    <r>
      <rPr>
        <sz val="10"/>
        <color indexed="8"/>
        <rFont val="宋体"/>
        <family val="3"/>
        <charset val="134"/>
      </rPr>
      <t>Ⅰ</t>
    </r>
    <phoneticPr fontId="128" type="noConversion"/>
  </si>
  <si>
    <t>Ⅵ-兴1</t>
    <phoneticPr fontId="128" type="noConversion"/>
  </si>
  <si>
    <t>Ⅶ-农林园</t>
    <phoneticPr fontId="128" type="noConversion"/>
  </si>
  <si>
    <t>Ⅷ-亦1</t>
    <phoneticPr fontId="128" type="noConversion"/>
  </si>
  <si>
    <t>Ⅸ-平1</t>
    <phoneticPr fontId="128" type="noConversion"/>
  </si>
  <si>
    <r>
      <t>Ⅴ-西北旺</t>
    </r>
    <r>
      <rPr>
        <sz val="10"/>
        <color indexed="8"/>
        <rFont val="宋体"/>
        <family val="3"/>
        <charset val="134"/>
      </rPr>
      <t>Ⅱ</t>
    </r>
    <phoneticPr fontId="128" type="noConversion"/>
  </si>
  <si>
    <t>Ⅵ-昌1</t>
    <phoneticPr fontId="128" type="noConversion"/>
  </si>
  <si>
    <t>Ⅶ-上庄科技</t>
    <phoneticPr fontId="128" type="noConversion"/>
  </si>
  <si>
    <t>Ⅷ-亦2</t>
  </si>
  <si>
    <t>Ⅸ-怀1</t>
    <phoneticPr fontId="128" type="noConversion"/>
  </si>
  <si>
    <t>Ⅴ-石景山园南区</t>
    <phoneticPr fontId="128" type="noConversion"/>
  </si>
  <si>
    <t>Ⅵ-昌2</t>
  </si>
  <si>
    <t>Ⅶ-文化教育基地</t>
    <phoneticPr fontId="128" type="noConversion"/>
  </si>
  <si>
    <t>Ⅷ-良乡开发区A</t>
    <phoneticPr fontId="128" type="noConversion"/>
  </si>
  <si>
    <t>Ⅸ-密1</t>
    <phoneticPr fontId="128" type="noConversion"/>
  </si>
  <si>
    <r>
      <t>Ⅴ-石景山园北</t>
    </r>
    <r>
      <rPr>
        <sz val="10"/>
        <color indexed="8"/>
        <rFont val="宋体"/>
        <family val="3"/>
        <charset val="134"/>
      </rPr>
      <t>Ⅰ</t>
    </r>
    <phoneticPr fontId="128" type="noConversion"/>
  </si>
  <si>
    <t>Ⅵ-昌3</t>
  </si>
  <si>
    <r>
      <t>Ⅶ-苏家坨科技</t>
    </r>
    <r>
      <rPr>
        <sz val="10"/>
        <color indexed="8"/>
        <rFont val="宋体"/>
        <family val="3"/>
        <charset val="134"/>
      </rPr>
      <t>Ⅰ</t>
    </r>
    <phoneticPr fontId="128" type="noConversion"/>
  </si>
  <si>
    <t>Ⅷ-良乡开发区B</t>
    <phoneticPr fontId="128" type="noConversion"/>
  </si>
  <si>
    <t>Ⅸ-延1</t>
    <phoneticPr fontId="128" type="noConversion"/>
  </si>
  <si>
    <r>
      <t>Ⅴ-石景山园北</t>
    </r>
    <r>
      <rPr>
        <sz val="10"/>
        <color indexed="8"/>
        <rFont val="宋体"/>
        <family val="3"/>
        <charset val="134"/>
      </rPr>
      <t>Ⅱ</t>
    </r>
    <phoneticPr fontId="128" type="noConversion"/>
  </si>
  <si>
    <t>Ⅵ-昌4</t>
  </si>
  <si>
    <r>
      <t>Ⅶ-苏家坨科技</t>
    </r>
    <r>
      <rPr>
        <sz val="10"/>
        <color indexed="8"/>
        <rFont val="宋体"/>
        <family val="3"/>
        <charset val="134"/>
      </rPr>
      <t>Ⅱ</t>
    </r>
    <phoneticPr fontId="128" type="noConversion"/>
  </si>
  <si>
    <t>Ⅷ-良乡开发区C</t>
    <phoneticPr fontId="128" type="noConversion"/>
  </si>
  <si>
    <t>Ⅸ-亦1</t>
    <phoneticPr fontId="128" type="noConversion"/>
  </si>
  <si>
    <t>Ⅵ-亦1</t>
    <phoneticPr fontId="128" type="noConversion"/>
  </si>
  <si>
    <r>
      <t>Ⅶ-丰台园西</t>
    </r>
    <r>
      <rPr>
        <sz val="10"/>
        <color indexed="8"/>
        <rFont val="宋体"/>
        <family val="3"/>
        <charset val="134"/>
      </rPr>
      <t>Ⅰ</t>
    </r>
    <phoneticPr fontId="128" type="noConversion"/>
  </si>
  <si>
    <t>Ⅷ-通州环保园</t>
    <phoneticPr fontId="128" type="noConversion"/>
  </si>
  <si>
    <t>Ⅸ-房山工业园东</t>
    <phoneticPr fontId="128" type="noConversion"/>
  </si>
  <si>
    <t>Ⅵ-创新园</t>
    <phoneticPr fontId="128" type="noConversion"/>
  </si>
  <si>
    <r>
      <t>Ⅶ-丰台园西</t>
    </r>
    <r>
      <rPr>
        <sz val="10"/>
        <color indexed="8"/>
        <rFont val="宋体"/>
        <family val="3"/>
        <charset val="134"/>
      </rPr>
      <t>Ⅱ</t>
    </r>
    <phoneticPr fontId="128" type="noConversion"/>
  </si>
  <si>
    <t>Ⅷ-空港北区A</t>
    <phoneticPr fontId="128" type="noConversion"/>
  </si>
  <si>
    <t>Ⅸ-房山工业园西</t>
    <phoneticPr fontId="128" type="noConversion"/>
  </si>
  <si>
    <t>Ⅵ-海淀环保园</t>
    <phoneticPr fontId="128" type="noConversion"/>
  </si>
  <si>
    <t>Ⅶ-石龙开发区</t>
    <phoneticPr fontId="128" type="noConversion"/>
  </si>
  <si>
    <t>Ⅷ-空港北区B</t>
    <phoneticPr fontId="128" type="noConversion"/>
  </si>
  <si>
    <t>Ⅸ-通州开发区东</t>
    <phoneticPr fontId="128" type="noConversion"/>
  </si>
  <si>
    <r>
      <t>Ⅵ-温泉科技</t>
    </r>
    <r>
      <rPr>
        <sz val="10"/>
        <color indexed="8"/>
        <rFont val="宋体"/>
        <family val="3"/>
        <charset val="134"/>
      </rPr>
      <t>Ⅰ</t>
    </r>
    <phoneticPr fontId="128" type="noConversion"/>
  </si>
  <si>
    <t>Ⅶ-光机电</t>
    <phoneticPr fontId="128" type="noConversion"/>
  </si>
  <si>
    <t>Ⅷ-生物医药基地</t>
    <phoneticPr fontId="128" type="noConversion"/>
  </si>
  <si>
    <t>Ⅸ-永乐开发区</t>
    <phoneticPr fontId="128" type="noConversion"/>
  </si>
  <si>
    <r>
      <t>Ⅵ-温泉科技</t>
    </r>
    <r>
      <rPr>
        <sz val="10"/>
        <color indexed="8"/>
        <rFont val="宋体"/>
        <family val="3"/>
        <charset val="134"/>
      </rPr>
      <t>Ⅱ</t>
    </r>
    <phoneticPr fontId="128" type="noConversion"/>
  </si>
  <si>
    <t>Ⅶ-通州开发区西</t>
    <phoneticPr fontId="128" type="noConversion"/>
  </si>
  <si>
    <t>Ⅷ-小汤山工业园</t>
    <phoneticPr fontId="128" type="noConversion"/>
  </si>
  <si>
    <t>Ⅸ-采育开发区</t>
    <phoneticPr fontId="128" type="noConversion"/>
  </si>
  <si>
    <r>
      <t>Ⅵ-温泉科技</t>
    </r>
    <r>
      <rPr>
        <sz val="10"/>
        <color indexed="8"/>
        <rFont val="宋体"/>
        <family val="3"/>
        <charset val="134"/>
      </rPr>
      <t>Ⅲ</t>
    </r>
    <phoneticPr fontId="128" type="noConversion"/>
  </si>
  <si>
    <t>Ⅶ-林河开发区</t>
    <phoneticPr fontId="128" type="noConversion"/>
  </si>
  <si>
    <t>Ⅸ-兴谷开发区A</t>
    <phoneticPr fontId="128" type="noConversion"/>
  </si>
  <si>
    <t>Ⅵ-天竺保税区南</t>
    <phoneticPr fontId="128" type="noConversion"/>
  </si>
  <si>
    <t>Ⅶ-大兴开发区</t>
    <phoneticPr fontId="128" type="noConversion"/>
  </si>
  <si>
    <t>Ⅸ-兴谷开发区B</t>
    <phoneticPr fontId="128" type="noConversion"/>
  </si>
  <si>
    <t>Ⅵ-天竺保税区北1</t>
    <phoneticPr fontId="128" type="noConversion"/>
  </si>
  <si>
    <r>
      <t>Ⅶ-昌平园南</t>
    </r>
    <r>
      <rPr>
        <sz val="10"/>
        <color indexed="8"/>
        <rFont val="宋体"/>
        <family val="3"/>
        <charset val="134"/>
      </rPr>
      <t>Ⅰ</t>
    </r>
    <phoneticPr fontId="128" type="noConversion"/>
  </si>
  <si>
    <t>Ⅸ-雁栖开发区A</t>
    <phoneticPr fontId="128" type="noConversion"/>
  </si>
  <si>
    <t>Ⅵ-天竺保税区北2</t>
  </si>
  <si>
    <r>
      <t>Ⅶ-昌平园南</t>
    </r>
    <r>
      <rPr>
        <sz val="10"/>
        <color indexed="8"/>
        <rFont val="宋体"/>
        <family val="3"/>
        <charset val="134"/>
      </rPr>
      <t>Ⅱ</t>
    </r>
    <phoneticPr fontId="128" type="noConversion"/>
  </si>
  <si>
    <t>Ⅸ-雁栖开发区B</t>
    <phoneticPr fontId="128" type="noConversion"/>
  </si>
  <si>
    <t>Ⅵ-空港A</t>
    <phoneticPr fontId="128" type="noConversion"/>
  </si>
  <si>
    <r>
      <t>Ⅶ-昌平园北</t>
    </r>
    <r>
      <rPr>
        <sz val="10"/>
        <color indexed="8"/>
        <rFont val="宋体"/>
        <family val="3"/>
        <charset val="134"/>
      </rPr>
      <t>Ⅰ</t>
    </r>
    <phoneticPr fontId="128" type="noConversion"/>
  </si>
  <si>
    <t>Ⅸ-雁栖开发区C</t>
    <phoneticPr fontId="128" type="noConversion"/>
  </si>
  <si>
    <t>Ⅵ-空港B</t>
    <phoneticPr fontId="128" type="noConversion"/>
  </si>
  <si>
    <r>
      <t>Ⅶ-昌平园北</t>
    </r>
    <r>
      <rPr>
        <sz val="10"/>
        <color indexed="8"/>
        <rFont val="宋体"/>
        <family val="3"/>
        <charset val="134"/>
      </rPr>
      <t>Ⅱ</t>
    </r>
    <phoneticPr fontId="128" type="noConversion"/>
  </si>
  <si>
    <t>Ⅸ-密云开发区</t>
    <phoneticPr fontId="128" type="noConversion"/>
  </si>
  <si>
    <t>Ⅵ-生命科学园</t>
    <phoneticPr fontId="128" type="noConversion"/>
  </si>
  <si>
    <r>
      <t>Ⅶ-昌平园北</t>
    </r>
    <r>
      <rPr>
        <sz val="10"/>
        <color indexed="8"/>
        <rFont val="宋体"/>
        <family val="3"/>
        <charset val="134"/>
      </rPr>
      <t>Ⅲ</t>
    </r>
    <phoneticPr fontId="128" type="noConversion"/>
  </si>
  <si>
    <t>Ⅵ-昌三一光电</t>
    <phoneticPr fontId="128" type="noConversion"/>
  </si>
  <si>
    <t>Ⅶ-BDA东</t>
    <phoneticPr fontId="128" type="noConversion"/>
  </si>
  <si>
    <t>Ⅳ-01</t>
    <phoneticPr fontId="128" type="noConversion"/>
  </si>
  <si>
    <t>Ⅵ-BDA核心</t>
    <phoneticPr fontId="128" type="noConversion"/>
  </si>
  <si>
    <t>Ⅶ-BDA西</t>
    <phoneticPr fontId="128" type="noConversion"/>
  </si>
  <si>
    <t>五级</t>
  </si>
  <si>
    <t>Ⅴ-01</t>
    <phoneticPr fontId="128" type="noConversion"/>
  </si>
  <si>
    <t>六级</t>
  </si>
  <si>
    <t>Ⅵ-01</t>
    <phoneticPr fontId="128" type="noConversion"/>
  </si>
  <si>
    <t>七级</t>
  </si>
  <si>
    <t>Ⅶ-01</t>
    <phoneticPr fontId="128" type="noConversion"/>
  </si>
  <si>
    <t>八级</t>
  </si>
  <si>
    <t>Ⅷ-01</t>
    <phoneticPr fontId="128" type="noConversion"/>
  </si>
  <si>
    <t>九级</t>
  </si>
  <si>
    <t>Ⅸ-01</t>
    <phoneticPr fontId="128" type="noConversion"/>
  </si>
  <si>
    <t>Ⅸ-门1</t>
    <phoneticPr fontId="128" type="noConversion"/>
  </si>
  <si>
    <t>Ⅸ-门2</t>
    <phoneticPr fontId="128" type="noConversion"/>
  </si>
  <si>
    <t>十级</t>
  </si>
  <si>
    <t>Ⅹ-01</t>
    <phoneticPr fontId="128" type="noConversion"/>
  </si>
  <si>
    <t>Ⅹ-门1</t>
    <phoneticPr fontId="128" type="noConversion"/>
  </si>
  <si>
    <t>Ⅹ-门斋</t>
    <phoneticPr fontId="128" type="noConversion"/>
  </si>
  <si>
    <t>Ⅹ-房1</t>
    <phoneticPr fontId="128" type="noConversion"/>
  </si>
  <si>
    <t>Ⅺ-门1</t>
    <phoneticPr fontId="128" type="noConversion"/>
  </si>
  <si>
    <t>Ⅺ-门斋</t>
    <phoneticPr fontId="128" type="noConversion"/>
  </si>
  <si>
    <t>Ⅺ-房1</t>
    <phoneticPr fontId="128" type="noConversion"/>
  </si>
  <si>
    <t>Ⅻ-门1</t>
    <phoneticPr fontId="128" type="noConversion"/>
  </si>
  <si>
    <t>Ⅻ-房1</t>
    <phoneticPr fontId="128" type="noConversion"/>
  </si>
  <si>
    <t>Ⅻ-昌1</t>
    <phoneticPr fontId="128" type="noConversion"/>
  </si>
  <si>
    <t>Ⅻ-平1</t>
    <phoneticPr fontId="128" type="noConversion"/>
  </si>
  <si>
    <t>土地级别</t>
    <phoneticPr fontId="128" type="noConversion"/>
  </si>
  <si>
    <t>工业</t>
    <phoneticPr fontId="128" type="noConversion"/>
  </si>
  <si>
    <t>通路</t>
    <phoneticPr fontId="128" type="noConversion"/>
  </si>
  <si>
    <t>通电</t>
    <phoneticPr fontId="128" type="noConversion"/>
  </si>
  <si>
    <t>通讯</t>
    <phoneticPr fontId="128" type="noConversion"/>
  </si>
  <si>
    <t>通上水</t>
    <phoneticPr fontId="128" type="noConversion"/>
  </si>
  <si>
    <t>通下水</t>
    <phoneticPr fontId="128" type="noConversion"/>
  </si>
  <si>
    <t>通热</t>
    <phoneticPr fontId="128" type="noConversion"/>
  </si>
  <si>
    <t>燃气</t>
    <phoneticPr fontId="128" type="noConversion"/>
  </si>
  <si>
    <t>平整</t>
    <phoneticPr fontId="128" type="noConversion"/>
  </si>
  <si>
    <t>——</t>
    <phoneticPr fontId="128" type="noConversion"/>
  </si>
  <si>
    <t>北京市基准地价用途修正系数表</t>
    <phoneticPr fontId="128" type="noConversion"/>
  </si>
  <si>
    <t>用途</t>
    <phoneticPr fontId="128" type="noConversion"/>
  </si>
  <si>
    <t>用途类别划分</t>
    <phoneticPr fontId="128" type="noConversion"/>
  </si>
  <si>
    <t>用途修正  系数</t>
    <phoneticPr fontId="128" type="noConversion"/>
  </si>
  <si>
    <t>比准类别</t>
    <phoneticPr fontId="128" type="noConversion"/>
  </si>
  <si>
    <t>批发零售用地</t>
    <phoneticPr fontId="128" type="noConversion"/>
  </si>
  <si>
    <t>（指主要用于商品批发、零售的用地，包括商场、商店、超市、各类批发（零售）市场、加油站等及其附属的小型仓库、车间、工场等）</t>
    <phoneticPr fontId="128" type="noConversion"/>
  </si>
  <si>
    <t>其他类别</t>
    <phoneticPr fontId="128" type="noConversion"/>
  </si>
  <si>
    <t>住宿餐饮用地</t>
    <phoneticPr fontId="128" type="noConversion"/>
  </si>
  <si>
    <t>（指主要用于提供住宿、餐饮服务的用地，包括宾馆、酒店、饭店、旅馆、招待所、度假村、餐厅、酒吧等）</t>
    <phoneticPr fontId="128" type="noConversion"/>
  </si>
  <si>
    <t>商务金融用地（商业类）</t>
    <phoneticPr fontId="128" type="noConversion"/>
  </si>
  <si>
    <t>（指金融、证券、通讯、保险等营业网点用地）</t>
    <phoneticPr fontId="128" type="noConversion"/>
  </si>
  <si>
    <t>其他商服用地</t>
    <phoneticPr fontId="128" type="noConversion"/>
  </si>
  <si>
    <t>（指上述用地以外的其他商业、服务业用地，包括洗车场、洗染店、废旧物资回收站、维修网点、照相馆、理发美容店、洗浴场所、俱乐部、康乐中心、歌舞厅、赛车场、影视基地、影剧院、邮政、电信营业网点等）</t>
    <phoneticPr fontId="128" type="noConversion"/>
  </si>
  <si>
    <t>殡葬用地等特殊用地</t>
    <phoneticPr fontId="128" type="noConversion"/>
  </si>
  <si>
    <t>商务金融用地（办公类）</t>
    <phoneticPr fontId="128" type="noConversion"/>
  </si>
  <si>
    <t>（指企业、服务业等办公用地，以及经营性的办公场所用地，包括写字楼、商业性办公楼和企业厂区外独立的办公楼）</t>
    <phoneticPr fontId="128" type="noConversion"/>
  </si>
  <si>
    <t>其他商服用地（停车场、停车楼等用地）</t>
    <phoneticPr fontId="128" type="noConversion"/>
  </si>
  <si>
    <t>其他商服用地（指展览馆、会展中心等用地）</t>
    <phoneticPr fontId="128" type="noConversion"/>
  </si>
  <si>
    <t>机场航站楼用地</t>
    <phoneticPr fontId="128" type="noConversion"/>
  </si>
  <si>
    <t>科教用地</t>
    <phoneticPr fontId="128" type="noConversion"/>
  </si>
  <si>
    <t>（指用于各类教育，独立的科研、勘测、设计、技术推广、科普等的用地）</t>
    <phoneticPr fontId="128" type="noConversion"/>
  </si>
  <si>
    <t>新闻出版用地</t>
    <phoneticPr fontId="128" type="noConversion"/>
  </si>
  <si>
    <t>（指用于广播电台、电视台、电影厂、报社、杂志社、通讯社、出版社等的用地）、</t>
    <phoneticPr fontId="128" type="noConversion"/>
  </si>
  <si>
    <t>机关团体用地</t>
    <phoneticPr fontId="128" type="noConversion"/>
  </si>
  <si>
    <t>（指用于党政机关、社会团体、群众自治组织等的用地）</t>
    <phoneticPr fontId="128" type="noConversion"/>
  </si>
  <si>
    <t>医卫慈善用地</t>
    <phoneticPr fontId="128" type="noConversion"/>
  </si>
  <si>
    <t>（指用于医疗保健、卫生防疫、急救康复、医检药检、福利救助、养老设施等的用地）</t>
    <phoneticPr fontId="128" type="noConversion"/>
  </si>
  <si>
    <t>文体娱乐用地</t>
    <phoneticPr fontId="128" type="noConversion"/>
  </si>
  <si>
    <t>（指各类文化、体育及公共广场用地）</t>
    <phoneticPr fontId="128" type="noConversion"/>
  </si>
  <si>
    <t>产业用地</t>
    <phoneticPr fontId="128" type="noConversion"/>
  </si>
  <si>
    <t>（指高新技术产业研发与展示中心等产业用地）</t>
    <phoneticPr fontId="128" type="noConversion"/>
  </si>
  <si>
    <t>居住</t>
    <phoneticPr fontId="128" type="noConversion"/>
  </si>
  <si>
    <t>居住用地（指二类居住用地）</t>
    <phoneticPr fontId="128" type="noConversion"/>
  </si>
  <si>
    <t>（指二类居住用地（地上容积率≥１。）</t>
    <phoneticPr fontId="128" type="noConversion"/>
  </si>
  <si>
    <t>居住用地（指一类居住用地）</t>
    <phoneticPr fontId="128" type="noConversion"/>
  </si>
  <si>
    <t>（指一类居住用地（地上容积率＜１。）</t>
    <phoneticPr fontId="128" type="noConversion"/>
  </si>
  <si>
    <t>工业用地</t>
    <phoneticPr fontId="128" type="noConversion"/>
  </si>
  <si>
    <t>（指工业生产及直接为工业生产服务的附属设施用地）</t>
    <phoneticPr fontId="128" type="noConversion"/>
  </si>
  <si>
    <t>采矿用地</t>
    <phoneticPr fontId="128" type="noConversion"/>
  </si>
  <si>
    <t>（指采矿、采石、采砂（沙）场，盐田，砖瓦窑等地面生产设施及尾矿堆放地）</t>
    <phoneticPr fontId="128" type="noConversion"/>
  </si>
  <si>
    <t>仓储用地</t>
    <phoneticPr fontId="128" type="noConversion"/>
  </si>
  <si>
    <t>（指用于物资储备、中转的物流仓储场所等用地）</t>
    <phoneticPr fontId="128" type="noConversion"/>
  </si>
  <si>
    <t>公共设施用地</t>
    <phoneticPr fontId="128" type="noConversion"/>
  </si>
  <si>
    <t>（指用于城乡基础设施的用地，包括给排水、供电、供热、供气、邮政、电信、消防、环卫、公用设施维修等用地。）</t>
    <phoneticPr fontId="128" type="noConversion"/>
  </si>
  <si>
    <t>交通用地</t>
    <phoneticPr fontId="128" type="noConversion"/>
  </si>
  <si>
    <t>（指铁路用地、公路用地、机场用地、管道运输用地等，包括铁路、公路、机场、管道运输的地面线路、站场等用地以及城市道路、车站及其相应附属设施用地）</t>
    <phoneticPr fontId="128" type="noConversion"/>
  </si>
  <si>
    <t>备注：本用途修正系数仅适用于地上部分各类用途的修正，地下空间部分不适用上表中的用途修正，直接使用地下空间修正</t>
    <phoneticPr fontId="128" type="noConversion"/>
  </si>
  <si>
    <t>地下</t>
    <phoneticPr fontId="128" type="noConversion"/>
  </si>
  <si>
    <t>地下仓储</t>
    <phoneticPr fontId="128" type="noConversion"/>
  </si>
  <si>
    <t>车库</t>
    <phoneticPr fontId="128" type="noConversion"/>
  </si>
  <si>
    <t>—</t>
    <phoneticPr fontId="128" type="noConversion"/>
  </si>
  <si>
    <t>北京市商业路线价加价幅度表</t>
    <phoneticPr fontId="128" type="noConversion"/>
  </si>
  <si>
    <t>序号</t>
    <phoneticPr fontId="128" type="noConversion"/>
  </si>
  <si>
    <t>区县</t>
    <phoneticPr fontId="128" type="noConversion"/>
  </si>
  <si>
    <t>商业街名称</t>
    <phoneticPr fontId="128" type="noConversion"/>
  </si>
  <si>
    <t>起止点</t>
    <phoneticPr fontId="128" type="noConversion"/>
  </si>
  <si>
    <t>加价幅度</t>
    <phoneticPr fontId="128" type="noConversion"/>
  </si>
  <si>
    <t>标准深度（m）</t>
    <phoneticPr fontId="128" type="noConversion"/>
  </si>
  <si>
    <t>东城区</t>
    <phoneticPr fontId="128" type="noConversion"/>
  </si>
  <si>
    <t>东长安街</t>
    <phoneticPr fontId="128" type="noConversion"/>
  </si>
  <si>
    <t>天安门——东单</t>
    <phoneticPr fontId="128" type="noConversion"/>
  </si>
  <si>
    <t>建国门内大街</t>
    <phoneticPr fontId="128" type="noConversion"/>
  </si>
  <si>
    <t>建国门——东单</t>
    <phoneticPr fontId="128" type="noConversion"/>
  </si>
  <si>
    <t>王府井商业街</t>
    <phoneticPr fontId="128" type="noConversion"/>
  </si>
  <si>
    <t>东长安街——五四大街</t>
    <phoneticPr fontId="128" type="noConversion"/>
  </si>
  <si>
    <t>东单北大街</t>
    <phoneticPr fontId="128" type="noConversion"/>
  </si>
  <si>
    <t>金鱼胡同——东单路口</t>
    <phoneticPr fontId="128" type="noConversion"/>
  </si>
  <si>
    <t>东四南大街</t>
    <phoneticPr fontId="128" type="noConversion"/>
  </si>
  <si>
    <t>东四路口——金鱼胡同</t>
    <phoneticPr fontId="128" type="noConversion"/>
  </si>
  <si>
    <t>东直门内大街      （簋街）</t>
    <phoneticPr fontId="128" type="noConversion"/>
  </si>
  <si>
    <t>东直门桥——北新桥</t>
    <phoneticPr fontId="128" type="noConversion"/>
  </si>
  <si>
    <t>北京站东街</t>
    <phoneticPr fontId="128" type="noConversion"/>
  </si>
  <si>
    <t>建国门南大街——北京站</t>
    <phoneticPr fontId="128" type="noConversion"/>
  </si>
  <si>
    <t>北京站街</t>
    <phoneticPr fontId="128" type="noConversion"/>
  </si>
  <si>
    <t>建国门内大街——北京站</t>
    <phoneticPr fontId="128" type="noConversion"/>
  </si>
  <si>
    <t>东四十条</t>
    <phoneticPr fontId="128" type="noConversion"/>
  </si>
  <si>
    <t>东四十条桥——东四北大街</t>
    <phoneticPr fontId="128" type="noConversion"/>
  </si>
  <si>
    <t>张自忠路</t>
    <phoneticPr fontId="128" type="noConversion"/>
  </si>
  <si>
    <t>东四北大街——交道口南大街</t>
    <phoneticPr fontId="128" type="noConversion"/>
  </si>
  <si>
    <t>地安门东大街</t>
    <phoneticPr fontId="128" type="noConversion"/>
  </si>
  <si>
    <t>交道口南大街——地安门外大街</t>
    <phoneticPr fontId="128" type="noConversion"/>
  </si>
  <si>
    <t>前门商业街</t>
    <phoneticPr fontId="128" type="noConversion"/>
  </si>
  <si>
    <t>前门箭楼——珠市口</t>
    <phoneticPr fontId="128" type="noConversion"/>
  </si>
  <si>
    <t>崇外商业街</t>
    <phoneticPr fontId="128" type="noConversion"/>
  </si>
  <si>
    <t>崇文门——磁器口</t>
    <phoneticPr fontId="128" type="noConversion"/>
  </si>
  <si>
    <t>广渠门内大街</t>
    <phoneticPr fontId="128" type="noConversion"/>
  </si>
  <si>
    <t>广渠门——磁器口</t>
    <phoneticPr fontId="128" type="noConversion"/>
  </si>
  <si>
    <t>珠市口东大街</t>
    <phoneticPr fontId="128" type="noConversion"/>
  </si>
  <si>
    <t>磁器口——珠市口</t>
    <phoneticPr fontId="128" type="noConversion"/>
  </si>
  <si>
    <t>西城区</t>
    <phoneticPr fontId="128" type="noConversion"/>
  </si>
  <si>
    <t>西长安街</t>
    <phoneticPr fontId="128" type="noConversion"/>
  </si>
  <si>
    <t>天安门——西单</t>
    <phoneticPr fontId="128" type="noConversion"/>
  </si>
  <si>
    <t>复兴门内大街</t>
    <phoneticPr fontId="128" type="noConversion"/>
  </si>
  <si>
    <t>西单——复兴门</t>
    <phoneticPr fontId="128" type="noConversion"/>
  </si>
  <si>
    <t>复兴门外大街</t>
    <phoneticPr fontId="128" type="noConversion"/>
  </si>
  <si>
    <t>复兴门——木樨地</t>
    <phoneticPr fontId="128" type="noConversion"/>
  </si>
  <si>
    <t>西单商业街</t>
    <phoneticPr fontId="128" type="noConversion"/>
  </si>
  <si>
    <t>西单——辟才胡同</t>
    <phoneticPr fontId="128" type="noConversion"/>
  </si>
  <si>
    <t>西四商业街</t>
    <phoneticPr fontId="128" type="noConversion"/>
  </si>
  <si>
    <t>辟才胡同——平安里</t>
    <phoneticPr fontId="128" type="noConversion"/>
  </si>
  <si>
    <t>新街口商业街</t>
    <phoneticPr fontId="128" type="noConversion"/>
  </si>
  <si>
    <t>平安里——积水潭桥</t>
    <phoneticPr fontId="128" type="noConversion"/>
  </si>
  <si>
    <t>双旗杆西街       （福利特商业街）</t>
    <phoneticPr fontId="128" type="noConversion"/>
  </si>
  <si>
    <t>北三环中路——黄寺大街</t>
    <phoneticPr fontId="128" type="noConversion"/>
  </si>
  <si>
    <t>地安门西大街</t>
    <phoneticPr fontId="128" type="noConversion"/>
  </si>
  <si>
    <t>地安门外大街——新街口南大街</t>
    <phoneticPr fontId="128" type="noConversion"/>
  </si>
  <si>
    <t>平安里西大街</t>
    <phoneticPr fontId="128" type="noConversion"/>
  </si>
  <si>
    <t>新街口南大街——车公庄</t>
    <phoneticPr fontId="128" type="noConversion"/>
  </si>
  <si>
    <t>大栅栏商业街</t>
    <phoneticPr fontId="128" type="noConversion"/>
  </si>
  <si>
    <t>前门大街——煤市街</t>
    <phoneticPr fontId="128" type="noConversion"/>
  </si>
  <si>
    <t>珠市口西大街</t>
    <phoneticPr fontId="128" type="noConversion"/>
  </si>
  <si>
    <t>珠市口——南新华街</t>
    <phoneticPr fontId="128" type="noConversion"/>
  </si>
  <si>
    <t>骡马市大街</t>
    <phoneticPr fontId="128" type="noConversion"/>
  </si>
  <si>
    <t>南新华街——菜市口</t>
    <phoneticPr fontId="128" type="noConversion"/>
  </si>
  <si>
    <t>广安门内大街</t>
    <phoneticPr fontId="128" type="noConversion"/>
  </si>
  <si>
    <t>菜市口——广安门桥</t>
    <phoneticPr fontId="128" type="noConversion"/>
  </si>
  <si>
    <t>宣武门外大街</t>
    <phoneticPr fontId="128" type="noConversion"/>
  </si>
  <si>
    <t>宣武门——菜市口</t>
    <phoneticPr fontId="128" type="noConversion"/>
  </si>
  <si>
    <t>菜市口大街</t>
    <phoneticPr fontId="128" type="noConversion"/>
  </si>
  <si>
    <t>菜市口——开阳桥</t>
    <phoneticPr fontId="128" type="noConversion"/>
  </si>
  <si>
    <t>马连道路</t>
    <phoneticPr fontId="128" type="noConversion"/>
  </si>
  <si>
    <t>广安门外大街——红莲南路</t>
    <phoneticPr fontId="128" type="noConversion"/>
  </si>
  <si>
    <t>朝阳区</t>
    <phoneticPr fontId="128" type="noConversion"/>
  </si>
  <si>
    <t>朝外商业街</t>
    <phoneticPr fontId="128" type="noConversion"/>
  </si>
  <si>
    <t>朝阳门——东大桥</t>
    <phoneticPr fontId="128" type="noConversion"/>
  </si>
  <si>
    <t>安立路</t>
    <phoneticPr fontId="128" type="noConversion"/>
  </si>
  <si>
    <t>安慧桥——慧忠北路</t>
    <phoneticPr fontId="128" type="noConversion"/>
  </si>
  <si>
    <t>三里屯路</t>
    <phoneticPr fontId="128" type="noConversion"/>
  </si>
  <si>
    <t>工人体育场北路——东直门外大街</t>
    <phoneticPr fontId="128" type="noConversion"/>
  </si>
  <si>
    <t>秀水街</t>
    <phoneticPr fontId="128" type="noConversion"/>
  </si>
  <si>
    <t>建国门外大街——光华路</t>
    <phoneticPr fontId="128" type="noConversion"/>
  </si>
  <si>
    <t>大羊坊路         （十里河建材商业街）</t>
    <phoneticPr fontId="128" type="noConversion"/>
  </si>
  <si>
    <t>十里河桥——小武基路</t>
    <phoneticPr fontId="128" type="noConversion"/>
  </si>
  <si>
    <t>建国门外大街</t>
    <phoneticPr fontId="128" type="noConversion"/>
  </si>
  <si>
    <t>建国门桥——国贸桥</t>
    <phoneticPr fontId="128" type="noConversion"/>
  </si>
  <si>
    <t>建国路</t>
    <phoneticPr fontId="128" type="noConversion"/>
  </si>
  <si>
    <t>国贸桥——西大望路</t>
    <phoneticPr fontId="128" type="noConversion"/>
  </si>
  <si>
    <t>海淀区</t>
    <phoneticPr fontId="128" type="noConversion"/>
  </si>
  <si>
    <t>中关村大街</t>
    <phoneticPr fontId="128" type="noConversion"/>
  </si>
  <si>
    <t>海淀南路——北四环</t>
    <phoneticPr fontId="128" type="noConversion"/>
  </si>
  <si>
    <t>复兴路</t>
    <phoneticPr fontId="128" type="noConversion"/>
  </si>
  <si>
    <t>木樨地——万寿路</t>
    <phoneticPr fontId="128" type="noConversion"/>
  </si>
  <si>
    <t>海淀中路</t>
    <phoneticPr fontId="128" type="noConversion"/>
  </si>
  <si>
    <t>丰台区</t>
    <phoneticPr fontId="128" type="noConversion"/>
  </si>
  <si>
    <t>蒲芳路、紫芳路    （方庄商业街）</t>
    <phoneticPr fontId="128" type="noConversion"/>
  </si>
  <si>
    <t>蒲黄榆路——方庄东路</t>
    <phoneticPr fontId="128" type="noConversion"/>
  </si>
  <si>
    <t>石景山区</t>
    <phoneticPr fontId="128" type="noConversion"/>
  </si>
  <si>
    <t>石景山路</t>
    <phoneticPr fontId="128" type="noConversion"/>
  </si>
  <si>
    <t>八宝山——八角桥</t>
    <phoneticPr fontId="128" type="noConversion"/>
  </si>
  <si>
    <t>门头沟区</t>
    <phoneticPr fontId="128" type="noConversion"/>
  </si>
  <si>
    <t>新桥大街</t>
    <phoneticPr fontId="128" type="noConversion"/>
  </si>
  <si>
    <t>门头沟路——双峪路</t>
    <phoneticPr fontId="128" type="noConversion"/>
  </si>
  <si>
    <t>房山区</t>
    <phoneticPr fontId="128" type="noConversion"/>
  </si>
  <si>
    <t>南关大街</t>
    <phoneticPr fontId="128" type="noConversion"/>
  </si>
  <si>
    <t>房山东大街——南关立交桥</t>
    <phoneticPr fontId="128" type="noConversion"/>
  </si>
  <si>
    <t>拱辰大街</t>
    <phoneticPr fontId="128" type="noConversion"/>
  </si>
  <si>
    <t>良乡中路——月华大街</t>
    <phoneticPr fontId="128" type="noConversion"/>
  </si>
  <si>
    <t>通州区</t>
    <phoneticPr fontId="128" type="noConversion"/>
  </si>
  <si>
    <t>新华大街</t>
    <phoneticPr fontId="128" type="noConversion"/>
  </si>
  <si>
    <t>车站路——通惠南路</t>
    <phoneticPr fontId="128" type="noConversion"/>
  </si>
  <si>
    <t>云景东路</t>
    <phoneticPr fontId="128" type="noConversion"/>
  </si>
  <si>
    <t>地铁八通线——云景南大街</t>
    <phoneticPr fontId="128" type="noConversion"/>
  </si>
  <si>
    <t>顺义区</t>
    <phoneticPr fontId="128" type="noConversion"/>
  </si>
  <si>
    <t>新顺大街</t>
    <phoneticPr fontId="128" type="noConversion"/>
  </si>
  <si>
    <t>幸福西街——站前街</t>
    <phoneticPr fontId="128" type="noConversion"/>
  </si>
  <si>
    <t>大兴区</t>
    <phoneticPr fontId="128" type="noConversion"/>
  </si>
  <si>
    <t>兴华大街</t>
    <phoneticPr fontId="128" type="noConversion"/>
  </si>
  <si>
    <t>金星西路——黄村火车站</t>
    <phoneticPr fontId="128" type="noConversion"/>
  </si>
  <si>
    <t>昌平区</t>
    <phoneticPr fontId="128" type="noConversion"/>
  </si>
  <si>
    <t>回龙观西大街</t>
    <phoneticPr fontId="128" type="noConversion"/>
  </si>
  <si>
    <t>京藏高速公路——文华西路</t>
    <phoneticPr fontId="128" type="noConversion"/>
  </si>
  <si>
    <t>鼓楼东、西街</t>
    <phoneticPr fontId="128" type="noConversion"/>
  </si>
  <si>
    <t>东环路——西环路</t>
    <phoneticPr fontId="128" type="noConversion"/>
  </si>
  <si>
    <t>鼓楼南、北街</t>
    <phoneticPr fontId="128" type="noConversion"/>
  </si>
  <si>
    <t>北环路——府学路</t>
    <phoneticPr fontId="128" type="noConversion"/>
  </si>
  <si>
    <t>平谷区</t>
    <phoneticPr fontId="128" type="noConversion"/>
  </si>
  <si>
    <t>步行街</t>
    <phoneticPr fontId="128" type="noConversion"/>
  </si>
  <si>
    <t>文化北街——向阳北街</t>
    <phoneticPr fontId="128" type="noConversion"/>
  </si>
  <si>
    <t>怀柔区</t>
    <phoneticPr fontId="128" type="noConversion"/>
  </si>
  <si>
    <t>商业街</t>
    <phoneticPr fontId="128" type="noConversion"/>
  </si>
  <si>
    <t>迎宾路——青春路</t>
    <phoneticPr fontId="128" type="noConversion"/>
  </si>
  <si>
    <t>密云县</t>
    <phoneticPr fontId="128" type="noConversion"/>
  </si>
  <si>
    <t>鼓楼东、西大街</t>
    <phoneticPr fontId="128" type="noConversion"/>
  </si>
  <si>
    <t>新中街——南更道</t>
    <phoneticPr fontId="128" type="noConversion"/>
  </si>
  <si>
    <t>鼓楼大街</t>
    <phoneticPr fontId="128" type="noConversion"/>
  </si>
  <si>
    <t>西大桥路——康复路</t>
    <phoneticPr fontId="128" type="noConversion"/>
  </si>
  <si>
    <t>延庆县</t>
    <phoneticPr fontId="128" type="noConversion"/>
  </si>
  <si>
    <t>东外大街</t>
    <phoneticPr fontId="128" type="noConversion"/>
  </si>
  <si>
    <t>香苑街——东顺城街</t>
    <phoneticPr fontId="128" type="noConversion"/>
  </si>
  <si>
    <t>不临58条商业街</t>
    <phoneticPr fontId="128" type="noConversion"/>
  </si>
  <si>
    <t>北京市基准地价商业用途楼层修正系数表</t>
    <phoneticPr fontId="128" type="noConversion"/>
  </si>
  <si>
    <t>所在楼层</t>
    <phoneticPr fontId="128" type="noConversion"/>
  </si>
  <si>
    <t>楼层修正系数</t>
    <phoneticPr fontId="128" type="noConversion"/>
  </si>
  <si>
    <t>7层及以上</t>
    <phoneticPr fontId="128" type="noConversion"/>
  </si>
  <si>
    <r>
      <t>商业R</t>
    </r>
    <r>
      <rPr>
        <sz val="10"/>
        <color indexed="8"/>
        <rFont val="宋体"/>
        <family val="3"/>
        <charset val="134"/>
      </rPr>
      <t>&lt;1</t>
    </r>
    <phoneticPr fontId="128" type="noConversion"/>
  </si>
  <si>
    <t>地上第7层及以上各层</t>
    <phoneticPr fontId="128" type="noConversion"/>
  </si>
  <si>
    <t>说明：R为宗地地上容积率</t>
    <phoneticPr fontId="128" type="noConversion"/>
  </si>
  <si>
    <t>基准地价</t>
    <phoneticPr fontId="17" type="noConversion"/>
  </si>
  <si>
    <t>*</t>
    <phoneticPr fontId="17" type="noConversion"/>
  </si>
  <si>
    <t>无</t>
    <phoneticPr fontId="127" type="noConversion"/>
  </si>
  <si>
    <t>二级分类</t>
    <phoneticPr fontId="128"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</si>
  <si>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</si>
  <si>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</si>
  <si>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</si>
  <si>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</si>
  <si>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</si>
  <si>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</si>
  <si>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</si>
  <si>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</si>
  <si>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</si>
  <si>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</si>
  <si>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</si>
  <si>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</si>
  <si>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</si>
  <si>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</si>
  <si>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</si>
  <si>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</si>
  <si>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</si>
  <si>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</si>
  <si>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</si>
  <si>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</si>
  <si>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</si>
  <si>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</si>
  <si>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</si>
  <si>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</si>
  <si>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</si>
  <si>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</si>
  <si>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</si>
  <si>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</si>
  <si>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</si>
  <si>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</si>
  <si>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</si>
  <si>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</si>
  <si>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7"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</si>
  <si>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</si>
  <si>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</si>
  <si>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</si>
  <si>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</si>
  <si>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</si>
  <si>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</si>
  <si>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</si>
  <si>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</si>
  <si>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</si>
  <si>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</si>
  <si>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8"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</si>
  <si>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</si>
  <si>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</si>
  <si>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</si>
  <si>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</si>
  <si>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</si>
  <si>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</si>
  <si>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8" type="noConversion"/>
  </si>
  <si>
    <r>
      <rPr>
        <sz val="10"/>
        <color indexed="10"/>
        <rFont val="仿宋_GB2312"/>
        <family val="3"/>
        <charset val="134"/>
      </rPr>
      <t>依据《北京市区片基准地价表》，能否通过用途和级别筛选？</t>
    </r>
    <phoneticPr fontId="128" type="noConversion"/>
  </si>
  <si>
    <r>
      <rPr>
        <sz val="10"/>
        <color indexed="8"/>
        <rFont val="仿宋_GB2312"/>
        <family val="3"/>
        <charset val="134"/>
      </rPr>
      <t>特殊情况</t>
    </r>
    <phoneticPr fontId="128" type="noConversion"/>
  </si>
  <si>
    <r>
      <rPr>
        <sz val="10"/>
        <color indexed="8"/>
        <rFont val="仿宋_GB2312"/>
        <family val="3"/>
        <charset val="134"/>
      </rPr>
      <t>公园</t>
    </r>
    <phoneticPr fontId="128" type="noConversion"/>
  </si>
  <si>
    <r>
      <rPr>
        <sz val="10"/>
        <color indexed="8"/>
        <rFont val="仿宋_GB2312"/>
        <family val="3"/>
        <charset val="134"/>
      </rPr>
      <t>水系</t>
    </r>
    <phoneticPr fontId="128" type="noConversion"/>
  </si>
  <si>
    <r>
      <rPr>
        <sz val="10"/>
        <color indexed="8"/>
        <rFont val="仿宋_GB2312"/>
        <family val="3"/>
        <charset val="134"/>
      </rPr>
      <t>中小学名校</t>
    </r>
    <phoneticPr fontId="128" type="noConversion"/>
  </si>
  <si>
    <r>
      <rPr>
        <sz val="10"/>
        <color indexed="8"/>
        <rFont val="仿宋_GB2312"/>
        <family val="3"/>
        <charset val="134"/>
      </rPr>
      <t>修正系数</t>
    </r>
    <phoneticPr fontId="128"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</si>
  <si>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8" type="noConversion"/>
  </si>
  <si>
    <r>
      <t>R</t>
    </r>
    <r>
      <rPr>
        <sz val="11"/>
        <rFont val="仿宋_GB2312"/>
        <family val="3"/>
        <charset val="134"/>
      </rPr>
      <t>≤</t>
    </r>
    <r>
      <rPr>
        <sz val="11"/>
        <rFont val="Arial"/>
        <family val="2"/>
      </rPr>
      <t>10</t>
    </r>
    <phoneticPr fontId="128" type="noConversion"/>
  </si>
  <si>
    <r>
      <rPr>
        <sz val="10"/>
        <rFont val="仿宋_GB2312"/>
        <family val="3"/>
        <charset val="134"/>
      </rPr>
      <t>政府土地出让收益比例</t>
    </r>
    <phoneticPr fontId="128" type="noConversion"/>
  </si>
  <si>
    <r>
      <rPr>
        <sz val="10"/>
        <rFont val="仿宋_GB2312"/>
        <family val="3"/>
        <charset val="134"/>
      </rPr>
      <t>工业</t>
    </r>
    <phoneticPr fontId="128"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</si>
  <si>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8"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</si>
  <si>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</si>
  <si>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</si>
  <si>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</si>
  <si>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</si>
  <si>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</si>
  <si>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</si>
  <si>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</si>
  <si>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</si>
  <si>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</si>
  <si>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</si>
  <si>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</si>
  <si>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</si>
  <si>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</si>
  <si>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</si>
  <si>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</si>
  <si>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</si>
  <si>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4" type="noConversion"/>
  </si>
  <si>
    <t>外省市地下修正系数请自行录入</t>
    <phoneticPr fontId="134"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</si>
  <si>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</si>
  <si>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</si>
  <si>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</si>
  <si>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</si>
  <si>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</si>
  <si>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</si>
  <si>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</si>
  <si>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</si>
  <si>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</si>
  <si>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</si>
  <si>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</si>
  <si>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</si>
  <si>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</si>
  <si>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</si>
  <si>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</si>
  <si>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</si>
  <si>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</si>
  <si>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</si>
  <si>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</si>
  <si>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</si>
  <si>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</si>
  <si>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</si>
  <si>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</si>
  <si>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</si>
  <si>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</si>
  <si>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</si>
  <si>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</si>
  <si>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</si>
  <si>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</si>
  <si>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</si>
  <si>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</si>
  <si>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</si>
  <si>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</si>
  <si>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</si>
  <si>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</si>
  <si>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</si>
  <si>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</si>
  <si>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</si>
  <si>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</si>
  <si>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</si>
  <si>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</si>
  <si>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</si>
  <si>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</si>
  <si>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</si>
  <si>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</si>
  <si>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</si>
  <si>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</si>
  <si>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</si>
  <si>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</si>
  <si>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</si>
  <si>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</si>
  <si>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</si>
  <si>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</si>
  <si>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</si>
  <si>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</si>
  <si>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</si>
  <si>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</si>
  <si>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</si>
  <si>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</si>
  <si>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</si>
  <si>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</si>
  <si>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</si>
  <si>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</si>
  <si>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</si>
  <si>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</si>
  <si>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</si>
  <si>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</si>
  <si>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</si>
  <si>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</si>
  <si>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</si>
  <si>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</si>
  <si>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</si>
  <si>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</si>
  <si>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</si>
  <si>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</si>
  <si>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</si>
  <si>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</si>
  <si>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</si>
  <si>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</si>
  <si>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</si>
  <si>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</si>
  <si>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</si>
  <si>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</si>
  <si>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</si>
  <si>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</si>
  <si>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</si>
  <si>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</si>
  <si>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</si>
  <si>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</si>
  <si>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</si>
  <si>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</si>
  <si>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</si>
  <si>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</si>
  <si>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</si>
  <si>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</si>
  <si>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</si>
  <si>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</si>
  <si>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</si>
  <si>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</si>
  <si>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</si>
  <si>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</si>
  <si>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</si>
  <si>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</si>
  <si>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</si>
  <si>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</si>
  <si>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</si>
  <si>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</si>
  <si>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</si>
  <si>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</si>
  <si>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</si>
  <si>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</si>
  <si>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</si>
  <si>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</si>
  <si>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</si>
  <si>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</si>
  <si>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</si>
  <si>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</si>
  <si>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</si>
  <si>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</si>
  <si>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</si>
  <si>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</si>
  <si>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</si>
  <si>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</si>
  <si>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</si>
  <si>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</si>
  <si>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</si>
  <si>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</si>
  <si>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</si>
  <si>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</si>
  <si>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</si>
  <si>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</si>
  <si>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</si>
  <si>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</si>
  <si>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</si>
  <si>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</si>
  <si>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</si>
  <si>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</si>
  <si>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</si>
  <si>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</si>
  <si>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</si>
  <si>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</si>
  <si>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4" type="noConversion"/>
  </si>
  <si>
    <r>
      <t xml:space="preserve">4. </t>
    </r>
    <r>
      <rPr>
        <b/>
        <sz val="11"/>
        <color indexed="8"/>
        <rFont val="仿宋_GB2312"/>
        <family val="3"/>
        <charset val="134"/>
      </rPr>
      <t>土地价格</t>
    </r>
    <phoneticPr fontId="18" type="noConversion"/>
  </si>
  <si>
    <t>（6）</t>
    <phoneticPr fontId="44" type="noConversion"/>
  </si>
  <si>
    <t>（7）</t>
  </si>
  <si>
    <t>（8）</t>
  </si>
  <si>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</si>
  <si>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</si>
  <si>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</si>
  <si>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</si>
  <si>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</si>
  <si>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</si>
  <si>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</si>
  <si>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</si>
  <si>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</si>
  <si>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</si>
  <si>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</si>
  <si>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</si>
  <si>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</si>
  <si>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</si>
  <si>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</si>
  <si>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</si>
  <si>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</si>
  <si>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</si>
  <si>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</si>
  <si>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</si>
  <si>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</si>
  <si>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</si>
  <si>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</si>
  <si>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</si>
  <si>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</si>
  <si>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</si>
  <si>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</si>
  <si>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</si>
  <si>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</si>
  <si>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</si>
  <si>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工业</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</si>
  <si>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</si>
  <si>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</si>
  <si>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</si>
  <si>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</si>
  <si>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</si>
  <si>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</si>
  <si>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</si>
  <si>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</si>
  <si>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</si>
  <si>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</si>
  <si>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</si>
  <si>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</si>
  <si>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</si>
  <si>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</si>
  <si>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李立</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</si>
  <si>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</si>
  <si>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</si>
  <si>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</si>
  <si>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</si>
  <si>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</si>
  <si>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</si>
  <si>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</si>
  <si>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马琳琳</t>
    <phoneticPr fontId="6" type="noConversion"/>
  </si>
  <si>
    <t>刘梅</t>
    <phoneticPr fontId="6" type="noConversion"/>
  </si>
  <si>
    <t>赵雯</t>
    <phoneticPr fontId="6" type="noConversion"/>
  </si>
  <si>
    <t>刘敬东</t>
    <phoneticPr fontId="6" type="noConversion"/>
  </si>
  <si>
    <t>王萌</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</si>
  <si>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</si>
  <si>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</si>
  <si>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</si>
  <si>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</si>
  <si>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</si>
  <si>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</si>
  <si>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</si>
  <si>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</si>
  <si>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注册证书</t>
    <phoneticPr fontId="6" type="noConversion"/>
  </si>
  <si>
    <t>A201111009</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</si>
  <si>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</si>
  <si>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</si>
  <si>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</si>
  <si>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</si>
  <si>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</si>
  <si>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</si>
  <si>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</si>
  <si>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</si>
  <si>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</si>
  <si>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</si>
  <si>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</si>
  <si>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</si>
  <si>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</si>
  <si>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</si>
  <si>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</si>
  <si>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</si>
  <si>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</si>
  <si>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</si>
  <si>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</si>
  <si>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</si>
  <si>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</si>
  <si>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</si>
  <si>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</si>
  <si>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</si>
  <si>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</si>
  <si>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</si>
  <si>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</si>
  <si>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</si>
  <si>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</si>
  <si>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</si>
  <si>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</si>
  <si>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</si>
  <si>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</si>
  <si>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</si>
  <si>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</si>
  <si>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</si>
  <si>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</si>
  <si>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</si>
  <si>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</si>
  <si>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</si>
  <si>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</si>
  <si>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</si>
  <si>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</si>
  <si>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</si>
  <si>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</si>
  <si>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</si>
  <si>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</si>
  <si>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</si>
  <si>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</si>
  <si>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</si>
  <si>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</si>
  <si>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</si>
  <si>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</si>
  <si>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</si>
  <si>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</si>
  <si>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</si>
  <si>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</si>
  <si>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</si>
  <si>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</si>
  <si>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</si>
  <si>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</si>
  <si>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</si>
  <si>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</si>
  <si>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</si>
  <si>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</si>
  <si>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</si>
  <si>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</si>
  <si>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</si>
  <si>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</si>
  <si>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</si>
  <si>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</si>
  <si>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</si>
  <si>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</si>
  <si>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</si>
  <si>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</si>
  <si>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</si>
  <si>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</si>
  <si>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</si>
  <si>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</si>
  <si>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</si>
  <si>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</si>
  <si>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</si>
  <si>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</si>
  <si>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</si>
  <si>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</si>
  <si>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</si>
  <si>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</si>
  <si>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</si>
  <si>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</si>
  <si>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</si>
  <si>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</si>
  <si>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</si>
  <si>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40"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</si>
  <si>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</si>
  <si>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</si>
  <si>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</si>
  <si>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</si>
  <si>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</si>
  <si>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</si>
  <si>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</si>
  <si>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</si>
  <si>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</si>
  <si>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0" type="noConversion"/>
  </si>
  <si>
    <t>估价机构：北京康正宏基房地产评估有限公司</t>
  </si>
  <si>
    <t>估价机构：北京康正宏基房地产评估有限公司</t>
    <phoneticPr fontId="140" type="noConversion"/>
  </si>
  <si>
    <t>币种：人民币</t>
    <phoneticPr fontId="140" type="noConversion"/>
  </si>
  <si>
    <t>证载（或批准）</t>
    <phoneticPr fontId="140" type="noConversion"/>
  </si>
  <si>
    <t>单位面积地价/元/㎡</t>
    <phoneticPr fontId="140" type="noConversion"/>
  </si>
  <si>
    <t>二、其他需要说明的事项：</t>
    <phoneticPr fontId="140"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</si>
  <si>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</si>
  <si>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</si>
  <si>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</si>
  <si>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</si>
  <si>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</si>
  <si>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</si>
  <si>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</si>
  <si>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</si>
  <si>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40" type="noConversion"/>
  </si>
  <si>
    <t>宗地内平整情况设定为：</t>
    <phoneticPr fontId="9" type="noConversion"/>
  </si>
  <si>
    <t>估价结果（过程）</t>
    <phoneticPr fontId="145" type="noConversion"/>
  </si>
  <si>
    <t>估价对象范围</t>
    <phoneticPr fontId="145" type="noConversion"/>
  </si>
  <si>
    <t>估价对象状态</t>
    <phoneticPr fontId="145"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</si>
  <si>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</si>
  <si>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</si>
  <si>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</si>
  <si>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</si>
  <si>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</si>
  <si>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</si>
  <si>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</si>
  <si>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40" type="noConversion"/>
  </si>
  <si>
    <t>4.影响价格的其他限定条件：无。</t>
    <phoneticPr fontId="140"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</si>
  <si>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</si>
  <si>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0"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</si>
  <si>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</si>
  <si>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</si>
  <si>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</si>
  <si>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40" type="noConversion"/>
  </si>
  <si>
    <t>3.规划利用条件</t>
    <phoneticPr fontId="140" type="noConversion"/>
  </si>
  <si>
    <t>4.土地使用年限</t>
    <phoneticPr fontId="140" type="noConversion"/>
  </si>
  <si>
    <t>5.地价定义</t>
    <phoneticPr fontId="140" type="noConversion"/>
  </si>
  <si>
    <t>车位数</t>
    <phoneticPr fontId="30" type="noConversion"/>
  </si>
  <si>
    <t>成交单价</t>
    <phoneticPr fontId="6" type="noConversion"/>
  </si>
  <si>
    <t>元/平方米</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</si>
  <si>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</si>
  <si>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</si>
  <si>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</si>
  <si>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</si>
  <si>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</si>
  <si>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</si>
  <si>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</si>
  <si>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</si>
  <si>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</si>
  <si>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</si>
  <si>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</si>
  <si>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</si>
  <si>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</si>
  <si>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</si>
  <si>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</si>
  <si>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</si>
  <si>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</si>
  <si>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</si>
  <si>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</si>
  <si>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</si>
  <si>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</si>
  <si>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</si>
  <si>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</si>
  <si>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</si>
  <si>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</si>
  <si>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</si>
  <si>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</si>
  <si>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</si>
  <si>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</si>
  <si>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</si>
  <si>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</si>
  <si>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</si>
  <si>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</si>
  <si>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</si>
  <si>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</si>
  <si>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</si>
  <si>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</si>
  <si>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</si>
  <si>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</si>
  <si>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</si>
  <si>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</si>
  <si>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</si>
  <si>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</si>
  <si>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</si>
  <si>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</si>
  <si>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</si>
  <si>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</si>
  <si>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</si>
  <si>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</si>
  <si>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</si>
  <si>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</si>
  <si>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</si>
  <si>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</si>
  <si>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</si>
  <si>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</si>
  <si>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</si>
  <si>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</si>
  <si>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</si>
  <si>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</si>
  <si>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</si>
  <si>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</si>
  <si>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</si>
  <si>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</si>
  <si>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</si>
  <si>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</si>
  <si>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</si>
  <si>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</si>
  <si>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</si>
  <si>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</si>
  <si>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</si>
  <si>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</si>
  <si>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</si>
  <si>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</si>
  <si>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</si>
  <si>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</si>
  <si>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</si>
  <si>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</si>
  <si>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</si>
  <si>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</si>
  <si>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</si>
  <si>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</si>
  <si>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</si>
  <si>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</si>
  <si>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</si>
  <si>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</si>
  <si>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</si>
  <si>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</si>
  <si>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</si>
  <si>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</si>
  <si>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</si>
  <si>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</si>
  <si>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</si>
  <si>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</si>
  <si>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</si>
  <si>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</si>
  <si>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</si>
  <si>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</si>
  <si>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</si>
  <si>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</si>
  <si>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</si>
  <si>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</si>
  <si>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</si>
  <si>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</si>
  <si>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</si>
  <si>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</si>
  <si>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</si>
  <si>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</si>
  <si>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</si>
  <si>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</si>
  <si>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</si>
  <si>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</si>
  <si>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</si>
  <si>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</si>
  <si>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</si>
  <si>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</si>
  <si>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</si>
  <si>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</si>
  <si>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</si>
  <si>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</si>
  <si>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</si>
  <si>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</si>
  <si>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</si>
  <si>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</si>
  <si>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</si>
  <si>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</si>
  <si>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</si>
  <si>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</si>
  <si>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</si>
  <si>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</si>
  <si>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</si>
  <si>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</si>
  <si>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</si>
  <si>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</si>
  <si>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</si>
  <si>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</si>
  <si>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</si>
  <si>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</si>
  <si>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</si>
  <si>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</si>
  <si>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</si>
  <si>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</si>
  <si>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</si>
  <si>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</si>
  <si>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</si>
  <si>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</si>
  <si>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</si>
  <si>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</si>
  <si>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</si>
  <si>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</si>
  <si>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</si>
  <si>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</si>
  <si>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</si>
  <si>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</si>
  <si>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</si>
  <si>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十二级</t>
    <phoneticPr fontId="6" type="noConversion"/>
  </si>
  <si>
    <t>Ⅻ-平1</t>
    <phoneticPr fontId="6" type="noConversion"/>
  </si>
  <si>
    <t>Ⅻ-怀1</t>
    <phoneticPr fontId="6" type="noConversion"/>
  </si>
  <si>
    <t>Ⅻ-密1</t>
    <phoneticPr fontId="6" type="noConversion"/>
  </si>
  <si>
    <t>Ⅻ-延1</t>
    <phoneticPr fontId="6"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</si>
  <si>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</si>
  <si>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</si>
  <si>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</si>
  <si>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</si>
  <si>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</si>
  <si>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</si>
  <si>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</si>
  <si>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</si>
  <si>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</si>
  <si>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</si>
  <si>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</si>
  <si>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</si>
  <si>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</si>
  <si>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</si>
  <si>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</si>
  <si>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</si>
  <si>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7" type="noConversion"/>
  </si>
  <si>
    <t>万元/亩</t>
    <phoneticPr fontId="127"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</si>
  <si>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</si>
  <si>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</si>
  <si>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</si>
  <si>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</si>
  <si>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</si>
  <si>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</si>
  <si>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</si>
  <si>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</si>
  <si>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</si>
  <si>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</si>
  <si>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</si>
  <si>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</si>
  <si>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</si>
  <si>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</si>
  <si>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</si>
  <si>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</si>
  <si>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</si>
  <si>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</si>
  <si>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</si>
  <si>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</si>
  <si>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</si>
  <si>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</si>
  <si>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</si>
  <si>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企业提供(在右侧录入)</t>
  </si>
  <si>
    <t>单位面积地价</t>
    <phoneticPr fontId="127"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</si>
  <si>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</si>
  <si>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</si>
  <si>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</si>
  <si>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</si>
  <si>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</si>
  <si>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</si>
  <si>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</si>
  <si>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</si>
  <si>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</si>
  <si>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</si>
  <si>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t>按在建建筑物或建筑物价值(1+5%)的一定比率</t>
    <phoneticPr fontId="4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</si>
  <si>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</si>
  <si>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</si>
  <si>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</si>
  <si>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</si>
  <si>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</si>
  <si>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</si>
  <si>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</si>
  <si>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</si>
  <si>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</si>
  <si>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</si>
  <si>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</si>
  <si>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</si>
  <si>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</si>
  <si>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</si>
  <si>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</si>
  <si>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</si>
  <si>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</si>
  <si>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</si>
  <si>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</si>
  <si>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</si>
  <si>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</si>
  <si>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</si>
  <si>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</si>
  <si>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</si>
  <si>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</si>
  <si>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</si>
  <si>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</si>
  <si>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</si>
  <si>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</si>
  <si>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</si>
  <si>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</si>
  <si>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</si>
  <si>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</si>
  <si>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</si>
  <si>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</si>
  <si>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</si>
  <si>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</si>
  <si>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</si>
  <si>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</si>
  <si>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</si>
  <si>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</si>
  <si>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</si>
  <si>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</si>
  <si>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</si>
  <si>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t>默认为已完成的土地开发期</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</si>
  <si>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</si>
  <si>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</si>
  <si>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</si>
  <si>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</si>
  <si>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6" type="noConversion"/>
  </si>
  <si>
    <r>
      <rPr>
        <sz val="11"/>
        <color theme="1"/>
        <rFont val="楷体_GB2312"/>
        <family val="3"/>
        <charset val="134"/>
      </rPr>
      <t>请录依据文件名称：</t>
    </r>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</si>
  <si>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</si>
  <si>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</si>
  <si>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</si>
  <si>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</si>
  <si>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</si>
  <si>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</si>
  <si>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收益期（按照规范取最低值，住宅只取建筑物）</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</si>
  <si>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</si>
  <si>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</si>
  <si>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</si>
  <si>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</si>
  <si>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</si>
  <si>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</si>
  <si>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</si>
  <si>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</si>
  <si>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</si>
  <si>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</si>
  <si>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</si>
  <si>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</si>
  <si>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</si>
  <si>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</si>
  <si>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</si>
  <si>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</si>
  <si>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</si>
  <si>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</si>
  <si>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</si>
  <si>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</si>
  <si>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</si>
  <si>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</si>
  <si>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</si>
  <si>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</si>
  <si>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</si>
  <si>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</si>
  <si>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</si>
  <si>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</si>
  <si>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</si>
  <si>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</si>
  <si>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</si>
  <si>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</si>
  <si>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</si>
  <si>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</si>
  <si>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</si>
  <si>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</si>
  <si>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</si>
  <si>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</si>
  <si>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</si>
  <si>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</si>
  <si>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</si>
  <si>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</si>
  <si>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</si>
  <si>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</si>
  <si>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</si>
  <si>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</si>
  <si>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</si>
  <si>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</si>
  <si>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</si>
  <si>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</si>
  <si>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</si>
  <si>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</si>
  <si>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</si>
  <si>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</si>
  <si>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</si>
  <si>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</si>
  <si>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</si>
  <si>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</si>
  <si>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</si>
  <si>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</si>
  <si>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</si>
  <si>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</si>
  <si>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</si>
  <si>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</si>
  <si>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</si>
  <si>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</si>
  <si>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</si>
  <si>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</si>
  <si>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</si>
  <si>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</si>
  <si>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</si>
  <si>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</si>
  <si>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</si>
  <si>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Ⅷ-延1</t>
    <phoneticPr fontId="128" type="noConversion"/>
  </si>
  <si>
    <t>Ⅷ-延1</t>
    <phoneticPr fontId="128" type="noConversion"/>
  </si>
  <si>
    <t>宗地开发程度</t>
    <phoneticPr fontId="29" type="noConversion"/>
  </si>
  <si>
    <t>宗地开发程度</t>
    <phoneticPr fontId="6" type="noConversion"/>
  </si>
  <si>
    <t>建筑面积</t>
    <phoneticPr fontId="128" type="noConversion"/>
  </si>
  <si>
    <t>土地面积</t>
    <phoneticPr fontId="128" type="noConversion"/>
  </si>
  <si>
    <t>不含增值税，仅附加税</t>
    <phoneticPr fontId="32"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</si>
  <si>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</si>
  <si>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</si>
  <si>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</si>
  <si>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4"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</si>
  <si>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6" type="noConversion"/>
  </si>
  <si>
    <r>
      <rPr>
        <b/>
        <sz val="10"/>
        <rFont val="仿宋_GB2312"/>
        <family val="3"/>
        <charset val="134"/>
      </rPr>
      <t>前述</t>
    </r>
    <r>
      <rPr>
        <b/>
        <sz val="10"/>
        <rFont val="Arial"/>
        <family val="2"/>
      </rPr>
      <t>6</t>
    </r>
    <r>
      <rPr>
        <b/>
        <sz val="10"/>
        <rFont val="仿宋_GB2312"/>
        <family val="3"/>
        <charset val="134"/>
      </rPr>
      <t>项之和</t>
    </r>
    <phoneticPr fontId="4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</si>
  <si>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</si>
  <si>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</si>
  <si>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</si>
  <si>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</si>
  <si>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t>出让金+开发费</t>
  </si>
  <si>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</si>
  <si>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</si>
  <si>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</si>
  <si>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</si>
  <si>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</si>
  <si>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</si>
  <si>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</si>
  <si>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</si>
  <si>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</si>
  <si>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</si>
  <si>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</si>
  <si>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</si>
  <si>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</si>
  <si>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</si>
  <si>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</si>
  <si>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个人住宅</t>
  </si>
  <si>
    <t>一年期存款利率</t>
    <phoneticPr fontId="6" type="noConversion"/>
  </si>
  <si>
    <t>贷款利息</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</si>
  <si>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</si>
  <si>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</si>
  <si>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</si>
  <si>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</si>
  <si>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</si>
  <si>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</si>
  <si>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</si>
  <si>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</si>
  <si>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</si>
  <si>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</si>
  <si>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</si>
  <si>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</si>
  <si>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</si>
  <si>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</si>
  <si>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</si>
  <si>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</si>
  <si>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</si>
  <si>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</si>
  <si>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</si>
  <si>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</si>
  <si>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</si>
  <si>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</si>
  <si>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</si>
  <si>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</si>
  <si>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</si>
  <si>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</si>
  <si>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</si>
  <si>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</si>
  <si>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</si>
  <si>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</si>
  <si>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</si>
  <si>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</si>
  <si>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</si>
  <si>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</si>
  <si>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</si>
  <si>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天数</t>
    <phoneticPr fontId="6" type="noConversion"/>
  </si>
  <si>
    <t>——</t>
    <phoneticPr fontId="6" type="noConversion"/>
  </si>
  <si>
    <t>年收入</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</si>
  <si>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</si>
  <si>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</si>
  <si>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</si>
  <si>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</si>
  <si>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</si>
  <si>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间数</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</si>
  <si>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</si>
  <si>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</si>
  <si>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</si>
  <si>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</si>
  <si>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</si>
  <si>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</si>
  <si>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</si>
  <si>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</si>
  <si>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</si>
  <si>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</si>
  <si>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</si>
  <si>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</si>
  <si>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</si>
  <si>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</si>
  <si>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</si>
  <si>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</si>
  <si>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</si>
  <si>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</si>
  <si>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</si>
  <si>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</si>
  <si>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</si>
  <si>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</si>
  <si>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</si>
  <si>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</si>
  <si>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</si>
  <si>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</si>
  <si>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</si>
  <si>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</si>
  <si>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</si>
  <si>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</si>
  <si>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</si>
  <si>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</si>
  <si>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</si>
  <si>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</si>
  <si>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</si>
  <si>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</si>
  <si>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</si>
  <si>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</si>
  <si>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</si>
  <si>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</si>
  <si>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</si>
  <si>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</si>
  <si>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</si>
  <si>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</si>
  <si>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</si>
  <si>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</si>
  <si>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</si>
  <si>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</si>
  <si>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</si>
  <si>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</si>
  <si>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</si>
  <si>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</si>
  <si>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</si>
  <si>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</si>
  <si>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</si>
  <si>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</si>
  <si>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</si>
  <si>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</si>
  <si>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</si>
  <si>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</si>
  <si>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</si>
  <si>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</si>
  <si>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</si>
  <si>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</si>
  <si>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</si>
  <si>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</si>
  <si>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</si>
  <si>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</si>
  <si>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</si>
  <si>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</si>
  <si>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</si>
  <si>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</si>
  <si>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t>杨红英</t>
    <phoneticPr fontId="6" type="noConversion"/>
  </si>
  <si>
    <r>
      <t>1</t>
    </r>
    <r>
      <rPr>
        <sz val="12"/>
        <color indexed="8"/>
        <rFont val="仿宋_GB2312"/>
        <family val="3"/>
        <charset val="134"/>
      </rPr>
      <t>.本《评估意见函》中所列估价结果为初评结果，准确金额以本公司出具的正式《土地估价报告》为准。</t>
    </r>
    <phoneticPr fontId="140" type="noConversion"/>
  </si>
  <si>
    <t>公示地价指数</t>
    <phoneticPr fontId="243" type="noConversion"/>
  </si>
  <si>
    <r>
      <rPr>
        <b/>
        <sz val="10"/>
        <color theme="1"/>
        <rFont val="楷体_GB2312"/>
        <family val="2"/>
        <charset val="134"/>
      </rPr>
      <t>公示增长率</t>
    </r>
    <phoneticPr fontId="243" type="noConversion"/>
  </si>
  <si>
    <r>
      <rPr>
        <b/>
        <sz val="10"/>
        <color theme="1"/>
        <rFont val="楷体_GB2312"/>
        <family val="2"/>
        <charset val="134"/>
      </rPr>
      <t>核算至百分数</t>
    </r>
    <phoneticPr fontId="243" type="noConversion"/>
  </si>
  <si>
    <r>
      <rPr>
        <b/>
        <sz val="10"/>
        <color theme="1"/>
        <rFont val="楷体_GB2312"/>
        <family val="2"/>
        <charset val="134"/>
      </rPr>
      <t>验证</t>
    </r>
    <phoneticPr fontId="243" type="noConversion"/>
  </si>
  <si>
    <t>综合</t>
    <phoneticPr fontId="6" type="noConversion"/>
  </si>
  <si>
    <t>2017-2</t>
    <phoneticPr fontId="6" type="noConversion"/>
  </si>
  <si>
    <t>2017-1</t>
    <phoneticPr fontId="6" type="noConversion"/>
  </si>
  <si>
    <t>2013-4</t>
    <phoneticPr fontId="236" type="noConversion"/>
  </si>
  <si>
    <t>2013-3</t>
    <phoneticPr fontId="236" type="noConversion"/>
  </si>
  <si>
    <t>2013-2</t>
    <phoneticPr fontId="236" type="noConversion"/>
  </si>
  <si>
    <t>2013-1</t>
    <phoneticPr fontId="236" type="noConversion"/>
  </si>
  <si>
    <r>
      <t>2</t>
    </r>
    <r>
      <rPr>
        <sz val="10"/>
        <color theme="1"/>
        <rFont val="Arial"/>
        <family val="2"/>
      </rPr>
      <t>012-4</t>
    </r>
    <phoneticPr fontId="236" type="noConversion"/>
  </si>
  <si>
    <r>
      <t>2</t>
    </r>
    <r>
      <rPr>
        <sz val="10"/>
        <color theme="1"/>
        <rFont val="Arial"/>
        <family val="2"/>
      </rPr>
      <t>012-3</t>
    </r>
    <phoneticPr fontId="236" type="noConversion"/>
  </si>
  <si>
    <r>
      <t>2</t>
    </r>
    <r>
      <rPr>
        <sz val="10"/>
        <color theme="1"/>
        <rFont val="Arial"/>
        <family val="2"/>
      </rPr>
      <t>012-2</t>
    </r>
    <phoneticPr fontId="236" type="noConversion"/>
  </si>
  <si>
    <r>
      <t>2</t>
    </r>
    <r>
      <rPr>
        <sz val="10"/>
        <color theme="1"/>
        <rFont val="Arial"/>
        <family val="2"/>
      </rPr>
      <t>012-1</t>
    </r>
    <phoneticPr fontId="236" type="noConversion"/>
  </si>
  <si>
    <r>
      <t>2</t>
    </r>
    <r>
      <rPr>
        <sz val="10"/>
        <color theme="1"/>
        <rFont val="Arial"/>
        <family val="2"/>
      </rPr>
      <t>011-4</t>
    </r>
    <phoneticPr fontId="236" type="noConversion"/>
  </si>
  <si>
    <r>
      <t>2</t>
    </r>
    <r>
      <rPr>
        <sz val="10"/>
        <color theme="1"/>
        <rFont val="Arial"/>
        <family val="2"/>
      </rPr>
      <t>011-3</t>
    </r>
    <phoneticPr fontId="236" type="noConversion"/>
  </si>
  <si>
    <r>
      <t>2</t>
    </r>
    <r>
      <rPr>
        <sz val="10"/>
        <color theme="1"/>
        <rFont val="Arial"/>
        <family val="2"/>
      </rPr>
      <t>011-2</t>
    </r>
    <phoneticPr fontId="236" type="noConversion"/>
  </si>
  <si>
    <r>
      <t>2</t>
    </r>
    <r>
      <rPr>
        <sz val="10"/>
        <color theme="1"/>
        <rFont val="Arial"/>
        <family val="2"/>
      </rPr>
      <t>011-1</t>
    </r>
    <phoneticPr fontId="236" type="noConversion"/>
  </si>
  <si>
    <r>
      <t>2</t>
    </r>
    <r>
      <rPr>
        <sz val="10"/>
        <color theme="1"/>
        <rFont val="Arial"/>
        <family val="2"/>
      </rPr>
      <t>010-4</t>
    </r>
    <phoneticPr fontId="236" type="noConversion"/>
  </si>
  <si>
    <r>
      <t>2</t>
    </r>
    <r>
      <rPr>
        <sz val="10"/>
        <color theme="1"/>
        <rFont val="Arial"/>
        <family val="2"/>
      </rPr>
      <t>010-3</t>
    </r>
    <phoneticPr fontId="236" type="noConversion"/>
  </si>
  <si>
    <r>
      <t>2</t>
    </r>
    <r>
      <rPr>
        <sz val="10"/>
        <color theme="1"/>
        <rFont val="Arial"/>
        <family val="2"/>
      </rPr>
      <t>010-2</t>
    </r>
    <phoneticPr fontId="236" type="noConversion"/>
  </si>
  <si>
    <r>
      <t>2</t>
    </r>
    <r>
      <rPr>
        <sz val="10"/>
        <color theme="1"/>
        <rFont val="Arial"/>
        <family val="2"/>
      </rPr>
      <t>010-1</t>
    </r>
    <phoneticPr fontId="236" type="noConversion"/>
  </si>
  <si>
    <r>
      <t>2</t>
    </r>
    <r>
      <rPr>
        <sz val="10"/>
        <color theme="1"/>
        <rFont val="Arial"/>
        <family val="2"/>
      </rPr>
      <t>009-4</t>
    </r>
    <phoneticPr fontId="236" type="noConversion"/>
  </si>
  <si>
    <r>
      <t>2</t>
    </r>
    <r>
      <rPr>
        <sz val="10"/>
        <color theme="1"/>
        <rFont val="Arial"/>
        <family val="2"/>
      </rPr>
      <t>009-3</t>
    </r>
    <phoneticPr fontId="236" type="noConversion"/>
  </si>
  <si>
    <r>
      <t>2</t>
    </r>
    <r>
      <rPr>
        <sz val="10"/>
        <color theme="1"/>
        <rFont val="Arial"/>
        <family val="2"/>
      </rPr>
      <t>009-2</t>
    </r>
    <phoneticPr fontId="236" type="noConversion"/>
  </si>
  <si>
    <r>
      <t>2</t>
    </r>
    <r>
      <rPr>
        <sz val="10"/>
        <color theme="1"/>
        <rFont val="Arial"/>
        <family val="2"/>
      </rPr>
      <t>009-1</t>
    </r>
    <phoneticPr fontId="236" type="noConversion"/>
  </si>
  <si>
    <r>
      <t>2</t>
    </r>
    <r>
      <rPr>
        <sz val="10"/>
        <color theme="1"/>
        <rFont val="Arial"/>
        <family val="2"/>
      </rPr>
      <t>008-4</t>
    </r>
    <phoneticPr fontId="236" type="noConversion"/>
  </si>
  <si>
    <r>
      <t>2</t>
    </r>
    <r>
      <rPr>
        <sz val="10"/>
        <color theme="1"/>
        <rFont val="Arial"/>
        <family val="2"/>
      </rPr>
      <t>008-3</t>
    </r>
    <phoneticPr fontId="236" type="noConversion"/>
  </si>
  <si>
    <r>
      <t>2</t>
    </r>
    <r>
      <rPr>
        <sz val="10"/>
        <color theme="1"/>
        <rFont val="Arial"/>
        <family val="2"/>
      </rPr>
      <t>008-2</t>
    </r>
    <phoneticPr fontId="236" type="noConversion"/>
  </si>
  <si>
    <r>
      <t>2</t>
    </r>
    <r>
      <rPr>
        <sz val="10"/>
        <color theme="1"/>
        <rFont val="Arial"/>
        <family val="2"/>
      </rPr>
      <t>008-1</t>
    </r>
    <phoneticPr fontId="236" type="noConversion"/>
  </si>
  <si>
    <r>
      <t>2</t>
    </r>
    <r>
      <rPr>
        <sz val="10"/>
        <color theme="1"/>
        <rFont val="Arial"/>
        <family val="2"/>
      </rPr>
      <t>007-4</t>
    </r>
    <phoneticPr fontId="236" type="noConversion"/>
  </si>
  <si>
    <r>
      <t>2</t>
    </r>
    <r>
      <rPr>
        <sz val="10"/>
        <color theme="1"/>
        <rFont val="Arial"/>
        <family val="2"/>
      </rPr>
      <t>007-3</t>
    </r>
    <phoneticPr fontId="236" type="noConversion"/>
  </si>
  <si>
    <r>
      <t>2</t>
    </r>
    <r>
      <rPr>
        <sz val="10"/>
        <color theme="1"/>
        <rFont val="Arial"/>
        <family val="2"/>
      </rPr>
      <t>007-2</t>
    </r>
    <phoneticPr fontId="236" type="noConversion"/>
  </si>
  <si>
    <r>
      <t>2</t>
    </r>
    <r>
      <rPr>
        <sz val="10"/>
        <color theme="1"/>
        <rFont val="Arial"/>
        <family val="2"/>
      </rPr>
      <t>007-1</t>
    </r>
    <phoneticPr fontId="236" type="noConversion"/>
  </si>
  <si>
    <r>
      <t>2</t>
    </r>
    <r>
      <rPr>
        <sz val="10"/>
        <color theme="1"/>
        <rFont val="Arial"/>
        <family val="2"/>
      </rPr>
      <t>006-4</t>
    </r>
    <phoneticPr fontId="236" type="noConversion"/>
  </si>
  <si>
    <t>2006-3</t>
    <phoneticPr fontId="236" type="noConversion"/>
  </si>
  <si>
    <t>2006-2</t>
    <phoneticPr fontId="236" type="noConversion"/>
  </si>
  <si>
    <t>2006-1</t>
    <phoneticPr fontId="236" type="noConversion"/>
  </si>
  <si>
    <r>
      <t>2</t>
    </r>
    <r>
      <rPr>
        <sz val="10"/>
        <color theme="1"/>
        <rFont val="Arial"/>
        <family val="2"/>
      </rPr>
      <t>005-4</t>
    </r>
    <phoneticPr fontId="236" type="noConversion"/>
  </si>
  <si>
    <r>
      <t>2</t>
    </r>
    <r>
      <rPr>
        <sz val="10"/>
        <color theme="1"/>
        <rFont val="Arial"/>
        <family val="2"/>
      </rPr>
      <t>005-3</t>
    </r>
    <phoneticPr fontId="236" type="noConversion"/>
  </si>
  <si>
    <r>
      <t>2</t>
    </r>
    <r>
      <rPr>
        <sz val="10"/>
        <color theme="1"/>
        <rFont val="Arial"/>
        <family val="2"/>
      </rPr>
      <t>005-2</t>
    </r>
    <phoneticPr fontId="236" type="noConversion"/>
  </si>
  <si>
    <r>
      <t>2</t>
    </r>
    <r>
      <rPr>
        <sz val="10"/>
        <color theme="1"/>
        <rFont val="Arial"/>
        <family val="2"/>
      </rPr>
      <t>005-1</t>
    </r>
    <phoneticPr fontId="236" type="noConversion"/>
  </si>
  <si>
    <r>
      <t>2</t>
    </r>
    <r>
      <rPr>
        <sz val="10"/>
        <color theme="1"/>
        <rFont val="Arial"/>
        <family val="2"/>
      </rPr>
      <t>004-4</t>
    </r>
    <phoneticPr fontId="236" type="noConversion"/>
  </si>
  <si>
    <r>
      <t>2</t>
    </r>
    <r>
      <rPr>
        <sz val="10"/>
        <color theme="1"/>
        <rFont val="Arial"/>
        <family val="2"/>
      </rPr>
      <t>004-3</t>
    </r>
    <phoneticPr fontId="236" type="noConversion"/>
  </si>
  <si>
    <r>
      <t>2</t>
    </r>
    <r>
      <rPr>
        <sz val="10"/>
        <color theme="1"/>
        <rFont val="Arial"/>
        <family val="2"/>
      </rPr>
      <t>004-2</t>
    </r>
    <phoneticPr fontId="236" type="noConversion"/>
  </si>
  <si>
    <r>
      <t>2</t>
    </r>
    <r>
      <rPr>
        <sz val="10"/>
        <color theme="1"/>
        <rFont val="Arial"/>
        <family val="2"/>
      </rPr>
      <t>004-1</t>
    </r>
    <phoneticPr fontId="236" type="noConversion"/>
  </si>
  <si>
    <r>
      <t>2</t>
    </r>
    <r>
      <rPr>
        <sz val="10"/>
        <color theme="1"/>
        <rFont val="Arial"/>
        <family val="2"/>
      </rPr>
      <t>003-4</t>
    </r>
    <phoneticPr fontId="236" type="noConversion"/>
  </si>
  <si>
    <r>
      <t>2</t>
    </r>
    <r>
      <rPr>
        <sz val="10"/>
        <color theme="1"/>
        <rFont val="Arial"/>
        <family val="2"/>
      </rPr>
      <t>003-3</t>
    </r>
    <phoneticPr fontId="236" type="noConversion"/>
  </si>
  <si>
    <r>
      <t>2</t>
    </r>
    <r>
      <rPr>
        <sz val="10"/>
        <color theme="1"/>
        <rFont val="Arial"/>
        <family val="2"/>
      </rPr>
      <t>003-2</t>
    </r>
    <phoneticPr fontId="236" type="noConversion"/>
  </si>
  <si>
    <r>
      <t>2</t>
    </r>
    <r>
      <rPr>
        <sz val="10"/>
        <color theme="1"/>
        <rFont val="Arial"/>
        <family val="2"/>
      </rPr>
      <t>003-1</t>
    </r>
    <phoneticPr fontId="236" type="noConversion"/>
  </si>
  <si>
    <r>
      <t>2</t>
    </r>
    <r>
      <rPr>
        <sz val="10"/>
        <color theme="1"/>
        <rFont val="Arial"/>
        <family val="2"/>
      </rPr>
      <t>002-4</t>
    </r>
    <phoneticPr fontId="236" type="noConversion"/>
  </si>
  <si>
    <r>
      <t>2</t>
    </r>
    <r>
      <rPr>
        <sz val="10"/>
        <color theme="1"/>
        <rFont val="Arial"/>
        <family val="2"/>
      </rPr>
      <t>002-3</t>
    </r>
    <phoneticPr fontId="236" type="noConversion"/>
  </si>
  <si>
    <r>
      <t>2</t>
    </r>
    <r>
      <rPr>
        <sz val="10"/>
        <color theme="1"/>
        <rFont val="Arial"/>
        <family val="2"/>
      </rPr>
      <t>002-2</t>
    </r>
    <phoneticPr fontId="236" type="noConversion"/>
  </si>
  <si>
    <r>
      <t>2</t>
    </r>
    <r>
      <rPr>
        <sz val="10"/>
        <color theme="1"/>
        <rFont val="Arial"/>
        <family val="2"/>
      </rPr>
      <t>002-1</t>
    </r>
    <phoneticPr fontId="236" type="noConversion"/>
  </si>
  <si>
    <t>说明</t>
    <phoneticPr fontId="2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</si>
  <si>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</si>
  <si>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</si>
  <si>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</si>
  <si>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</si>
  <si>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</si>
  <si>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</si>
  <si>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</si>
  <si>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6" type="noConversion"/>
  </si>
  <si>
    <t>基准季度</t>
    <phoneticPr fontId="236"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</si>
  <si>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</si>
  <si>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</si>
  <si>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36" type="noConversion"/>
  </si>
  <si>
    <t>自定义涨幅</t>
    <phoneticPr fontId="128" type="noConversion"/>
  </si>
  <si>
    <t>季度增幅</t>
    <phoneticPr fontId="128"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</si>
  <si>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</si>
  <si>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</si>
  <si>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8" type="noConversion"/>
  </si>
  <si>
    <t>工业</t>
    <phoneticPr fontId="31" type="noConversion"/>
  </si>
  <si>
    <t>平均季度涨幅（公示）</t>
    <phoneticPr fontId="128" type="noConversion"/>
  </si>
  <si>
    <t>万元</t>
    <phoneticPr fontId="6" type="noConversion"/>
  </si>
  <si>
    <r>
      <t>1 .</t>
    </r>
    <r>
      <rPr>
        <b/>
        <sz val="12"/>
        <color indexed="8"/>
        <rFont val="仿宋_GB2312"/>
        <family val="3"/>
        <charset val="134"/>
      </rPr>
      <t>不动产总价</t>
    </r>
    <phoneticPr fontId="17" type="noConversion"/>
  </si>
  <si>
    <t>11111111111</t>
    <phoneticPr fontId="140" type="noConversion"/>
  </si>
  <si>
    <t>京国土字第111号</t>
    <phoneticPr fontId="140" type="noConversion"/>
  </si>
  <si>
    <t>中信开发</t>
    <phoneticPr fontId="140" type="noConversion"/>
  </si>
  <si>
    <t>顺序</t>
    <phoneticPr fontId="236" type="noConversion"/>
  </si>
  <si>
    <t>致函-估价对象-1</t>
    <phoneticPr fontId="236" type="noConversion"/>
  </si>
  <si>
    <t>致函-估价对象-2</t>
  </si>
  <si>
    <t>致函-估价期日</t>
    <phoneticPr fontId="236" type="noConversion"/>
  </si>
  <si>
    <t>封皮-估价项目名称</t>
    <phoneticPr fontId="247" type="noConversion"/>
  </si>
  <si>
    <t>封皮-委托估价方</t>
    <phoneticPr fontId="247" type="noConversion"/>
  </si>
  <si>
    <t>封皮-土地估价师</t>
    <phoneticPr fontId="247" type="noConversion"/>
  </si>
  <si>
    <t>封皮-土地估价报告编号</t>
    <phoneticPr fontId="247" type="noConversion"/>
  </si>
  <si>
    <t>致函-地价定义-规划</t>
    <phoneticPr fontId="236" type="noConversion"/>
  </si>
  <si>
    <t>致函-地价定义-用途-1</t>
    <phoneticPr fontId="236" type="noConversion"/>
  </si>
  <si>
    <t>致函-地价定义-用途-2</t>
    <phoneticPr fontId="236" type="noConversion"/>
  </si>
  <si>
    <t>致函-地价定义-开发程度-1</t>
    <phoneticPr fontId="236" type="noConversion"/>
  </si>
  <si>
    <t>致函-地价定义-开发程度-2</t>
    <phoneticPr fontId="236" type="noConversion"/>
  </si>
  <si>
    <t>致函-地价定义-年限-1</t>
    <phoneticPr fontId="236" type="noConversion"/>
  </si>
  <si>
    <t>致函-地价定义-年限-2</t>
    <phoneticPr fontId="236" type="noConversion"/>
  </si>
  <si>
    <t>致函-地价定义-1</t>
    <phoneticPr fontId="236" type="noConversion"/>
  </si>
  <si>
    <t>致函-地价定义-2</t>
    <phoneticPr fontId="236" type="noConversion"/>
  </si>
  <si>
    <t>致函-地价定义-3</t>
    <phoneticPr fontId="236" type="noConversion"/>
  </si>
  <si>
    <t>致函-地价定义-4</t>
    <phoneticPr fontId="236" type="noConversion"/>
  </si>
  <si>
    <t>致函-估价结果</t>
    <phoneticPr fontId="236" type="noConversion"/>
  </si>
  <si>
    <t>致函-估价结果-表-1</t>
    <phoneticPr fontId="236" type="noConversion"/>
  </si>
  <si>
    <t>致函-估价结果-表-2</t>
  </si>
  <si>
    <t>致函-限定条件-1</t>
    <phoneticPr fontId="247" type="noConversion"/>
  </si>
  <si>
    <t>致函-限定条件-2</t>
  </si>
  <si>
    <t>致函-限定条件-3</t>
  </si>
  <si>
    <t>致函-其他事项-1</t>
    <phoneticPr fontId="236" type="noConversion"/>
  </si>
  <si>
    <t>致函-其他事项-2</t>
  </si>
  <si>
    <t>致函-其他事项-优先受偿-1</t>
    <phoneticPr fontId="236" type="noConversion"/>
  </si>
  <si>
    <t>致函-其他事项-优先受偿</t>
    <phoneticPr fontId="236" type="noConversion"/>
  </si>
  <si>
    <t>致函-其他事项-优先受偿-2</t>
  </si>
  <si>
    <t>致函-其他事项-优先受偿-3</t>
  </si>
  <si>
    <t>致函-其他事项-优先受偿-4</t>
  </si>
  <si>
    <t>致函-其他事项-4</t>
    <phoneticPr fontId="236" type="noConversion"/>
  </si>
  <si>
    <t>致函-其他事项-5</t>
  </si>
  <si>
    <t>致函-估价师签字-1</t>
    <phoneticPr fontId="236" type="noConversion"/>
  </si>
  <si>
    <t>致函-估价师签字-2</t>
    <phoneticPr fontId="236" type="noConversion"/>
  </si>
  <si>
    <t>致函-出具日期</t>
    <phoneticPr fontId="236"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</si>
  <si>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</si>
  <si>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</si>
  <si>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</si>
  <si>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</si>
  <si>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</si>
  <si>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</si>
  <si>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</si>
  <si>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</si>
  <si>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</si>
  <si>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0" type="noConversion"/>
  </si>
  <si>
    <t xml:space="preserve">  年   月   日</t>
    <phoneticPr fontId="140" type="noConversion"/>
  </si>
  <si>
    <t xml:space="preserve">  年   月   日</t>
    <phoneticPr fontId="140" type="noConversion"/>
  </si>
  <si>
    <t>致函-委托事项</t>
    <phoneticPr fontId="247" type="noConversion"/>
  </si>
  <si>
    <r>
      <t>金融机构</t>
    </r>
    <r>
      <rPr>
        <sz val="10"/>
        <color indexed="8"/>
        <rFont val="仿宋_GB2312"/>
        <family val="3"/>
        <charset val="134"/>
      </rPr>
      <t>(贷款方)</t>
    </r>
    <phoneticPr fontId="6" type="noConversion"/>
  </si>
  <si>
    <t>借款方</t>
    <phoneticPr fontId="9" type="noConversion"/>
  </si>
  <si>
    <t>致函-估价目的</t>
    <phoneticPr fontId="236" type="noConversion"/>
  </si>
  <si>
    <t>致函-估价结果-表-使用者</t>
    <phoneticPr fontId="247" type="noConversion"/>
  </si>
  <si>
    <t>致函-估价结果-表-地号</t>
    <phoneticPr fontId="247" type="noConversion"/>
  </si>
  <si>
    <t>致函-估价结果-表-权属证号</t>
    <phoneticPr fontId="247" type="noConversion"/>
  </si>
  <si>
    <t>致函-估价结果-表-用途-1</t>
    <phoneticPr fontId="247" type="noConversion"/>
  </si>
  <si>
    <t>致函-估价结果-表-用途-2</t>
  </si>
  <si>
    <t>致函-估价结果-表-用途-3</t>
  </si>
  <si>
    <t>致函-估价结果-表-容积率-1</t>
    <phoneticPr fontId="247" type="noConversion"/>
  </si>
  <si>
    <t>致函-估价结果-表-容积率-2</t>
  </si>
  <si>
    <t>致函-估价结果-表-容积率-3</t>
  </si>
  <si>
    <t>致函-估价结果-表-开发程度-1</t>
    <phoneticPr fontId="247" type="noConversion"/>
  </si>
  <si>
    <t>致函-估价结果-表-开发程度-2</t>
  </si>
  <si>
    <t>致函-估价结果-表-年限</t>
    <phoneticPr fontId="247" type="noConversion"/>
  </si>
  <si>
    <t>致函-估价结果-表-土地</t>
    <phoneticPr fontId="247" type="noConversion"/>
  </si>
  <si>
    <t>致函-估价结果-表-建筑</t>
    <phoneticPr fontId="247" type="noConversion"/>
  </si>
  <si>
    <t>致函-估价结果-表-地面价</t>
    <phoneticPr fontId="247" type="noConversion"/>
  </si>
  <si>
    <t>致函-估价结果-表-楼面价</t>
    <phoneticPr fontId="247" type="noConversion"/>
  </si>
  <si>
    <t>致函-估价结果-表-总额</t>
    <phoneticPr fontId="247" type="noConversion"/>
  </si>
  <si>
    <t>致函-估价结果-表-抵押</t>
    <phoneticPr fontId="247" type="noConversion"/>
  </si>
  <si>
    <t>致函-估价结果-表-已注</t>
    <phoneticPr fontId="247" type="noConversion"/>
  </si>
  <si>
    <t>致函-估价结果-表-净值</t>
    <phoneticPr fontId="247" type="noConversion"/>
  </si>
  <si>
    <t>致函-限定条件-4</t>
  </si>
  <si>
    <t>2.估价师知悉的法定优先受偿款</t>
  </si>
  <si>
    <r>
      <t>宗地编号</t>
    </r>
    <r>
      <rPr>
        <i/>
        <sz val="10.5"/>
        <color theme="9" tint="-0.249977111117893"/>
        <rFont val="仿宋_GB2312"/>
        <family val="3"/>
        <charset val="134"/>
      </rPr>
      <t>/不动产单元号</t>
    </r>
    <phoneticPr fontId="140" type="noConversion"/>
  </si>
  <si>
    <t>（剩余）土地使用年限/年</t>
    <phoneticPr fontId="140" type="noConversion"/>
  </si>
  <si>
    <t>致函-估价结果-表-使用者(标题）</t>
    <phoneticPr fontId="247" type="noConversion"/>
  </si>
  <si>
    <t>致函-估价结果-表-地号(标题）</t>
    <phoneticPr fontId="247" type="noConversion"/>
  </si>
  <si>
    <t>土地使用证编号/不动产权证书编号</t>
    <phoneticPr fontId="140" type="noConversion"/>
  </si>
  <si>
    <t>致函-估价结果-表-宗地名称</t>
    <phoneticPr fontId="247" type="noConversion"/>
  </si>
  <si>
    <t>致函-估价结果-表-权属证号(标题）</t>
    <phoneticPr fontId="247" type="noConversion"/>
  </si>
  <si>
    <t>致函-估价结果-表-年限(标题）</t>
    <phoneticPr fontId="247" type="noConversion"/>
  </si>
  <si>
    <t>致函-估价结果-表-土地(标题）</t>
    <phoneticPr fontId="247" type="noConversion"/>
  </si>
  <si>
    <t>致函-估价结果-表-建筑(标题）</t>
    <phoneticPr fontId="247" type="noConversion"/>
  </si>
  <si>
    <t>致函-估价结果-表-抵押（名称）</t>
    <phoneticPr fontId="247" type="noConversion"/>
  </si>
  <si>
    <t>致函-估价结果-表-已注（名称）</t>
    <phoneticPr fontId="247" type="noConversion"/>
  </si>
  <si>
    <t>致函-估价结果-表-净值（名称）</t>
    <phoneticPr fontId="247" type="noConversion"/>
  </si>
  <si>
    <r>
      <t>实际</t>
    </r>
    <r>
      <rPr>
        <i/>
        <sz val="10.5"/>
        <color theme="3" tint="0.39997558519241921"/>
        <rFont val="仿宋_GB2312"/>
        <family val="3"/>
        <charset val="134"/>
      </rPr>
      <t>（证载）</t>
    </r>
    <phoneticPr fontId="140" type="noConversion"/>
  </si>
  <si>
    <r>
      <t>实际</t>
    </r>
    <r>
      <rPr>
        <i/>
        <sz val="10.5"/>
        <color theme="3" tint="0.39997558519241921"/>
        <rFont val="仿宋_GB2312"/>
        <family val="3"/>
        <charset val="134"/>
      </rPr>
      <t>（工程规划）</t>
    </r>
    <phoneticPr fontId="140" type="noConversion"/>
  </si>
  <si>
    <t>（3）。</t>
    <phoneticPr fontId="140"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</si>
  <si>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</si>
  <si>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0" type="noConversion"/>
  </si>
  <si>
    <t>本次估价对象国有建设用地使用权类型为储备，无土地使用年限限制。</t>
  </si>
  <si>
    <t>储备-补1</t>
    <phoneticPr fontId="24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</si>
  <si>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</si>
  <si>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</si>
  <si>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3"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</si>
  <si>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</si>
  <si>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</si>
  <si>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</si>
  <si>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</si>
  <si>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</si>
  <si>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</si>
  <si>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</si>
  <si>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8" type="noConversion"/>
  </si>
  <si>
    <t>楼层修正系数</t>
    <phoneticPr fontId="128" type="noConversion"/>
  </si>
  <si>
    <r>
      <t>商业R</t>
    </r>
    <r>
      <rPr>
        <sz val="10"/>
        <color indexed="8"/>
        <rFont val="仿宋_GB2312"/>
        <family val="3"/>
        <charset val="134"/>
      </rPr>
      <t>≥</t>
    </r>
    <r>
      <rPr>
        <sz val="10"/>
        <color indexed="8"/>
        <rFont val="宋体"/>
        <family val="3"/>
        <charset val="134"/>
      </rPr>
      <t>1</t>
    </r>
    <phoneticPr fontId="128" type="noConversion"/>
  </si>
  <si>
    <r>
      <rPr>
        <sz val="10"/>
        <rFont val="仿宋_GB2312"/>
        <family val="3"/>
        <charset val="134"/>
      </rPr>
      <t>估价对象级别</t>
    </r>
    <phoneticPr fontId="128" type="noConversion"/>
  </si>
  <si>
    <r>
      <rPr>
        <sz val="10"/>
        <rFont val="仿宋_GB2312"/>
        <family val="3"/>
        <charset val="134"/>
      </rPr>
      <t>容积率</t>
    </r>
    <phoneticPr fontId="128" type="noConversion"/>
  </si>
  <si>
    <r>
      <rPr>
        <sz val="10"/>
        <color theme="1"/>
        <rFont val="宋体"/>
        <family val="3"/>
        <charset val="134"/>
      </rPr>
      <t>一级</t>
    </r>
    <phoneticPr fontId="128" type="noConversion"/>
  </si>
  <si>
    <r>
      <rPr>
        <sz val="10"/>
        <color theme="1"/>
        <rFont val="宋体"/>
        <family val="3"/>
        <charset val="134"/>
      </rPr>
      <t>二级</t>
    </r>
    <phoneticPr fontId="128" type="noConversion"/>
  </si>
  <si>
    <r>
      <rPr>
        <sz val="10"/>
        <color theme="1"/>
        <rFont val="宋体"/>
        <family val="3"/>
        <charset val="134"/>
      </rPr>
      <t>三级</t>
    </r>
    <phoneticPr fontId="128" type="noConversion"/>
  </si>
  <si>
    <r>
      <rPr>
        <sz val="10"/>
        <color theme="1"/>
        <rFont val="宋体"/>
        <family val="3"/>
        <charset val="134"/>
      </rPr>
      <t>四级</t>
    </r>
    <phoneticPr fontId="128" type="noConversion"/>
  </si>
  <si>
    <r>
      <rPr>
        <sz val="10"/>
        <color theme="1"/>
        <rFont val="宋体"/>
        <family val="3"/>
        <charset val="134"/>
      </rPr>
      <t>五级</t>
    </r>
    <phoneticPr fontId="128" type="noConversion"/>
  </si>
  <si>
    <r>
      <rPr>
        <sz val="10"/>
        <color theme="1"/>
        <rFont val="宋体"/>
        <family val="3"/>
        <charset val="134"/>
      </rPr>
      <t>六级</t>
    </r>
    <phoneticPr fontId="128" type="noConversion"/>
  </si>
  <si>
    <r>
      <rPr>
        <sz val="10"/>
        <color theme="1"/>
        <rFont val="宋体"/>
        <family val="3"/>
        <charset val="134"/>
      </rPr>
      <t>七级</t>
    </r>
    <phoneticPr fontId="128" type="noConversion"/>
  </si>
  <si>
    <r>
      <rPr>
        <sz val="10"/>
        <color theme="1"/>
        <rFont val="宋体"/>
        <family val="3"/>
        <charset val="134"/>
      </rPr>
      <t>八级</t>
    </r>
    <phoneticPr fontId="128" type="noConversion"/>
  </si>
  <si>
    <r>
      <rPr>
        <sz val="10"/>
        <color theme="1"/>
        <rFont val="宋体"/>
        <family val="3"/>
        <charset val="134"/>
      </rPr>
      <t>九级</t>
    </r>
    <phoneticPr fontId="128" type="noConversion"/>
  </si>
  <si>
    <r>
      <rPr>
        <sz val="10"/>
        <color theme="1"/>
        <rFont val="宋体"/>
        <family val="3"/>
        <charset val="134"/>
      </rPr>
      <t>十级</t>
    </r>
    <phoneticPr fontId="128" type="noConversion"/>
  </si>
  <si>
    <r>
      <rPr>
        <sz val="10"/>
        <color theme="1"/>
        <rFont val="宋体"/>
        <family val="3"/>
        <charset val="134"/>
      </rPr>
      <t>十一级</t>
    </r>
    <phoneticPr fontId="128" type="noConversion"/>
  </si>
  <si>
    <r>
      <rPr>
        <sz val="10"/>
        <color theme="1"/>
        <rFont val="宋体"/>
        <family val="3"/>
        <charset val="134"/>
      </rPr>
      <t>十二级</t>
    </r>
    <phoneticPr fontId="128"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</si>
  <si>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8" type="noConversion"/>
  </si>
  <si>
    <r>
      <t>7</t>
    </r>
    <r>
      <rPr>
        <sz val="10"/>
        <color theme="1"/>
        <rFont val="宋体"/>
        <family val="3"/>
        <charset val="134"/>
      </rPr>
      <t>层及以上</t>
    </r>
    <phoneticPr fontId="128" type="noConversion"/>
  </si>
  <si>
    <r>
      <rPr>
        <sz val="10"/>
        <rFont val="仿宋_GB2312"/>
        <family val="3"/>
        <charset val="134"/>
      </rPr>
      <t>商业</t>
    </r>
    <r>
      <rPr>
        <sz val="10"/>
        <rFont val="Arial"/>
        <family val="2"/>
      </rPr>
      <t>R&lt;1</t>
    </r>
    <phoneticPr fontId="128"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</si>
  <si>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8" type="noConversion"/>
  </si>
  <si>
    <t>容积率             级别</t>
    <phoneticPr fontId="128" type="noConversion"/>
  </si>
  <si>
    <t>楼面熟地单价</t>
    <phoneticPr fontId="128" type="noConversion"/>
  </si>
  <si>
    <t>层面积</t>
    <phoneticPr fontId="128" type="noConversion"/>
  </si>
  <si>
    <t>总额</t>
    <phoneticPr fontId="128" type="noConversion"/>
  </si>
  <si>
    <t>致函-其他专业人员</t>
    <phoneticPr fontId="247" type="noConversion"/>
  </si>
  <si>
    <t>价值时点</t>
    <phoneticPr fontId="6" type="noConversion"/>
  </si>
  <si>
    <t>贷款利率</t>
    <phoneticPr fontId="6" type="noConversion"/>
  </si>
  <si>
    <t>贷款利率</t>
    <phoneticPr fontId="236" type="noConversion"/>
  </si>
  <si>
    <t>存款利率</t>
    <phoneticPr fontId="23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</si>
  <si>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</si>
  <si>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</si>
  <si>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</si>
  <si>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</si>
  <si>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</si>
  <si>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</si>
  <si>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</si>
  <si>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</si>
  <si>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</si>
  <si>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</si>
  <si>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</si>
  <si>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</si>
  <si>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</si>
  <si>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</si>
  <si>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</si>
  <si>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</si>
  <si>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</si>
  <si>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</si>
  <si>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</si>
  <si>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</si>
  <si>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</si>
  <si>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</si>
  <si>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</si>
  <si>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</si>
  <si>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</si>
  <si>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</si>
  <si>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</si>
  <si>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36" type="noConversion"/>
  </si>
  <si>
    <t>1年期存款利率</t>
    <phoneticPr fontId="6" type="noConversion"/>
  </si>
  <si>
    <t>土地开发期</t>
    <phoneticPr fontId="236"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</si>
  <si>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</si>
  <si>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</si>
  <si>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</si>
  <si>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</si>
  <si>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</si>
  <si>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</si>
  <si>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r>
      <t>P</t>
    </r>
    <r>
      <rPr>
        <b/>
        <vertAlign val="subscript"/>
        <sz val="11"/>
        <color indexed="8"/>
        <rFont val="仿宋_GB2312"/>
        <family val="3"/>
        <charset val="134"/>
      </rPr>
      <t>土</t>
    </r>
    <phoneticPr fontId="17" type="noConversion"/>
  </si>
  <si>
    <r>
      <t>P</t>
    </r>
    <r>
      <rPr>
        <b/>
        <vertAlign val="subscript"/>
        <sz val="11"/>
        <color indexed="8"/>
        <rFont val="仿宋_GB2312"/>
        <family val="3"/>
        <charset val="134"/>
      </rPr>
      <t>建</t>
    </r>
    <phoneticPr fontId="44"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</si>
  <si>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</si>
  <si>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</si>
  <si>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</si>
  <si>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</si>
  <si>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</si>
  <si>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</si>
  <si>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</si>
  <si>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</si>
  <si>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</si>
  <si>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</si>
  <si>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</si>
  <si>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</si>
  <si>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此处对应不动产收益法中未来第一年总收益</t>
    <phoneticPr fontId="23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</si>
  <si>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</si>
  <si>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</si>
  <si>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</si>
  <si>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</si>
  <si>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</si>
  <si>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</si>
  <si>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</si>
  <si>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</si>
  <si>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</si>
  <si>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</si>
  <si>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</si>
  <si>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</si>
  <si>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</si>
  <si>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</si>
  <si>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</si>
  <si>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</si>
  <si>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</si>
  <si>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</si>
  <si>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</si>
  <si>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</si>
  <si>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</si>
  <si>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</si>
  <si>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</si>
  <si>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</si>
  <si>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</si>
  <si>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</si>
  <si>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6" type="noConversion"/>
  </si>
  <si>
    <t>楼面单价（元/平方米）</t>
    <phoneticPr fontId="236" type="noConversion"/>
  </si>
  <si>
    <t>项目名称</t>
    <phoneticPr fontId="236" type="noConversion"/>
  </si>
  <si>
    <t>重置成新价</t>
    <phoneticPr fontId="23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</si>
  <si>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</si>
  <si>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</si>
  <si>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</si>
  <si>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</si>
  <si>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</si>
  <si>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</si>
  <si>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</si>
  <si>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</si>
  <si>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</si>
  <si>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</si>
  <si>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t>个人非住宅</t>
  </si>
  <si>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</si>
  <si>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</si>
  <si>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</si>
  <si>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</si>
  <si>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</si>
  <si>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</si>
  <si>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</si>
  <si>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</si>
  <si>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</si>
  <si>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r>
      <rPr>
        <sz val="10"/>
        <color theme="1"/>
        <rFont val="楷体_GB2312"/>
        <family val="3"/>
        <charset val="134"/>
      </rPr>
      <t>范围：</t>
    </r>
    <r>
      <rPr>
        <sz val="10"/>
        <color theme="1"/>
        <rFont val="Arial"/>
        <family val="2"/>
      </rPr>
      <t>3%-5%</t>
    </r>
    <phoneticPr fontId="6" type="noConversion"/>
  </si>
  <si>
    <r>
      <rPr>
        <sz val="10"/>
        <color theme="1"/>
        <rFont val="楷体_GB2312"/>
        <family val="3"/>
        <charset val="134"/>
      </rPr>
      <t>范围：</t>
    </r>
    <r>
      <rPr>
        <sz val="10"/>
        <color theme="1"/>
        <rFont val="Arial"/>
        <family val="2"/>
      </rPr>
      <t>0-10%</t>
    </r>
    <phoneticPr fontId="6" type="noConversion"/>
  </si>
  <si>
    <r>
      <rPr>
        <sz val="10"/>
        <color theme="1"/>
        <rFont val="楷体_GB2312"/>
        <family val="3"/>
        <charset val="134"/>
      </rPr>
      <t>变化</t>
    </r>
    <phoneticPr fontId="6" type="noConversion"/>
  </si>
  <si>
    <r>
      <rPr>
        <sz val="10"/>
        <color theme="1"/>
        <rFont val="楷体_GB2312"/>
        <family val="3"/>
        <charset val="134"/>
      </rPr>
      <t>定值：</t>
    </r>
    <r>
      <rPr>
        <sz val="10"/>
        <color theme="1"/>
        <rFont val="Arial"/>
        <family val="2"/>
      </rPr>
      <t>1.5%</t>
    </r>
    <phoneticPr fontId="6" type="noConversion"/>
  </si>
  <si>
    <r>
      <rPr>
        <sz val="10"/>
        <color theme="1"/>
        <rFont val="楷体_GB2312"/>
        <family val="3"/>
        <charset val="134"/>
      </rPr>
      <t>范围：</t>
    </r>
    <r>
      <rPr>
        <sz val="10"/>
        <color theme="1"/>
        <rFont val="Arial"/>
        <family val="2"/>
      </rPr>
      <t>1%-3%</t>
    </r>
    <phoneticPr fontId="6"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</si>
  <si>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6" type="noConversion"/>
  </si>
  <si>
    <r>
      <rPr>
        <sz val="11"/>
        <color theme="1"/>
        <rFont val="楷体_GB2312"/>
        <family val="3"/>
        <charset val="134"/>
      </rPr>
      <t>北京：</t>
    </r>
    <r>
      <rPr>
        <sz val="11"/>
        <color theme="1"/>
        <rFont val="Arial"/>
        <family val="2"/>
      </rPr>
      <t>3%</t>
    </r>
    <phoneticPr fontId="6" type="noConversion"/>
  </si>
  <si>
    <r>
      <rPr>
        <sz val="11"/>
        <color theme="1"/>
        <rFont val="楷体_GB2312"/>
        <family val="3"/>
        <charset val="134"/>
      </rPr>
      <t>北京：</t>
    </r>
    <r>
      <rPr>
        <sz val="11"/>
        <color theme="1"/>
        <rFont val="Arial"/>
        <family val="2"/>
      </rPr>
      <t>2%</t>
    </r>
    <phoneticPr fontId="6" type="noConversion"/>
  </si>
  <si>
    <t>请录依据文件名称：</t>
    <phoneticPr fontId="6" type="noConversion"/>
  </si>
  <si>
    <r>
      <rPr>
        <sz val="11"/>
        <color indexed="8"/>
        <rFont val="楷体_GB2312"/>
        <family val="3"/>
        <charset val="134"/>
      </rPr>
      <t>北京：</t>
    </r>
    <r>
      <rPr>
        <sz val="11"/>
        <color indexed="8"/>
        <rFont val="Arial"/>
        <family val="2"/>
      </rPr>
      <t>3%</t>
    </r>
    <phoneticPr fontId="6" type="noConversion"/>
  </si>
  <si>
    <r>
      <rPr>
        <sz val="11"/>
        <color indexed="8"/>
        <rFont val="楷体_GB2312"/>
        <family val="3"/>
        <charset val="134"/>
      </rPr>
      <t>北京：</t>
    </r>
    <r>
      <rPr>
        <sz val="11"/>
        <color indexed="8"/>
        <rFont val="Arial"/>
        <family val="2"/>
      </rPr>
      <t>0.05%</t>
    </r>
    <phoneticPr fontId="6" type="noConversion"/>
  </si>
  <si>
    <t>北京</t>
    <phoneticPr fontId="6" type="noConversion"/>
  </si>
  <si>
    <t>其他省市请录依据文件名称：</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</si>
  <si>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</si>
  <si>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</si>
  <si>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</si>
  <si>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</si>
  <si>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</si>
  <si>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</si>
  <si>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</si>
  <si>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</si>
  <si>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</si>
  <si>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</si>
  <si>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</si>
  <si>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</si>
  <si>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</si>
  <si>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</si>
  <si>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</si>
  <si>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</si>
  <si>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</si>
  <si>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</si>
  <si>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</si>
  <si>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</si>
  <si>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</si>
  <si>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</si>
  <si>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</si>
  <si>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</si>
  <si>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</si>
  <si>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</si>
  <si>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</si>
  <si>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</si>
  <si>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</si>
  <si>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</si>
  <si>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</si>
  <si>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</si>
  <si>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</si>
  <si>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</si>
  <si>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</si>
  <si>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</si>
  <si>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</si>
  <si>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</si>
  <si>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2017A-006</t>
    <phoneticPr fontId="140" type="noConversion"/>
  </si>
  <si>
    <t>总价</t>
  </si>
  <si>
    <t>万元</t>
  </si>
  <si>
    <t>汇总建筑面积</t>
  </si>
  <si>
    <t>楼面单价</t>
  </si>
  <si>
    <t>估价结果</t>
  </si>
  <si>
    <t>建筑面积</t>
  </si>
  <si>
    <t>基准地价（汇总）</t>
    <phoneticPr fontId="6" type="noConversion"/>
  </si>
  <si>
    <t>本次评估所采用的基准地价系数修正法</t>
    <phoneticPr fontId="236" type="noConversion"/>
  </si>
  <si>
    <t>基准地价</t>
  </si>
  <si>
    <t>土地面积</t>
    <phoneticPr fontId="236" type="noConversion"/>
  </si>
  <si>
    <t>单位面积地价</t>
    <phoneticPr fontId="236" type="noConversion"/>
  </si>
  <si>
    <t>汇总土地面积</t>
    <phoneticPr fontId="236"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</si>
  <si>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</si>
  <si>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</si>
  <si>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</si>
  <si>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</si>
  <si>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</si>
  <si>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</si>
  <si>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地下商业不考虑路线价修正</t>
    <phoneticPr fontId="6" type="noConversion"/>
  </si>
  <si>
    <t>建筑物资本化率</t>
    <phoneticPr fontId="64"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</si>
  <si>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</si>
  <si>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</si>
  <si>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</si>
  <si>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</si>
  <si>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</si>
  <si>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</si>
  <si>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本行不参与计算</t>
    <phoneticPr fontId="2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</si>
  <si>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6"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</si>
  <si>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</si>
  <si>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</si>
  <si>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</si>
  <si>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</si>
  <si>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</si>
  <si>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2018-2</t>
    <phoneticPr fontId="6" type="noConversion"/>
  </si>
  <si>
    <t>2018-1</t>
    <phoneticPr fontId="6" type="noConversion"/>
  </si>
  <si>
    <t>核定资产</t>
  </si>
  <si>
    <t>市场价格</t>
  </si>
  <si>
    <t>平房</t>
  </si>
  <si>
    <t>平房</t>
    <phoneticPr fontId="17" type="noConversion"/>
  </si>
  <si>
    <r>
      <t>2</t>
    </r>
    <r>
      <rPr>
        <sz val="11"/>
        <color theme="1"/>
        <rFont val="宋体"/>
        <family val="3"/>
        <charset val="134"/>
      </rPr>
      <t>层</t>
    </r>
    <phoneticPr fontId="17" type="noConversion"/>
  </si>
  <si>
    <r>
      <t>4</t>
    </r>
    <r>
      <rPr>
        <sz val="11"/>
        <color theme="1"/>
        <rFont val="宋体"/>
        <family val="3"/>
        <charset val="134"/>
      </rPr>
      <t>层</t>
    </r>
    <phoneticPr fontId="17" type="noConversion"/>
  </si>
  <si>
    <r>
      <t>5</t>
    </r>
    <r>
      <rPr>
        <sz val="11"/>
        <color theme="1"/>
        <rFont val="宋体"/>
        <family val="3"/>
        <charset val="134"/>
      </rPr>
      <t>层</t>
    </r>
    <phoneticPr fontId="17" type="noConversion"/>
  </si>
  <si>
    <r>
      <t>3</t>
    </r>
    <r>
      <rPr>
        <sz val="11"/>
        <color theme="1"/>
        <rFont val="宋体"/>
        <family val="3"/>
        <charset val="134"/>
      </rPr>
      <t>层</t>
    </r>
    <phoneticPr fontId="17" type="noConversion"/>
  </si>
  <si>
    <r>
      <t>6</t>
    </r>
    <r>
      <rPr>
        <sz val="11"/>
        <color theme="1"/>
        <rFont val="宋体"/>
        <family val="3"/>
        <charset val="134"/>
      </rPr>
      <t>层</t>
    </r>
    <phoneticPr fontId="17" type="noConversion"/>
  </si>
  <si>
    <t>地上</t>
  </si>
  <si>
    <t>2层</t>
  </si>
  <si>
    <t>3层</t>
  </si>
  <si>
    <t>4层</t>
  </si>
  <si>
    <t>5层</t>
  </si>
  <si>
    <t>6层</t>
  </si>
  <si>
    <t>地下</t>
  </si>
  <si>
    <t>戊类库房</t>
  </si>
  <si>
    <t>平房</t>
    <phoneticPr fontId="10" type="noConversion"/>
  </si>
  <si>
    <t>2层</t>
    <phoneticPr fontId="10" type="noConversion"/>
  </si>
  <si>
    <t>3层</t>
    <phoneticPr fontId="10" type="noConversion"/>
  </si>
  <si>
    <t>4层</t>
    <phoneticPr fontId="10" type="noConversion"/>
  </si>
  <si>
    <r>
      <t>5</t>
    </r>
    <r>
      <rPr>
        <sz val="11"/>
        <color indexed="8"/>
        <rFont val="宋体"/>
        <family val="3"/>
        <charset val="134"/>
      </rPr>
      <t>层</t>
    </r>
    <phoneticPr fontId="10" type="noConversion"/>
  </si>
  <si>
    <r>
      <t>6</t>
    </r>
    <r>
      <rPr>
        <sz val="11"/>
        <color indexed="8"/>
        <rFont val="宋体"/>
        <family val="3"/>
        <charset val="134"/>
      </rPr>
      <t>层</t>
    </r>
    <phoneticPr fontId="10" type="noConversion"/>
  </si>
  <si>
    <t>地下</t>
    <phoneticPr fontId="10" type="noConversion"/>
  </si>
  <si>
    <t>工业用地</t>
  </si>
  <si>
    <t>自定义容积率</t>
  </si>
  <si>
    <t>七通一平</t>
  </si>
  <si>
    <t>一致</t>
  </si>
  <si>
    <t>按公示增长率计算</t>
  </si>
  <si>
    <t>成新度</t>
  </si>
  <si>
    <t>出让</t>
  </si>
  <si>
    <t>容积率修正</t>
  </si>
  <si>
    <t>不动产收益法平</t>
  </si>
  <si>
    <t>不动产收益法平</t>
    <phoneticPr fontId="17" type="noConversion"/>
  </si>
  <si>
    <t>平</t>
    <phoneticPr fontId="6" type="noConversion"/>
  </si>
  <si>
    <r>
      <rPr>
        <sz val="11"/>
        <color theme="1"/>
        <rFont val="宋体"/>
        <family val="3"/>
        <charset val="134"/>
      </rPr>
      <t>不动产收益法</t>
    </r>
    <r>
      <rPr>
        <sz val="11"/>
        <color theme="1"/>
        <rFont val="Arial"/>
        <family val="2"/>
      </rPr>
      <t>2</t>
    </r>
    <phoneticPr fontId="17"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</si>
  <si>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</si>
  <si>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</si>
  <si>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</si>
  <si>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</si>
  <si>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</si>
  <si>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</si>
  <si>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</si>
  <si>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</si>
  <si>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</si>
  <si>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</si>
  <si>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</si>
  <si>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</si>
  <si>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0" type="noConversion"/>
  </si>
  <si>
    <r>
      <rPr>
        <b/>
        <sz val="12"/>
        <color theme="1"/>
        <rFont val="宋体"/>
        <family val="3"/>
        <charset val="134"/>
      </rPr>
      <t>树木种类</t>
    </r>
    <phoneticPr fontId="280" type="noConversion"/>
  </si>
  <si>
    <t>胸径（cm）</t>
    <phoneticPr fontId="280" type="noConversion"/>
  </si>
  <si>
    <t>单价（元）</t>
    <phoneticPr fontId="280" type="noConversion"/>
  </si>
  <si>
    <r>
      <rPr>
        <b/>
        <sz val="12"/>
        <color theme="1"/>
        <rFont val="宋体"/>
        <family val="3"/>
        <charset val="134"/>
      </rPr>
      <t>数量</t>
    </r>
    <phoneticPr fontId="280" type="noConversion"/>
  </si>
  <si>
    <t>总价（元）</t>
    <phoneticPr fontId="280" type="noConversion"/>
  </si>
  <si>
    <r>
      <t>20</t>
    </r>
    <r>
      <rPr>
        <sz val="12"/>
        <color theme="1"/>
        <rFont val="宋体"/>
        <family val="3"/>
        <charset val="134"/>
      </rPr>
      <t>以下</t>
    </r>
    <phoneticPr fontId="280" type="noConversion"/>
  </si>
  <si>
    <r>
      <rPr>
        <sz val="12"/>
        <color theme="1"/>
        <rFont val="宋体"/>
        <family val="3"/>
        <charset val="134"/>
      </rPr>
      <t>柏树</t>
    </r>
    <phoneticPr fontId="280" type="noConversion"/>
  </si>
  <si>
    <t>20-50</t>
    <phoneticPr fontId="280" type="noConversion"/>
  </si>
  <si>
    <r>
      <rPr>
        <sz val="12"/>
        <color theme="1"/>
        <rFont val="宋体"/>
        <family val="3"/>
        <charset val="134"/>
      </rPr>
      <t>椿树</t>
    </r>
    <phoneticPr fontId="280" type="noConversion"/>
  </si>
  <si>
    <r>
      <t>50</t>
    </r>
    <r>
      <rPr>
        <sz val="12"/>
        <color theme="1"/>
        <rFont val="宋体"/>
        <family val="3"/>
        <charset val="134"/>
      </rPr>
      <t>以上</t>
    </r>
    <phoneticPr fontId="280" type="noConversion"/>
  </si>
  <si>
    <r>
      <rPr>
        <sz val="12"/>
        <color theme="1"/>
        <rFont val="宋体"/>
        <family val="3"/>
        <charset val="134"/>
      </rPr>
      <t>海棠树</t>
    </r>
    <phoneticPr fontId="280" type="noConversion"/>
  </si>
  <si>
    <r>
      <rPr>
        <sz val="12"/>
        <color theme="1"/>
        <rFont val="宋体"/>
        <family val="3"/>
        <charset val="134"/>
      </rPr>
      <t>槐树</t>
    </r>
    <phoneticPr fontId="280" type="noConversion"/>
  </si>
  <si>
    <r>
      <rPr>
        <sz val="12"/>
        <color theme="1"/>
        <rFont val="宋体"/>
        <family val="3"/>
        <charset val="134"/>
      </rPr>
      <t>柳树</t>
    </r>
    <phoneticPr fontId="280" type="noConversion"/>
  </si>
  <si>
    <r>
      <rPr>
        <sz val="12"/>
        <color theme="1"/>
        <rFont val="宋体"/>
        <family val="3"/>
        <charset val="134"/>
      </rPr>
      <t>龙抓槐</t>
    </r>
    <phoneticPr fontId="280" type="noConversion"/>
  </si>
  <si>
    <r>
      <rPr>
        <sz val="12"/>
        <color theme="1"/>
        <rFont val="宋体"/>
        <family val="3"/>
        <charset val="134"/>
      </rPr>
      <t>桑树</t>
    </r>
    <phoneticPr fontId="280" type="noConversion"/>
  </si>
  <si>
    <r>
      <rPr>
        <sz val="12"/>
        <color theme="1"/>
        <rFont val="宋体"/>
        <family val="3"/>
        <charset val="134"/>
      </rPr>
      <t>山楂树</t>
    </r>
    <phoneticPr fontId="280" type="noConversion"/>
  </si>
  <si>
    <r>
      <rPr>
        <sz val="12"/>
        <color theme="1"/>
        <rFont val="宋体"/>
        <family val="3"/>
        <charset val="134"/>
      </rPr>
      <t>柿子树</t>
    </r>
    <phoneticPr fontId="280" type="noConversion"/>
  </si>
  <si>
    <r>
      <rPr>
        <sz val="12"/>
        <color theme="1"/>
        <rFont val="宋体"/>
        <family val="3"/>
        <charset val="134"/>
      </rPr>
      <t>松树</t>
    </r>
    <phoneticPr fontId="280" type="noConversion"/>
  </si>
  <si>
    <r>
      <rPr>
        <sz val="12"/>
        <color theme="1"/>
        <rFont val="宋体"/>
        <family val="3"/>
        <charset val="134"/>
      </rPr>
      <t>桃树</t>
    </r>
    <phoneticPr fontId="280" type="noConversion"/>
  </si>
  <si>
    <r>
      <rPr>
        <sz val="12"/>
        <color theme="1"/>
        <rFont val="宋体"/>
        <family val="3"/>
        <charset val="134"/>
      </rPr>
      <t>梧桐树</t>
    </r>
    <phoneticPr fontId="280" type="noConversion"/>
  </si>
  <si>
    <r>
      <rPr>
        <sz val="12"/>
        <color theme="1"/>
        <rFont val="宋体"/>
        <family val="3"/>
        <charset val="134"/>
      </rPr>
      <t>雪松</t>
    </r>
    <phoneticPr fontId="280" type="noConversion"/>
  </si>
  <si>
    <r>
      <rPr>
        <sz val="12"/>
        <color theme="1"/>
        <rFont val="宋体"/>
        <family val="3"/>
        <charset val="134"/>
      </rPr>
      <t>紫藤萝</t>
    </r>
    <phoneticPr fontId="280" type="noConversion"/>
  </si>
  <si>
    <r>
      <rPr>
        <sz val="12"/>
        <color theme="1"/>
        <rFont val="宋体"/>
        <family val="3"/>
        <charset val="134"/>
      </rPr>
      <t>蔟</t>
    </r>
    <phoneticPr fontId="280" type="noConversion"/>
  </si>
  <si>
    <r>
      <rPr>
        <sz val="12"/>
        <color theme="1"/>
        <rFont val="宋体"/>
        <family val="3"/>
        <charset val="134"/>
      </rPr>
      <t>小叶黄杨</t>
    </r>
    <phoneticPr fontId="280" type="noConversion"/>
  </si>
  <si>
    <r>
      <t>1m</t>
    </r>
    <r>
      <rPr>
        <sz val="12"/>
        <color theme="1"/>
        <rFont val="宋体"/>
        <family val="3"/>
        <charset val="134"/>
      </rPr>
      <t>圆</t>
    </r>
    <phoneticPr fontId="280" type="noConversion"/>
  </si>
  <si>
    <r>
      <t>100x1</t>
    </r>
    <r>
      <rPr>
        <sz val="12"/>
        <color theme="1"/>
        <rFont val="宋体"/>
        <family val="3"/>
        <charset val="134"/>
      </rPr>
      <t>㎡</t>
    </r>
    <phoneticPr fontId="280" type="noConversion"/>
  </si>
  <si>
    <r>
      <rPr>
        <sz val="12"/>
        <color theme="1"/>
        <rFont val="宋体"/>
        <family val="3"/>
        <charset val="134"/>
      </rPr>
      <t>杨树</t>
    </r>
    <phoneticPr fontId="280" type="noConversion"/>
  </si>
  <si>
    <r>
      <rPr>
        <sz val="12"/>
        <color theme="1"/>
        <rFont val="宋体"/>
        <family val="3"/>
        <charset val="134"/>
      </rPr>
      <t>银杏树</t>
    </r>
    <phoneticPr fontId="280" type="noConversion"/>
  </si>
  <si>
    <r>
      <rPr>
        <sz val="12"/>
        <color theme="1"/>
        <rFont val="宋体"/>
        <family val="3"/>
        <charset val="134"/>
      </rPr>
      <t>榆树</t>
    </r>
    <phoneticPr fontId="280" type="noConversion"/>
  </si>
  <si>
    <r>
      <rPr>
        <sz val="12"/>
        <color theme="1"/>
        <rFont val="宋体"/>
        <family val="3"/>
        <charset val="134"/>
      </rPr>
      <t>玉兰树</t>
    </r>
    <phoneticPr fontId="280" type="noConversion"/>
  </si>
  <si>
    <r>
      <rPr>
        <sz val="12"/>
        <color theme="1"/>
        <rFont val="宋体"/>
        <family val="3"/>
        <charset val="134"/>
      </rPr>
      <t>紫玉兰</t>
    </r>
    <phoneticPr fontId="280" type="noConversion"/>
  </si>
  <si>
    <t>01-04</t>
    <phoneticPr fontId="236" type="noConversion"/>
  </si>
  <si>
    <t>01-02</t>
    <phoneticPr fontId="236" type="noConversion"/>
  </si>
  <si>
    <t>01-05</t>
    <phoneticPr fontId="236" type="noConversion"/>
  </si>
  <si>
    <t>01-03</t>
    <phoneticPr fontId="236" type="noConversion"/>
  </si>
  <si>
    <t>01-06</t>
    <phoneticPr fontId="236"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</si>
  <si>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</si>
  <si>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</si>
  <si>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</si>
  <si>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6"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</si>
  <si>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</si>
  <si>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</si>
  <si>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6" type="noConversion"/>
  </si>
  <si>
    <r>
      <rPr>
        <sz val="11"/>
        <color theme="1"/>
        <rFont val="宋体"/>
        <family val="3"/>
        <charset val="134"/>
      </rPr>
      <t>平</t>
    </r>
    <phoneticPr fontId="236" type="noConversion"/>
  </si>
  <si>
    <r>
      <rPr>
        <sz val="11"/>
        <color theme="1"/>
        <rFont val="宋体"/>
        <family val="3"/>
        <charset val="134"/>
      </rPr>
      <t>砖木</t>
    </r>
    <phoneticPr fontId="236" type="noConversion"/>
  </si>
  <si>
    <r>
      <rPr>
        <sz val="11"/>
        <color theme="1"/>
        <rFont val="宋体"/>
        <family val="3"/>
        <charset val="134"/>
      </rPr>
      <t>钢混</t>
    </r>
    <phoneticPr fontId="236" type="noConversion"/>
  </si>
  <si>
    <r>
      <rPr>
        <sz val="11"/>
        <color theme="1"/>
        <rFont val="宋体"/>
        <family val="3"/>
        <charset val="134"/>
      </rPr>
      <t>地下室</t>
    </r>
    <phoneticPr fontId="236"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</si>
  <si>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</si>
  <si>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</si>
  <si>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</si>
  <si>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</si>
  <si>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</si>
  <si>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</si>
  <si>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</si>
  <si>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</si>
  <si>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</si>
  <si>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</si>
  <si>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6" type="noConversion"/>
  </si>
  <si>
    <t>办公楼</t>
    <phoneticPr fontId="236" type="noConversion"/>
  </si>
  <si>
    <t>食堂</t>
    <phoneticPr fontId="236" type="noConversion"/>
  </si>
  <si>
    <t>浴室</t>
    <phoneticPr fontId="236" type="noConversion"/>
  </si>
  <si>
    <t>宿舍楼</t>
    <phoneticPr fontId="236" type="noConversion"/>
  </si>
  <si>
    <t>仓库</t>
    <phoneticPr fontId="236" type="noConversion"/>
  </si>
  <si>
    <t>销售办公室</t>
    <phoneticPr fontId="236" type="noConversion"/>
  </si>
  <si>
    <t>小车库</t>
    <phoneticPr fontId="236" type="noConversion"/>
  </si>
  <si>
    <t>休息室</t>
    <phoneticPr fontId="236" type="noConversion"/>
  </si>
  <si>
    <r>
      <rPr>
        <sz val="11"/>
        <color theme="1"/>
        <rFont val="宋体"/>
        <family val="3"/>
        <charset val="134"/>
      </rPr>
      <t>包装</t>
    </r>
    <r>
      <rPr>
        <sz val="11"/>
        <color theme="1"/>
        <rFont val="Arial"/>
        <family val="2"/>
      </rPr>
      <t>+</t>
    </r>
    <r>
      <rPr>
        <sz val="11"/>
        <color theme="1"/>
        <rFont val="宋体"/>
        <family val="3"/>
        <charset val="134"/>
      </rPr>
      <t>酒库</t>
    </r>
    <phoneticPr fontId="236" type="noConversion"/>
  </si>
  <si>
    <t>大车库</t>
    <phoneticPr fontId="236" type="noConversion"/>
  </si>
  <si>
    <t>包材库</t>
    <phoneticPr fontId="236" type="noConversion"/>
  </si>
  <si>
    <t>叉车修理间</t>
    <phoneticPr fontId="236" type="noConversion"/>
  </si>
  <si>
    <t>水泵房</t>
    <phoneticPr fontId="236" type="noConversion"/>
  </si>
  <si>
    <t>配电室</t>
    <phoneticPr fontId="236" type="noConversion"/>
  </si>
  <si>
    <t>发芽</t>
    <phoneticPr fontId="236" type="noConversion"/>
  </si>
  <si>
    <t>空压冷冻</t>
    <phoneticPr fontId="236" type="noConversion"/>
  </si>
  <si>
    <t>加工间</t>
    <phoneticPr fontId="236" type="noConversion"/>
  </si>
  <si>
    <t>工程部</t>
    <phoneticPr fontId="236" type="noConversion"/>
  </si>
  <si>
    <t>卸麦间（铁路）</t>
    <phoneticPr fontId="236" type="noConversion"/>
  </si>
  <si>
    <t>化工库</t>
    <phoneticPr fontId="236" type="noConversion"/>
  </si>
  <si>
    <t>机修车间</t>
    <phoneticPr fontId="236" type="noConversion"/>
  </si>
  <si>
    <t>备件库</t>
    <phoneticPr fontId="236" type="noConversion"/>
  </si>
  <si>
    <t>锅炉房</t>
    <phoneticPr fontId="236" type="noConversion"/>
  </si>
  <si>
    <t>糖化</t>
    <phoneticPr fontId="236" type="noConversion"/>
  </si>
  <si>
    <t>单方重置现价（元）</t>
    <phoneticPr fontId="236" type="noConversion"/>
  </si>
  <si>
    <t>合计</t>
    <phoneticPr fontId="236" type="noConversion"/>
  </si>
  <si>
    <t>白皮松（松）</t>
    <phoneticPr fontId="280"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</si>
  <si>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6"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</si>
  <si>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6" type="noConversion"/>
  </si>
  <si>
    <t>用于生产经营的非住宅房屋的月租金</t>
    <phoneticPr fontId="236" type="noConversion"/>
  </si>
  <si>
    <t>合计</t>
    <phoneticPr fontId="236" type="noConversion"/>
  </si>
  <si>
    <t>合计（万元）</t>
    <phoneticPr fontId="236" type="noConversion"/>
  </si>
  <si>
    <t>天数（天）</t>
    <phoneticPr fontId="236" type="noConversion"/>
  </si>
  <si>
    <t>面积（平方米）</t>
    <phoneticPr fontId="236" type="noConversion"/>
  </si>
  <si>
    <t>日租金（元/平方米）</t>
    <phoneticPr fontId="236" type="noConversion"/>
  </si>
  <si>
    <r>
      <t>2</t>
    </r>
    <r>
      <rPr>
        <sz val="11"/>
        <color theme="1"/>
        <rFont val="宋体"/>
        <family val="3"/>
        <charset val="134"/>
        <scheme val="minor"/>
      </rPr>
      <t>017年净利润</t>
    </r>
    <phoneticPr fontId="236" type="noConversion"/>
  </si>
  <si>
    <t>月净利润</t>
    <phoneticPr fontId="236" type="noConversion"/>
  </si>
  <si>
    <r>
      <t>2</t>
    </r>
    <r>
      <rPr>
        <sz val="11"/>
        <color theme="1"/>
        <rFont val="宋体"/>
        <family val="3"/>
        <charset val="134"/>
        <scheme val="minor"/>
      </rPr>
      <t>018年1-3月净利润</t>
    </r>
    <phoneticPr fontId="236" type="noConversion"/>
  </si>
  <si>
    <t>年度</t>
    <phoneticPr fontId="236" type="noConversion"/>
  </si>
  <si>
    <r>
      <t>1</t>
    </r>
    <r>
      <rPr>
        <sz val="11"/>
        <color theme="1"/>
        <rFont val="宋体"/>
        <family val="3"/>
        <charset val="134"/>
        <scheme val="minor"/>
      </rPr>
      <t>-3月</t>
    </r>
    <phoneticPr fontId="236" type="noConversion"/>
  </si>
  <si>
    <t>月度</t>
    <phoneticPr fontId="236" type="noConversion"/>
  </si>
  <si>
    <t>——</t>
    <phoneticPr fontId="236" type="noConversion"/>
  </si>
  <si>
    <t>修正系数</t>
    <phoneticPr fontId="236" type="noConversion"/>
  </si>
  <si>
    <t>合计（万元）</t>
    <phoneticPr fontId="236" type="noConversion"/>
  </si>
  <si>
    <r>
      <t>前12个月</t>
    </r>
    <r>
      <rPr>
        <sz val="11"/>
        <color theme="1"/>
        <rFont val="宋体"/>
        <family val="3"/>
        <charset val="134"/>
        <scheme val="minor"/>
      </rPr>
      <t>平均净利润</t>
    </r>
    <phoneticPr fontId="236" type="noConversion"/>
  </si>
  <si>
    <t>员工月生活补助</t>
    <phoneticPr fontId="236" type="noConversion"/>
  </si>
  <si>
    <t>人数</t>
    <phoneticPr fontId="236" type="noConversion"/>
  </si>
  <si>
    <t>补偿金额(元/月）</t>
    <phoneticPr fontId="236" type="noConversion"/>
  </si>
  <si>
    <t>停产停业补偿期限</t>
    <phoneticPr fontId="236" type="noConversion"/>
  </si>
  <si>
    <t>期限（月）</t>
    <phoneticPr fontId="236" type="noConversion"/>
  </si>
  <si>
    <t>被征收房屋容积率小于0.5的修正</t>
    <phoneticPr fontId="236" type="noConversion"/>
  </si>
  <si>
    <t>停产停业损失补偿费=（用于生产经营的非住宅房屋的月租金+月净利润×修正系数+员工月生活补助）×停产停业补偿期限</t>
    <phoneticPr fontId="236" type="noConversion"/>
  </si>
  <si>
    <t>搬迁费</t>
    <phoneticPr fontId="236" type="noConversion"/>
  </si>
  <si>
    <t>建筑面积</t>
    <phoneticPr fontId="236" type="noConversion"/>
  </si>
  <si>
    <t>补偿标准（元/平方米）</t>
    <phoneticPr fontId="236" type="noConversion"/>
  </si>
  <si>
    <t>合计（万元）</t>
    <phoneticPr fontId="236" type="noConversion"/>
  </si>
  <si>
    <t>征收补偿安置费</t>
  </si>
  <si>
    <t>停产停业补助费</t>
  </si>
  <si>
    <t>搬迁补助费</t>
  </si>
  <si>
    <t>评估结果一览表</t>
    <phoneticPr fontId="236" type="noConversion"/>
  </si>
  <si>
    <t>序号</t>
    <phoneticPr fontId="236" type="noConversion"/>
  </si>
  <si>
    <t>项目名称</t>
    <phoneticPr fontId="236" type="noConversion"/>
  </si>
  <si>
    <t>附属物</t>
    <phoneticPr fontId="236" type="noConversion"/>
  </si>
  <si>
    <t>建筑物</t>
    <phoneticPr fontId="236" type="noConversion"/>
  </si>
  <si>
    <t>价格（万元）</t>
    <phoneticPr fontId="236" type="noConversion"/>
  </si>
  <si>
    <t>合计</t>
    <phoneticPr fontId="236" type="noConversion"/>
  </si>
  <si>
    <t>项目名称</t>
    <phoneticPr fontId="236" type="noConversion"/>
  </si>
  <si>
    <t>规划用途</t>
    <phoneticPr fontId="236" type="noConversion"/>
  </si>
  <si>
    <t>市政条件</t>
    <phoneticPr fontId="236" type="noConversion"/>
  </si>
  <si>
    <t>卸煤间</t>
    <phoneticPr fontId="236" type="noConversion"/>
  </si>
  <si>
    <t>砖混</t>
    <phoneticPr fontId="236" type="noConversion"/>
  </si>
  <si>
    <t>1</t>
    <phoneticPr fontId="236" type="noConversion"/>
  </si>
  <si>
    <t>3</t>
    <phoneticPr fontId="236" type="noConversion"/>
  </si>
  <si>
    <t>框架</t>
    <phoneticPr fontId="236" type="noConversion"/>
  </si>
  <si>
    <t>营业室</t>
    <phoneticPr fontId="236" type="noConversion"/>
  </si>
  <si>
    <t>瓶箱厕所</t>
    <phoneticPr fontId="236" type="noConversion"/>
  </si>
  <si>
    <t>油库及附属设施</t>
    <phoneticPr fontId="236" type="noConversion"/>
  </si>
  <si>
    <t>钢架瓦楞铁</t>
    <phoneticPr fontId="236" type="noConversion"/>
  </si>
  <si>
    <t>合计</t>
    <phoneticPr fontId="236" type="noConversion"/>
  </si>
  <si>
    <t>污水处理厂</t>
    <phoneticPr fontId="236" type="noConversion"/>
  </si>
  <si>
    <t>砖混</t>
    <phoneticPr fontId="236" type="noConversion"/>
  </si>
  <si>
    <t>1</t>
    <phoneticPr fontId="236" type="noConversion"/>
  </si>
  <si>
    <t>地磅房（中衡）</t>
    <phoneticPr fontId="236" type="noConversion"/>
  </si>
  <si>
    <t>序号</t>
    <phoneticPr fontId="236" type="noConversion"/>
  </si>
  <si>
    <t>日期</t>
    <phoneticPr fontId="236" type="noConversion"/>
  </si>
  <si>
    <t>土地面积</t>
    <phoneticPr fontId="236" type="noConversion"/>
  </si>
  <si>
    <t>土地开发补偿费</t>
    <phoneticPr fontId="236" type="noConversion"/>
  </si>
  <si>
    <t>昌平区北七家镇[中心起步区（海鶄落新村建设）项目一期]HQL-02、04、07、08、12、13、14、16、17、18地块F1住宅混合公建、A33基础教育、U17邮政设施、R2二类居住、F81绿隔产业用地（配建“限价商品住房”）项目</t>
    <phoneticPr fontId="236" type="noConversion"/>
  </si>
  <si>
    <t>单价</t>
    <phoneticPr fontId="236" type="noConversion"/>
  </si>
  <si>
    <t>七通一平</t>
    <phoneticPr fontId="236" type="noConversion"/>
  </si>
  <si>
    <t>坐落</t>
    <phoneticPr fontId="236" type="noConversion"/>
  </si>
  <si>
    <t>翡翠家园</t>
    <phoneticPr fontId="236" type="noConversion"/>
  </si>
  <si>
    <t>国瑞熙墅</t>
    <phoneticPr fontId="236" type="noConversion"/>
  </si>
  <si>
    <t>国瑞熙院</t>
    <phoneticPr fontId="236" type="noConversion"/>
  </si>
  <si>
    <t>昌平区北七家镇GTZ-05-1、GTZ-07、GTZ-09地块（沟自头寸储备开发项目西侧地块）R2二类居住、A33基础教育、B4综合性商业金融服务业用地（配建“限价商品住房”）</t>
    <phoneticPr fontId="236" type="noConversion"/>
  </si>
  <si>
    <t>R2二类居住、B4综合性商业金融服务业用地</t>
    <phoneticPr fontId="236" type="noConversion"/>
  </si>
  <si>
    <t>R2二类居住、A33基础教育、B4综合性商业金融服务业用地</t>
    <phoneticPr fontId="236" type="noConversion"/>
  </si>
  <si>
    <t>F1住宅混合公建、R2二类居住、F81绿隔产业用地</t>
    <phoneticPr fontId="236" type="noConversion"/>
  </si>
  <si>
    <t>未来融尚家园</t>
    <phoneticPr fontId="236"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</si>
  <si>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6" type="noConversion"/>
  </si>
  <si>
    <t>昌平区北七家镇（未来科技城南区）CP07-0600-0049、0062地块F1住宅混合公建用地（配建“人才公共租赁住房”）</t>
    <phoneticPr fontId="236" type="noConversion"/>
  </si>
  <si>
    <t>F1住宅混合公建用地</t>
    <phoneticPr fontId="236" type="noConversion"/>
  </si>
  <si>
    <t>成本逼近法</t>
  </si>
  <si>
    <t>一般</t>
  </si>
  <si>
    <t>较好</t>
  </si>
  <si>
    <t>较差</t>
  </si>
  <si>
    <t>好</t>
  </si>
  <si>
    <t>土地使用权(出让）</t>
    <phoneticPr fontId="236" type="noConversion"/>
  </si>
  <si>
    <t>土地使用权(划拨）</t>
    <phoneticPr fontId="236" type="noConversion"/>
  </si>
  <si>
    <t>有规证</t>
    <phoneticPr fontId="236" type="noConversion"/>
  </si>
  <si>
    <t>01-02</t>
    <phoneticPr fontId="236" type="noConversion"/>
  </si>
  <si>
    <t>易拉罐暂存库</t>
    <phoneticPr fontId="236" type="noConversion"/>
  </si>
  <si>
    <t>彩钢</t>
    <phoneticPr fontId="236" type="noConversion"/>
  </si>
  <si>
    <t>1</t>
    <phoneticPr fontId="236" type="noConversion"/>
  </si>
  <si>
    <t>成品麦芽暂存库</t>
    <phoneticPr fontId="236" type="noConversion"/>
  </si>
  <si>
    <t>酒库大棚</t>
    <phoneticPr fontId="236" type="noConversion"/>
  </si>
  <si>
    <t>钢架</t>
    <phoneticPr fontId="236" type="noConversion"/>
  </si>
  <si>
    <t>1</t>
    <phoneticPr fontId="236" type="noConversion"/>
  </si>
  <si>
    <t>冷冻简易房</t>
    <phoneticPr fontId="236" type="noConversion"/>
  </si>
  <si>
    <t>彩钢</t>
    <phoneticPr fontId="236" type="noConversion"/>
  </si>
  <si>
    <t>易拉罐空罐库</t>
    <phoneticPr fontId="236" type="noConversion"/>
  </si>
  <si>
    <t>易拉罐杀菌机房</t>
    <phoneticPr fontId="236" type="noConversion"/>
  </si>
  <si>
    <t>洗瓶场（棚，未封）</t>
    <phoneticPr fontId="236" type="noConversion"/>
  </si>
  <si>
    <t>扎啤空桶库</t>
    <phoneticPr fontId="236" type="noConversion"/>
  </si>
  <si>
    <t>扎啤车间</t>
    <phoneticPr fontId="236" type="noConversion"/>
  </si>
  <si>
    <t>砖混</t>
    <phoneticPr fontId="236" type="noConversion"/>
  </si>
  <si>
    <t>扎啤成品库</t>
    <phoneticPr fontId="236" type="noConversion"/>
  </si>
  <si>
    <t>5升桶生产车间</t>
    <phoneticPr fontId="236" type="noConversion"/>
  </si>
  <si>
    <t>油库及附属设施</t>
    <phoneticPr fontId="236" type="noConversion"/>
  </si>
  <si>
    <t>销售办公房</t>
    <phoneticPr fontId="236" type="noConversion"/>
  </si>
  <si>
    <t>警队休息室</t>
    <phoneticPr fontId="236" type="noConversion"/>
  </si>
  <si>
    <t>绿化队休息室</t>
    <phoneticPr fontId="236" type="noConversion"/>
  </si>
  <si>
    <t>基建库房</t>
    <phoneticPr fontId="236" type="noConversion"/>
  </si>
  <si>
    <t>西门岗</t>
    <phoneticPr fontId="236" type="noConversion"/>
  </si>
  <si>
    <t>传达室</t>
    <phoneticPr fontId="236" type="noConversion"/>
  </si>
  <si>
    <t>自行车棚（内）</t>
    <phoneticPr fontId="236" type="noConversion"/>
  </si>
  <si>
    <t>扎啤临时库房</t>
    <phoneticPr fontId="236" type="noConversion"/>
  </si>
  <si>
    <t>包材库办公室</t>
    <phoneticPr fontId="236" type="noConversion"/>
  </si>
  <si>
    <t>酒糟干燥车间</t>
    <phoneticPr fontId="236" type="noConversion"/>
  </si>
  <si>
    <t>铁道值班室</t>
    <phoneticPr fontId="236" type="noConversion"/>
  </si>
  <si>
    <t>浴室旁地泵房东</t>
    <phoneticPr fontId="236" type="noConversion"/>
  </si>
  <si>
    <t>浴室旁地泵房西</t>
    <phoneticPr fontId="236" type="noConversion"/>
  </si>
  <si>
    <t>包装休息室</t>
    <phoneticPr fontId="236" type="noConversion"/>
  </si>
  <si>
    <t>硅土压力间</t>
    <phoneticPr fontId="236" type="noConversion"/>
  </si>
  <si>
    <t>销售办公室对面</t>
    <phoneticPr fontId="236" type="noConversion"/>
  </si>
  <si>
    <t>临建</t>
    <phoneticPr fontId="236" type="noConversion"/>
  </si>
  <si>
    <t>没证没规划</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</si>
</sst>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s>
  <cellStyleXfs count="18">
    <xf numFmtId="0" fontId="0" fillId="0" borderId="0">
      <alignment vertical="center"/>
    </xf>
    <xf numFmtId="0" fontId="148" fillId="0" borderId="0">
      <alignment vertical="center"/>
    </xf>
    <xf numFmtId="0" fontId="148" fillId="0" borderId="0">
      <alignment vertical="center"/>
    </xf>
    <xf numFmtId="0" fontId="148" fillId="0" borderId="0">
      <alignment vertical="center"/>
    </xf>
    <xf numFmtId="0" fontId="148" fillId="0" borderId="0"/>
    <xf numFmtId="0" fontId="148" fillId="0" borderId="0">
      <alignment vertical="center"/>
    </xf>
    <xf numFmtId="0" fontId="35" fillId="0" borderId="0"/>
    <xf numFmtId="0" fontId="148" fillId="0" borderId="0">
      <alignment vertical="center"/>
    </xf>
    <xf numFmtId="0" fontId="148" fillId="0" borderId="0"/>
    <xf numFmtId="0" fontId="148" fillId="0" borderId="0">
      <alignment vertical="center"/>
    </xf>
    <xf numFmtId="0" fontId="5" fillId="0" borderId="0">
      <alignment vertical="center"/>
    </xf>
    <xf numFmtId="9" fontId="35" fillId="0" borderId="0" applyFont="0" applyFill="0" applyBorder="0" applyAlignment="0" applyProtection="0">
      <alignment vertical="center"/>
    </xf>
    <xf numFmtId="0" fontId="148" fillId="0" borderId="0">
      <alignment vertical="center"/>
    </xf>
    <xf numFmtId="0" fontId="4" fillId="0" borderId="0">
      <alignment vertical="center"/>
    </xf>
    <xf numFmtId="0" fontId="264" fillId="0" borderId="0"/>
    <xf numFmtId="0" fontId="3" fillId="0" borderId="0">
      <alignment vertical="center"/>
    </xf>
    <xf numFmtId="0" fontId="283" fillId="0" borderId="0" applyNumberFormat="0" applyFill="0" applyBorder="0" applyAlignment="0" applyProtection="0">
      <alignment vertical="center"/>
    </xf>
    <xf numFmtId="0" fontId="2" fillId="0" borderId="0">
      <alignment vertical="center"/>
    </xf>
  </cellStyleXfs>
  <cellXfs count="3567">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5" borderId="3" xfId="0" applyFont="1" applyFill="1" applyBorder="1" applyAlignment="1" applyProtection="1">
      <alignment horizontal="center" vertical="center" wrapText="1"/>
    </xf>
    <xf numFmtId="0" fontId="152" fillId="5" borderId="0" xfId="0" applyFont="1" applyFill="1" applyAlignment="1" applyProtection="1">
      <alignment horizontal="center" vertical="center" wrapText="1"/>
    </xf>
    <xf numFmtId="0" fontId="77" fillId="5" borderId="0" xfId="0" applyNumberFormat="1" applyFont="1" applyFill="1" applyBorder="1" applyAlignment="1" applyProtection="1">
      <alignment horizontal="center" vertical="center" wrapText="1"/>
    </xf>
    <xf numFmtId="0" fontId="152" fillId="0" borderId="2" xfId="0" applyFont="1" applyBorder="1" applyAlignment="1" applyProtection="1">
      <alignment horizontal="center" vertical="center"/>
      <protection locked="0"/>
    </xf>
    <xf numFmtId="0" fontId="152" fillId="5" borderId="0" xfId="0" applyFont="1" applyFill="1" applyAlignment="1" applyProtection="1">
      <alignment horizontal="center" vertical="center"/>
    </xf>
    <xf numFmtId="0" fontId="152" fillId="0" borderId="0" xfId="0" applyFont="1" applyAlignment="1" applyProtection="1">
      <alignment horizontal="center" vertical="center"/>
      <protection locked="0"/>
    </xf>
    <xf numFmtId="0" fontId="152" fillId="5" borderId="0" xfId="0" applyFont="1" applyFill="1" applyProtection="1">
      <alignment vertical="center"/>
    </xf>
    <xf numFmtId="0" fontId="79" fillId="0" borderId="2" xfId="0" applyFont="1" applyBorder="1" applyAlignment="1" applyProtection="1">
      <alignment horizontal="center" vertical="center" wrapText="1"/>
      <protection locked="0"/>
    </xf>
    <xf numFmtId="0" fontId="153" fillId="5" borderId="0" xfId="0" applyFont="1" applyFill="1" applyAlignment="1" applyProtection="1">
      <alignment horizontal="left" vertical="center"/>
    </xf>
    <xf numFmtId="0" fontId="74" fillId="5" borderId="0" xfId="0" applyFont="1" applyFill="1" applyAlignment="1" applyProtection="1">
      <alignment horizontal="center" vertical="center" wrapText="1"/>
    </xf>
    <xf numFmtId="0" fontId="74" fillId="0" borderId="0" xfId="0" applyFont="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9" fillId="5" borderId="2" xfId="0" applyFont="1" applyFill="1" applyBorder="1" applyAlignment="1" applyProtection="1">
      <alignment horizontal="center" vertical="center" wrapText="1"/>
    </xf>
    <xf numFmtId="0" fontId="79" fillId="0" borderId="0" xfId="0" applyFont="1" applyAlignment="1" applyProtection="1">
      <alignment horizontal="center" vertical="center" wrapText="1"/>
      <protection locked="0"/>
    </xf>
    <xf numFmtId="0" fontId="154" fillId="5" borderId="0" xfId="0" applyFont="1" applyFill="1" applyAlignment="1" applyProtection="1">
      <alignment horizontal="left" vertical="center"/>
    </xf>
    <xf numFmtId="0" fontId="79" fillId="5" borderId="4" xfId="0" applyFont="1" applyFill="1" applyBorder="1" applyAlignment="1" applyProtection="1">
      <alignment horizontal="center" vertical="center" wrapText="1"/>
    </xf>
    <xf numFmtId="179" fontId="79" fillId="0" borderId="2" xfId="0" applyNumberFormat="1" applyFont="1" applyBorder="1" applyAlignment="1" applyProtection="1">
      <alignment horizontal="center" vertical="center" wrapText="1"/>
      <protection locked="0"/>
    </xf>
    <xf numFmtId="179" fontId="155" fillId="5" borderId="2"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center" vertical="center" wrapText="1"/>
      <protection locked="0"/>
    </xf>
    <xf numFmtId="0" fontId="79" fillId="3" borderId="5"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0" fontId="79" fillId="5" borderId="5" xfId="0" applyFont="1" applyFill="1" applyBorder="1" applyAlignment="1" applyProtection="1">
      <alignment horizontal="left" vertical="center"/>
    </xf>
    <xf numFmtId="176" fontId="79" fillId="5" borderId="2" xfId="0" applyNumberFormat="1"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176" fontId="79" fillId="5" borderId="6" xfId="0" applyNumberFormat="1" applyFont="1" applyFill="1" applyBorder="1" applyAlignment="1" applyProtection="1">
      <alignment horizontal="center" vertical="center" wrapText="1"/>
    </xf>
    <xf numFmtId="176" fontId="79" fillId="5" borderId="7" xfId="0" applyNumberFormat="1" applyFont="1" applyFill="1" applyBorder="1" applyAlignment="1" applyProtection="1">
      <alignment horizontal="center" vertical="center" wrapText="1"/>
    </xf>
    <xf numFmtId="176" fontId="79" fillId="5" borderId="8" xfId="0" applyNumberFormat="1" applyFont="1" applyFill="1" applyBorder="1" applyAlignment="1" applyProtection="1">
      <alignment horizontal="center" vertical="center" wrapText="1"/>
    </xf>
    <xf numFmtId="176" fontId="79" fillId="5" borderId="9" xfId="0" applyNumberFormat="1" applyFont="1" applyFill="1" applyBorder="1" applyAlignment="1" applyProtection="1">
      <alignment horizontal="center" vertical="center" wrapText="1"/>
    </xf>
    <xf numFmtId="176" fontId="79" fillId="5" borderId="10" xfId="0" applyNumberFormat="1" applyFont="1" applyFill="1" applyBorder="1" applyAlignment="1" applyProtection="1">
      <alignment horizontal="center" vertical="center" wrapText="1"/>
    </xf>
    <xf numFmtId="176" fontId="79" fillId="5" borderId="5" xfId="0" applyNumberFormat="1" applyFont="1" applyFill="1" applyBorder="1" applyAlignment="1" applyProtection="1">
      <alignment horizontal="center" vertical="center" wrapText="1"/>
    </xf>
    <xf numFmtId="176" fontId="79" fillId="5" borderId="11" xfId="0" applyNumberFormat="1" applyFont="1" applyFill="1" applyBorder="1" applyAlignment="1" applyProtection="1">
      <alignment horizontal="center" vertical="center" wrapText="1"/>
    </xf>
    <xf numFmtId="176" fontId="79" fillId="5" borderId="12" xfId="0" applyNumberFormat="1" applyFont="1" applyFill="1" applyBorder="1" applyAlignment="1" applyProtection="1">
      <alignment horizontal="center" vertical="center" wrapText="1"/>
    </xf>
    <xf numFmtId="176" fontId="79" fillId="0" borderId="0" xfId="0" applyNumberFormat="1" applyFont="1" applyAlignment="1" applyProtection="1">
      <alignment horizontal="center" vertical="center" wrapText="1"/>
      <protection locked="0"/>
    </xf>
    <xf numFmtId="0" fontId="79" fillId="5" borderId="13" xfId="0" applyFont="1" applyFill="1" applyBorder="1" applyAlignment="1" applyProtection="1">
      <alignment horizontal="center" vertical="center" wrapText="1"/>
    </xf>
    <xf numFmtId="0" fontId="79" fillId="5" borderId="4" xfId="0" applyFont="1" applyFill="1" applyBorder="1" applyAlignment="1" applyProtection="1">
      <alignment horizontal="left" vertical="center"/>
    </xf>
    <xf numFmtId="0" fontId="79" fillId="5" borderId="14"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4" xfId="0" applyFont="1" applyFill="1" applyBorder="1" applyAlignment="1" applyProtection="1">
      <alignment horizontal="center" vertical="center"/>
    </xf>
    <xf numFmtId="0" fontId="79" fillId="5" borderId="15"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179" fontId="79" fillId="5" borderId="5" xfId="0" applyNumberFormat="1" applyFont="1" applyFill="1" applyBorder="1" applyAlignment="1" applyProtection="1">
      <alignment horizontal="left" vertical="center"/>
    </xf>
    <xf numFmtId="0" fontId="82" fillId="5" borderId="8" xfId="0" applyFont="1" applyFill="1" applyBorder="1" applyAlignment="1" applyProtection="1">
      <alignment horizontal="center" vertical="center"/>
    </xf>
    <xf numFmtId="179" fontId="79" fillId="5" borderId="8" xfId="0" applyNumberFormat="1" applyFont="1" applyFill="1" applyBorder="1" applyAlignment="1" applyProtection="1">
      <alignment horizontal="center" vertical="center"/>
    </xf>
    <xf numFmtId="179" fontId="79" fillId="5" borderId="9" xfId="0" applyNumberFormat="1" applyFont="1" applyFill="1" applyBorder="1" applyAlignment="1" applyProtection="1">
      <alignment horizontal="center" vertical="center"/>
    </xf>
    <xf numFmtId="0" fontId="79" fillId="5" borderId="8" xfId="0" applyFont="1" applyFill="1" applyBorder="1" applyAlignment="1" applyProtection="1">
      <alignment horizontal="left" vertical="center"/>
    </xf>
    <xf numFmtId="0" fontId="82" fillId="5" borderId="14"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16" xfId="0" applyFont="1" applyFill="1" applyBorder="1" applyAlignment="1" applyProtection="1">
      <alignment horizontal="center" vertical="center"/>
    </xf>
    <xf numFmtId="0" fontId="79" fillId="0" borderId="0" xfId="0" applyFont="1" applyAlignment="1" applyProtection="1">
      <alignment horizontal="center" vertical="center"/>
      <protection locked="0"/>
    </xf>
    <xf numFmtId="179" fontId="79" fillId="5" borderId="0" xfId="0" applyNumberFormat="1" applyFont="1" applyFill="1" applyBorder="1" applyAlignment="1" applyProtection="1">
      <alignment horizontal="center" vertical="center"/>
    </xf>
    <xf numFmtId="0" fontId="79" fillId="2" borderId="17" xfId="0" applyFont="1" applyFill="1" applyBorder="1" applyAlignment="1" applyProtection="1">
      <alignment horizontal="left" vertical="center"/>
      <protection locked="0"/>
    </xf>
    <xf numFmtId="0" fontId="82" fillId="5" borderId="8" xfId="0" applyFont="1" applyFill="1" applyBorder="1" applyAlignment="1" applyProtection="1">
      <alignment horizontal="left" vertical="center"/>
    </xf>
    <xf numFmtId="0" fontId="79" fillId="5" borderId="9" xfId="0" applyFont="1" applyFill="1" applyBorder="1" applyAlignment="1" applyProtection="1">
      <alignment horizontal="left" vertical="center"/>
    </xf>
    <xf numFmtId="0" fontId="79" fillId="5" borderId="18" xfId="0" applyFont="1" applyFill="1" applyBorder="1" applyAlignment="1" applyProtection="1">
      <alignment horizontal="center" vertical="center"/>
    </xf>
    <xf numFmtId="179" fontId="79" fillId="5" borderId="17" xfId="0" applyNumberFormat="1" applyFont="1" applyFill="1" applyBorder="1" applyAlignment="1" applyProtection="1">
      <alignment horizontal="center" vertical="center"/>
    </xf>
    <xf numFmtId="0" fontId="82" fillId="5" borderId="19" xfId="0" applyFont="1" applyFill="1" applyBorder="1" applyAlignment="1" applyProtection="1">
      <alignment horizontal="center" vertical="center"/>
    </xf>
    <xf numFmtId="179" fontId="79" fillId="5" borderId="20" xfId="0" applyNumberFormat="1" applyFont="1" applyFill="1" applyBorder="1" applyAlignment="1" applyProtection="1">
      <alignment horizontal="center" vertical="center"/>
    </xf>
    <xf numFmtId="0" fontId="79" fillId="2" borderId="5" xfId="0" applyFont="1" applyFill="1" applyBorder="1" applyAlignment="1" applyProtection="1">
      <alignment horizontal="left" vertical="center"/>
      <protection locked="0"/>
    </xf>
    <xf numFmtId="179" fontId="79" fillId="5" borderId="18" xfId="0" applyNumberFormat="1"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79" fillId="2" borderId="8" xfId="0" applyFont="1" applyFill="1" applyBorder="1" applyAlignment="1" applyProtection="1">
      <alignment horizontal="left" vertical="center"/>
      <protection locked="0"/>
    </xf>
    <xf numFmtId="0" fontId="82" fillId="5" borderId="9" xfId="0" applyFont="1" applyFill="1" applyBorder="1" applyAlignment="1" applyProtection="1">
      <alignment horizontal="left" vertical="center"/>
    </xf>
    <xf numFmtId="0" fontId="79" fillId="5" borderId="17" xfId="0"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179" fontId="79" fillId="5" borderId="20" xfId="0" applyNumberFormat="1" applyFont="1" applyFill="1" applyBorder="1" applyAlignment="1" applyProtection="1">
      <alignment horizontal="center" vertical="center" wrapText="1"/>
    </xf>
    <xf numFmtId="179" fontId="79" fillId="5" borderId="21" xfId="0" applyNumberFormat="1" applyFont="1" applyFill="1" applyBorder="1" applyAlignment="1" applyProtection="1">
      <alignment horizontal="center" vertical="center" wrapText="1"/>
    </xf>
    <xf numFmtId="179" fontId="79" fillId="5" borderId="17" xfId="0" applyNumberFormat="1"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179" fontId="79" fillId="5" borderId="2" xfId="0" applyNumberFormat="1" applyFont="1" applyFill="1" applyBorder="1" applyAlignment="1" applyProtection="1">
      <alignment horizontal="center" vertical="center"/>
    </xf>
    <xf numFmtId="0" fontId="79" fillId="2" borderId="21" xfId="0" applyFont="1" applyFill="1" applyBorder="1" applyAlignment="1" applyProtection="1">
      <alignment horizontal="center" vertical="center" wrapText="1"/>
      <protection locked="0"/>
    </xf>
    <xf numFmtId="176" fontId="79" fillId="0" borderId="21" xfId="0" applyNumberFormat="1" applyFont="1" applyFill="1" applyBorder="1" applyAlignment="1" applyProtection="1">
      <alignment horizontal="center" vertical="center" wrapText="1"/>
      <protection locked="0"/>
    </xf>
    <xf numFmtId="176" fontId="79" fillId="5" borderId="21" xfId="0" applyNumberFormat="1" applyFont="1" applyFill="1" applyBorder="1" applyAlignment="1" applyProtection="1">
      <alignment horizontal="center" vertical="center" wrapText="1"/>
    </xf>
    <xf numFmtId="176" fontId="79" fillId="0" borderId="2" xfId="0" applyNumberFormat="1" applyFont="1" applyBorder="1" applyAlignment="1" applyProtection="1">
      <alignment vertical="center" wrapText="1"/>
      <protection locked="0"/>
    </xf>
    <xf numFmtId="0" fontId="74" fillId="0" borderId="2"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6" borderId="21" xfId="0" applyFont="1" applyFill="1" applyBorder="1" applyAlignment="1" applyProtection="1">
      <alignment horizontal="center" vertical="center" wrapText="1"/>
      <protection locked="0"/>
    </xf>
    <xf numFmtId="176" fontId="74" fillId="5" borderId="2" xfId="0" applyNumberFormat="1" applyFont="1" applyFill="1" applyBorder="1" applyAlignment="1" applyProtection="1">
      <alignment horizontal="center" vertical="center" wrapText="1"/>
    </xf>
    <xf numFmtId="176" fontId="74" fillId="0" borderId="21" xfId="0" applyNumberFormat="1" applyFont="1" applyFill="1" applyBorder="1" applyAlignment="1" applyProtection="1">
      <alignment horizontal="center" vertical="center" wrapText="1"/>
      <protection locked="0"/>
    </xf>
    <xf numFmtId="176" fontId="74" fillId="5" borderId="21" xfId="0" applyNumberFormat="1" applyFont="1" applyFill="1" applyBorder="1" applyAlignment="1" applyProtection="1">
      <alignment horizontal="center" vertical="center" wrapText="1"/>
    </xf>
    <xf numFmtId="176" fontId="74" fillId="5" borderId="10" xfId="0" applyNumberFormat="1" applyFont="1" applyFill="1" applyBorder="1" applyAlignment="1" applyProtection="1">
      <alignment horizontal="center" vertical="center" wrapText="1"/>
    </xf>
    <xf numFmtId="176" fontId="74" fillId="0" borderId="2" xfId="0" applyNumberFormat="1" applyFont="1" applyBorder="1" applyAlignment="1" applyProtection="1">
      <alignment vertical="center" wrapText="1"/>
      <protection locked="0"/>
    </xf>
    <xf numFmtId="176" fontId="74" fillId="0" borderId="2" xfId="0" applyNumberFormat="1" applyFont="1" applyBorder="1" applyAlignment="1" applyProtection="1">
      <alignment horizontal="center" vertical="center" wrapText="1"/>
      <protection locked="0"/>
    </xf>
    <xf numFmtId="176" fontId="74" fillId="0" borderId="21" xfId="0" applyNumberFormat="1"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74" fillId="5" borderId="9" xfId="0" applyFont="1" applyFill="1" applyBorder="1" applyAlignment="1" applyProtection="1">
      <alignment horizontal="center" vertical="center" wrapText="1"/>
    </xf>
    <xf numFmtId="176" fontId="74" fillId="5" borderId="12" xfId="0" applyNumberFormat="1" applyFont="1" applyFill="1" applyBorder="1" applyAlignment="1" applyProtection="1">
      <alignment horizontal="center" vertical="center" wrapText="1"/>
    </xf>
    <xf numFmtId="176" fontId="74" fillId="0" borderId="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vertical="center" wrapText="1"/>
      <protection locked="0"/>
    </xf>
    <xf numFmtId="0" fontId="74" fillId="0" borderId="5"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176" fontId="74" fillId="0" borderId="0" xfId="0" applyNumberFormat="1" applyFont="1" applyFill="1" applyBorder="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horizontal="center" vertical="center"/>
      <protection locked="0"/>
    </xf>
    <xf numFmtId="0" fontId="153" fillId="5" borderId="0" xfId="0" applyFont="1" applyFill="1" applyProtection="1">
      <alignment vertical="center"/>
    </xf>
    <xf numFmtId="0" fontId="74" fillId="5" borderId="0" xfId="0" applyFont="1" applyFill="1" applyProtection="1">
      <alignment vertical="center"/>
    </xf>
    <xf numFmtId="176" fontId="86" fillId="5" borderId="2" xfId="2" applyNumberFormat="1" applyFont="1" applyFill="1" applyBorder="1" applyAlignment="1" applyProtection="1">
      <alignment horizontal="center" vertical="center"/>
    </xf>
    <xf numFmtId="0" fontId="78" fillId="5" borderId="10" xfId="0" applyFont="1" applyFill="1" applyBorder="1" applyAlignment="1" applyProtection="1">
      <alignment vertical="center"/>
    </xf>
    <xf numFmtId="0" fontId="78" fillId="5" borderId="6" xfId="0" applyFont="1" applyFill="1" applyBorder="1" applyAlignment="1" applyProtection="1">
      <alignment horizontal="center" vertical="center"/>
    </xf>
    <xf numFmtId="176" fontId="86" fillId="5" borderId="7" xfId="2" applyNumberFormat="1" applyFont="1" applyFill="1" applyBorder="1" applyAlignment="1" applyProtection="1">
      <alignment horizontal="center" vertical="center"/>
    </xf>
    <xf numFmtId="0" fontId="74" fillId="5" borderId="22" xfId="0" applyFont="1" applyFill="1" applyBorder="1" applyAlignment="1" applyProtection="1">
      <alignment vertical="center"/>
    </xf>
    <xf numFmtId="0" fontId="74" fillId="5" borderId="2" xfId="0" applyFont="1" applyFill="1" applyBorder="1" applyAlignment="1" applyProtection="1">
      <alignment vertical="center"/>
    </xf>
    <xf numFmtId="176" fontId="74" fillId="5" borderId="12" xfId="0" applyNumberFormat="1" applyFont="1" applyFill="1" applyBorder="1" applyAlignment="1" applyProtection="1">
      <alignment vertical="center"/>
    </xf>
    <xf numFmtId="0" fontId="74" fillId="5" borderId="23" xfId="0" applyFont="1" applyFill="1" applyBorder="1" applyAlignment="1" applyProtection="1">
      <alignment vertical="center"/>
    </xf>
    <xf numFmtId="176" fontId="78" fillId="5" borderId="7"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12" xfId="0" applyFont="1" applyFill="1" applyBorder="1" applyAlignment="1" applyProtection="1">
      <alignment vertical="center"/>
    </xf>
    <xf numFmtId="0" fontId="74" fillId="5" borderId="24" xfId="0" applyFont="1" applyFill="1" applyBorder="1" applyAlignment="1" applyProtection="1">
      <alignment vertical="center"/>
    </xf>
    <xf numFmtId="0" fontId="74" fillId="5" borderId="3" xfId="0" applyFont="1" applyFill="1" applyBorder="1" applyAlignment="1" applyProtection="1">
      <alignment vertical="center"/>
    </xf>
    <xf numFmtId="0" fontId="74" fillId="0" borderId="12" xfId="0" applyFont="1" applyFill="1" applyBorder="1" applyAlignment="1" applyProtection="1">
      <alignment vertical="center"/>
      <protection locked="0"/>
    </xf>
    <xf numFmtId="0" fontId="74" fillId="5" borderId="25" xfId="0" applyFont="1" applyFill="1" applyBorder="1" applyAlignment="1" applyProtection="1">
      <alignment vertical="center"/>
    </xf>
    <xf numFmtId="0" fontId="74" fillId="5" borderId="26" xfId="0" applyFont="1" applyFill="1" applyBorder="1" applyAlignment="1" applyProtection="1">
      <alignment vertical="center"/>
    </xf>
    <xf numFmtId="0" fontId="74" fillId="5" borderId="27" xfId="0" applyFont="1" applyFill="1" applyBorder="1" applyProtection="1">
      <alignment vertical="center"/>
    </xf>
    <xf numFmtId="0" fontId="74" fillId="5" borderId="28" xfId="0" applyFont="1" applyFill="1" applyBorder="1" applyAlignment="1" applyProtection="1">
      <alignment vertical="center"/>
    </xf>
    <xf numFmtId="176" fontId="86" fillId="5" borderId="29" xfId="2" applyNumberFormat="1" applyFont="1" applyFill="1" applyBorder="1" applyAlignment="1" applyProtection="1">
      <alignment horizontal="center" vertical="center"/>
    </xf>
    <xf numFmtId="176" fontId="86" fillId="5" borderId="30" xfId="2" applyNumberFormat="1" applyFont="1" applyFill="1" applyBorder="1" applyAlignment="1" applyProtection="1">
      <alignment horizontal="center" vertical="center"/>
    </xf>
    <xf numFmtId="0" fontId="78" fillId="5" borderId="5"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21" xfId="0" applyFont="1" applyFill="1" applyBorder="1" applyAlignment="1" applyProtection="1">
      <alignment vertical="center"/>
    </xf>
    <xf numFmtId="0" fontId="74" fillId="5" borderId="0" xfId="0" applyFont="1" applyFill="1" applyBorder="1" applyAlignment="1" applyProtection="1">
      <alignment vertical="center"/>
    </xf>
    <xf numFmtId="176" fontId="87" fillId="5" borderId="2" xfId="2"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179" fontId="74" fillId="5" borderId="2" xfId="0" applyNumberFormat="1" applyFont="1" applyFill="1" applyBorder="1" applyAlignment="1" applyProtection="1">
      <alignment horizontal="center" vertical="center"/>
    </xf>
    <xf numFmtId="0" fontId="74" fillId="5" borderId="31" xfId="0" applyFont="1" applyFill="1" applyBorder="1" applyProtection="1">
      <alignment vertical="center"/>
    </xf>
    <xf numFmtId="176" fontId="74" fillId="5" borderId="2" xfId="0" applyNumberFormat="1" applyFont="1" applyFill="1" applyBorder="1" applyAlignment="1" applyProtection="1">
      <alignment vertical="center"/>
    </xf>
    <xf numFmtId="0" fontId="79" fillId="3" borderId="9" xfId="0" applyFont="1" applyFill="1" applyBorder="1" applyProtection="1">
      <alignment vertical="center"/>
      <protection locked="0"/>
    </xf>
    <xf numFmtId="0" fontId="74" fillId="5" borderId="9" xfId="0" applyFont="1" applyFill="1" applyBorder="1" applyAlignment="1" applyProtection="1">
      <alignment vertical="center"/>
    </xf>
    <xf numFmtId="0" fontId="79" fillId="0" borderId="2" xfId="0" applyFont="1" applyBorder="1" applyAlignment="1" applyProtection="1">
      <alignment horizontal="center" vertical="center"/>
      <protection locked="0"/>
    </xf>
    <xf numFmtId="0" fontId="74" fillId="5" borderId="31" xfId="0" applyFont="1" applyFill="1" applyBorder="1" applyAlignment="1" applyProtection="1">
      <alignment vertical="center"/>
    </xf>
    <xf numFmtId="177" fontId="74" fillId="0" borderId="2" xfId="2" applyNumberFormat="1" applyFont="1" applyFill="1" applyBorder="1" applyAlignment="1" applyProtection="1">
      <alignment vertical="center"/>
      <protection locked="0"/>
    </xf>
    <xf numFmtId="0" fontId="74" fillId="3" borderId="32" xfId="0" applyFont="1" applyFill="1" applyBorder="1" applyProtection="1">
      <alignment vertical="center"/>
      <protection locked="0"/>
    </xf>
    <xf numFmtId="0" fontId="74" fillId="0" borderId="2" xfId="0" applyFont="1" applyBorder="1" applyAlignment="1" applyProtection="1">
      <alignment horizontal="center" vertical="center"/>
      <protection locked="0"/>
    </xf>
    <xf numFmtId="177" fontId="74" fillId="0" borderId="9" xfId="2" applyNumberFormat="1" applyFont="1" applyFill="1" applyBorder="1" applyAlignment="1" applyProtection="1">
      <alignment vertical="center"/>
      <protection locked="0"/>
    </xf>
    <xf numFmtId="176" fontId="74" fillId="5" borderId="2" xfId="0" applyNumberFormat="1" applyFont="1" applyFill="1" applyBorder="1" applyAlignment="1" applyProtection="1">
      <alignment horizontal="center" vertical="center"/>
    </xf>
    <xf numFmtId="0" fontId="74" fillId="5" borderId="9" xfId="0" applyFont="1" applyFill="1" applyBorder="1" applyProtection="1">
      <alignment vertical="center"/>
    </xf>
    <xf numFmtId="0" fontId="74" fillId="5" borderId="16" xfId="0" applyFont="1" applyFill="1" applyBorder="1" applyProtection="1">
      <alignment vertical="center"/>
    </xf>
    <xf numFmtId="0" fontId="74" fillId="5" borderId="25" xfId="0" applyFont="1" applyFill="1" applyBorder="1" applyProtection="1">
      <alignment vertical="center"/>
    </xf>
    <xf numFmtId="0" fontId="74" fillId="5" borderId="32" xfId="0" applyFont="1" applyFill="1" applyBorder="1" applyAlignment="1" applyProtection="1">
      <alignment horizontal="left" vertical="center"/>
    </xf>
    <xf numFmtId="0" fontId="153" fillId="5" borderId="0" xfId="0" applyFont="1" applyFill="1" applyAlignment="1" applyProtection="1">
      <alignment vertical="center" wrapText="1"/>
    </xf>
    <xf numFmtId="0" fontId="78" fillId="5" borderId="33" xfId="0" applyFont="1" applyFill="1" applyBorder="1" applyAlignment="1" applyProtection="1">
      <alignment vertical="center" wrapText="1"/>
    </xf>
    <xf numFmtId="0" fontId="78" fillId="5" borderId="35" xfId="0" applyFont="1" applyFill="1" applyBorder="1" applyAlignment="1" applyProtection="1">
      <alignment vertical="center" wrapText="1"/>
    </xf>
    <xf numFmtId="0" fontId="74" fillId="5" borderId="4" xfId="0" applyFont="1" applyFill="1" applyBorder="1" applyAlignment="1" applyProtection="1">
      <alignment horizontal="center" vertical="center"/>
    </xf>
    <xf numFmtId="0" fontId="74" fillId="5" borderId="36" xfId="0" applyFont="1" applyFill="1" applyBorder="1" applyAlignment="1" applyProtection="1">
      <alignment vertical="center"/>
    </xf>
    <xf numFmtId="0" fontId="74" fillId="5" borderId="37" xfId="0" applyFont="1" applyFill="1" applyBorder="1" applyAlignment="1" applyProtection="1">
      <alignment vertical="center"/>
    </xf>
    <xf numFmtId="0" fontId="74" fillId="5" borderId="38" xfId="0" applyFont="1" applyFill="1" applyBorder="1" applyAlignment="1" applyProtection="1">
      <alignment vertical="center"/>
    </xf>
    <xf numFmtId="0" fontId="74" fillId="5" borderId="39" xfId="0" applyFont="1" applyFill="1" applyBorder="1" applyAlignment="1" applyProtection="1">
      <alignment vertical="center"/>
    </xf>
    <xf numFmtId="0" fontId="74" fillId="5" borderId="6" xfId="2" applyFont="1" applyFill="1" applyBorder="1" applyAlignment="1" applyProtection="1">
      <alignment vertical="center" wrapText="1"/>
    </xf>
    <xf numFmtId="0" fontId="74" fillId="5" borderId="29" xfId="2" applyFont="1" applyFill="1" applyBorder="1" applyAlignment="1" applyProtection="1">
      <alignment vertical="center" wrapText="1"/>
    </xf>
    <xf numFmtId="180" fontId="87" fillId="5" borderId="1" xfId="2" applyNumberFormat="1"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179" fontId="74" fillId="5" borderId="6" xfId="0" applyNumberFormat="1" applyFont="1" applyFill="1" applyBorder="1" applyAlignment="1" applyProtection="1">
      <alignment horizontal="center" vertical="center" wrapText="1"/>
    </xf>
    <xf numFmtId="0" fontId="152" fillId="5" borderId="7" xfId="0" applyFont="1" applyFill="1" applyBorder="1" applyAlignment="1" applyProtection="1">
      <alignment horizontal="center" vertical="center" wrapText="1"/>
    </xf>
    <xf numFmtId="177" fontId="74" fillId="5" borderId="1" xfId="2" applyNumberFormat="1" applyFont="1" applyFill="1" applyBorder="1" applyAlignment="1" applyProtection="1">
      <alignment horizontal="center" vertical="center" wrapText="1"/>
    </xf>
    <xf numFmtId="0" fontId="74" fillId="5" borderId="6" xfId="2" applyFont="1" applyFill="1" applyBorder="1" applyAlignment="1" applyProtection="1">
      <alignment horizontal="center" vertical="center" wrapText="1"/>
    </xf>
    <xf numFmtId="179" fontId="74" fillId="5" borderId="6" xfId="2" applyNumberFormat="1" applyFont="1" applyFill="1" applyBorder="1" applyAlignment="1" applyProtection="1">
      <alignment horizontal="center" vertical="center" wrapText="1"/>
    </xf>
    <xf numFmtId="0" fontId="74" fillId="5" borderId="29" xfId="2" applyFont="1" applyFill="1" applyBorder="1" applyAlignment="1" applyProtection="1">
      <alignment horizontal="center" vertical="center" wrapText="1"/>
    </xf>
    <xf numFmtId="0" fontId="74" fillId="5" borderId="40" xfId="0" applyFont="1" applyFill="1" applyBorder="1" applyAlignment="1" applyProtection="1">
      <alignment horizontal="center" vertical="center" wrapText="1"/>
    </xf>
    <xf numFmtId="0" fontId="74" fillId="5" borderId="1" xfId="2" applyFont="1" applyFill="1" applyBorder="1" applyAlignment="1" applyProtection="1">
      <alignment horizontal="center" vertical="center" wrapText="1"/>
    </xf>
    <xf numFmtId="0" fontId="74" fillId="5" borderId="41" xfId="2"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74" fillId="5" borderId="7" xfId="0" applyFont="1" applyFill="1" applyBorder="1" applyAlignment="1" applyProtection="1">
      <alignment horizontal="center" vertical="center" wrapText="1"/>
    </xf>
    <xf numFmtId="0" fontId="74" fillId="5" borderId="42" xfId="0" applyFont="1" applyFill="1" applyBorder="1" applyAlignment="1" applyProtection="1">
      <alignment horizontal="center" vertical="center" wrapText="1"/>
    </xf>
    <xf numFmtId="0" fontId="74" fillId="5" borderId="29" xfId="0" applyFont="1" applyFill="1" applyBorder="1" applyAlignment="1" applyProtection="1">
      <alignment horizontal="center" vertical="center" wrapText="1"/>
    </xf>
    <xf numFmtId="177" fontId="74" fillId="2" borderId="5" xfId="2" applyNumberFormat="1" applyFont="1" applyFill="1" applyBorder="1" applyAlignment="1" applyProtection="1">
      <alignment vertical="center"/>
      <protection locked="0"/>
    </xf>
    <xf numFmtId="179" fontId="87" fillId="5" borderId="2" xfId="2" applyNumberFormat="1" applyFont="1" applyFill="1" applyBorder="1" applyAlignment="1" applyProtection="1">
      <alignment horizontal="center" vertical="center"/>
    </xf>
    <xf numFmtId="180" fontId="87" fillId="5" borderId="2" xfId="2" applyNumberFormat="1" applyFont="1" applyFill="1" applyBorder="1" applyAlignment="1" applyProtection="1">
      <alignment horizontal="center" vertical="center"/>
    </xf>
    <xf numFmtId="181" fontId="74" fillId="0" borderId="2" xfId="0" applyNumberFormat="1" applyFont="1" applyFill="1" applyBorder="1" applyAlignment="1" applyProtection="1">
      <alignment horizontal="center" vertical="center"/>
      <protection locked="0"/>
    </xf>
    <xf numFmtId="0" fontId="74" fillId="5" borderId="2" xfId="2" applyNumberFormat="1" applyFont="1" applyFill="1" applyBorder="1" applyAlignment="1" applyProtection="1">
      <alignment horizontal="center" vertical="center"/>
    </xf>
    <xf numFmtId="0" fontId="74" fillId="5" borderId="5" xfId="0" applyNumberFormat="1" applyFont="1" applyFill="1" applyBorder="1" applyAlignment="1" applyProtection="1">
      <alignment horizontal="center" vertical="center"/>
    </xf>
    <xf numFmtId="179" fontId="74" fillId="5" borderId="11" xfId="2" applyNumberFormat="1" applyFont="1" applyFill="1" applyBorder="1" applyAlignment="1" applyProtection="1">
      <alignment horizontal="center" vertical="center"/>
    </xf>
    <xf numFmtId="0" fontId="74" fillId="0" borderId="11" xfId="0" applyFont="1" applyBorder="1" applyAlignment="1" applyProtection="1">
      <alignment vertical="center"/>
      <protection locked="0"/>
    </xf>
    <xf numFmtId="181" fontId="74" fillId="0" borderId="2" xfId="0" applyNumberFormat="1" applyFont="1" applyBorder="1" applyAlignment="1" applyProtection="1">
      <alignment vertical="center"/>
      <protection locked="0"/>
    </xf>
    <xf numFmtId="181" fontId="74" fillId="0" borderId="12" xfId="0" applyNumberFormat="1" applyFont="1" applyBorder="1" applyAlignment="1" applyProtection="1">
      <alignment vertical="center"/>
      <protection locked="0"/>
    </xf>
    <xf numFmtId="0" fontId="74" fillId="0" borderId="9" xfId="0" applyFont="1" applyBorder="1" applyAlignment="1" applyProtection="1">
      <alignment vertical="center"/>
      <protection locked="0"/>
    </xf>
    <xf numFmtId="181" fontId="74" fillId="0" borderId="5" xfId="0" applyNumberFormat="1" applyFont="1" applyBorder="1" applyAlignment="1" applyProtection="1">
      <alignment vertical="center"/>
      <protection locked="0"/>
    </xf>
    <xf numFmtId="0" fontId="74" fillId="0" borderId="11"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0" fontId="74" fillId="0" borderId="2" xfId="0"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protection locked="0"/>
    </xf>
    <xf numFmtId="182" fontId="74" fillId="0" borderId="2" xfId="0" applyNumberFormat="1" applyFont="1" applyBorder="1" applyAlignment="1" applyProtection="1">
      <alignment horizontal="center" vertical="center"/>
      <protection locked="0"/>
    </xf>
    <xf numFmtId="0" fontId="79" fillId="6" borderId="9" xfId="0"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77"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0" fontId="74" fillId="0" borderId="9" xfId="0" applyFont="1" applyBorder="1" applyAlignment="1" applyProtection="1">
      <alignment horizontal="center" vertical="center"/>
      <protection locked="0"/>
    </xf>
    <xf numFmtId="10" fontId="74" fillId="0" borderId="2" xfId="0" applyNumberFormat="1" applyFont="1" applyFill="1" applyBorder="1" applyAlignment="1" applyProtection="1">
      <alignment horizontal="center" vertical="center"/>
      <protection locked="0"/>
    </xf>
    <xf numFmtId="182" fontId="74" fillId="0" borderId="2" xfId="0" applyNumberFormat="1" applyFont="1" applyFill="1" applyBorder="1" applyAlignment="1" applyProtection="1">
      <alignment horizontal="center" vertical="center"/>
      <protection locked="0"/>
    </xf>
    <xf numFmtId="0" fontId="78" fillId="5" borderId="43" xfId="2" applyFont="1" applyFill="1" applyBorder="1" applyAlignment="1" applyProtection="1">
      <alignment vertical="center" wrapText="1"/>
    </xf>
    <xf numFmtId="0" fontId="78" fillId="5" borderId="44" xfId="2" applyFont="1" applyFill="1" applyBorder="1" applyAlignment="1" applyProtection="1">
      <alignment vertical="center"/>
    </xf>
    <xf numFmtId="0" fontId="78" fillId="5" borderId="45" xfId="2" applyFont="1" applyFill="1" applyBorder="1" applyAlignment="1" applyProtection="1">
      <alignment vertical="center"/>
    </xf>
    <xf numFmtId="0" fontId="78" fillId="5" borderId="43" xfId="2" applyFont="1" applyFill="1" applyBorder="1" applyAlignment="1" applyProtection="1">
      <alignment vertical="center"/>
    </xf>
    <xf numFmtId="0" fontId="78" fillId="5" borderId="44" xfId="2" applyFont="1" applyFill="1" applyBorder="1" applyAlignment="1" applyProtection="1">
      <alignment horizontal="center" vertical="center"/>
    </xf>
    <xf numFmtId="181" fontId="78" fillId="5" borderId="44" xfId="2" applyNumberFormat="1" applyFont="1" applyFill="1" applyBorder="1" applyAlignment="1" applyProtection="1">
      <alignment vertical="center"/>
    </xf>
    <xf numFmtId="0" fontId="78" fillId="5" borderId="46" xfId="2" applyFont="1" applyFill="1" applyBorder="1" applyAlignment="1" applyProtection="1">
      <alignment vertical="center"/>
    </xf>
    <xf numFmtId="176" fontId="74" fillId="5" borderId="43" xfId="0" applyNumberFormat="1" applyFont="1" applyFill="1" applyBorder="1" applyAlignment="1" applyProtection="1">
      <alignment horizontal="center" vertical="center"/>
    </xf>
    <xf numFmtId="0" fontId="74" fillId="5" borderId="44" xfId="2" applyNumberFormat="1" applyFont="1" applyFill="1" applyBorder="1" applyAlignment="1" applyProtection="1">
      <alignment horizontal="center" vertical="center"/>
    </xf>
    <xf numFmtId="10" fontId="74" fillId="5" borderId="44" xfId="2" applyNumberFormat="1" applyFont="1" applyFill="1" applyBorder="1" applyAlignment="1" applyProtection="1">
      <alignment horizontal="center" vertical="center"/>
    </xf>
    <xf numFmtId="9" fontId="74" fillId="5" borderId="45" xfId="0" applyNumberFormat="1" applyFont="1" applyFill="1" applyBorder="1" applyAlignment="1" applyProtection="1">
      <alignment horizontal="center" vertical="center"/>
    </xf>
    <xf numFmtId="179" fontId="74" fillId="5" borderId="47" xfId="2" applyNumberFormat="1" applyFont="1" applyFill="1" applyBorder="1" applyAlignment="1" applyProtection="1">
      <alignment horizontal="center" vertical="center"/>
    </xf>
    <xf numFmtId="0" fontId="74" fillId="5" borderId="48" xfId="2" applyNumberFormat="1" applyFont="1" applyFill="1" applyBorder="1" applyAlignment="1" applyProtection="1">
      <alignment horizontal="center" vertical="center"/>
    </xf>
    <xf numFmtId="0" fontId="74" fillId="5" borderId="43" xfId="0" applyFont="1" applyFill="1" applyBorder="1" applyAlignment="1" applyProtection="1">
      <alignment vertical="center"/>
    </xf>
    <xf numFmtId="0" fontId="74" fillId="5" borderId="44" xfId="0" applyFont="1" applyFill="1" applyBorder="1" applyAlignment="1" applyProtection="1">
      <alignment vertical="center"/>
    </xf>
    <xf numFmtId="0" fontId="74" fillId="5" borderId="46" xfId="0" applyFont="1" applyFill="1" applyBorder="1" applyAlignment="1" applyProtection="1">
      <alignment vertical="center"/>
    </xf>
    <xf numFmtId="0" fontId="74" fillId="5" borderId="47" xfId="0" applyFont="1" applyFill="1" applyBorder="1" applyAlignment="1" applyProtection="1">
      <alignment vertical="center"/>
    </xf>
    <xf numFmtId="0" fontId="74" fillId="5" borderId="45" xfId="0" applyFont="1" applyFill="1" applyBorder="1" applyAlignment="1" applyProtection="1">
      <alignment vertical="center"/>
    </xf>
    <xf numFmtId="0" fontId="88" fillId="0" borderId="0" xfId="0" applyFont="1" applyAlignment="1" applyProtection="1">
      <alignment vertical="center" wrapText="1"/>
      <protection locked="0"/>
    </xf>
    <xf numFmtId="176" fontId="87" fillId="5" borderId="1" xfId="2" applyNumberFormat="1" applyFont="1" applyFill="1" applyBorder="1" applyAlignment="1" applyProtection="1">
      <alignment vertical="center" wrapText="1"/>
    </xf>
    <xf numFmtId="176" fontId="87" fillId="0" borderId="7" xfId="2" applyNumberFormat="1" applyFont="1" applyFill="1" applyBorder="1" applyAlignment="1" applyProtection="1">
      <alignment horizontal="center" vertical="center"/>
      <protection locked="0"/>
    </xf>
    <xf numFmtId="176" fontId="87" fillId="5" borderId="11" xfId="2" applyNumberFormat="1" applyFont="1" applyFill="1" applyBorder="1" applyAlignment="1" applyProtection="1">
      <alignment vertical="center" wrapText="1"/>
    </xf>
    <xf numFmtId="176" fontId="74" fillId="0" borderId="12" xfId="2" applyNumberFormat="1" applyFont="1" applyFill="1" applyBorder="1" applyAlignment="1" applyProtection="1">
      <alignment horizontal="center" vertical="center"/>
      <protection locked="0"/>
    </xf>
    <xf numFmtId="176" fontId="74" fillId="5" borderId="11" xfId="2" applyNumberFormat="1" applyFont="1" applyFill="1" applyBorder="1" applyAlignment="1" applyProtection="1">
      <alignment vertical="center" wrapText="1"/>
    </xf>
    <xf numFmtId="176" fontId="87" fillId="5" borderId="12" xfId="2" applyNumberFormat="1" applyFont="1" applyFill="1" applyBorder="1" applyAlignment="1" applyProtection="1">
      <alignment horizontal="center" vertical="center"/>
    </xf>
    <xf numFmtId="176" fontId="87" fillId="5" borderId="43" xfId="2" applyNumberFormat="1" applyFont="1" applyFill="1" applyBorder="1" applyAlignment="1" applyProtection="1">
      <alignment vertical="center" wrapText="1"/>
    </xf>
    <xf numFmtId="176" fontId="87" fillId="5" borderId="46" xfId="2" applyNumberFormat="1" applyFont="1" applyFill="1" applyBorder="1" applyAlignment="1" applyProtection="1">
      <alignment horizontal="center" vertical="center"/>
    </xf>
    <xf numFmtId="0" fontId="74" fillId="5" borderId="49" xfId="0" applyFont="1" applyFill="1" applyBorder="1" applyAlignment="1" applyProtection="1">
      <alignment horizontal="center" vertical="center"/>
    </xf>
    <xf numFmtId="0" fontId="74" fillId="5" borderId="1" xfId="0" applyFont="1" applyFill="1" applyBorder="1" applyAlignment="1" applyProtection="1">
      <alignment vertical="center" wrapText="1"/>
    </xf>
    <xf numFmtId="0" fontId="89" fillId="0" borderId="7" xfId="2" applyNumberFormat="1" applyFont="1" applyFill="1" applyBorder="1" applyAlignment="1" applyProtection="1">
      <alignment horizontal="center" vertical="center"/>
      <protection locked="0"/>
    </xf>
    <xf numFmtId="0" fontId="74" fillId="5" borderId="11" xfId="0" applyFont="1" applyFill="1" applyBorder="1" applyAlignment="1" applyProtection="1">
      <alignment vertical="center" wrapText="1"/>
    </xf>
    <xf numFmtId="0" fontId="89" fillId="0" borderId="12" xfId="2"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vertical="center"/>
    </xf>
    <xf numFmtId="0" fontId="74" fillId="5" borderId="43" xfId="0" applyFont="1" applyFill="1" applyBorder="1" applyAlignment="1" applyProtection="1">
      <alignment vertical="center" wrapText="1"/>
    </xf>
    <xf numFmtId="0" fontId="89" fillId="0" borderId="46" xfId="2" applyNumberFormat="1" applyFont="1" applyFill="1" applyBorder="1" applyAlignment="1" applyProtection="1">
      <alignment horizontal="center" vertical="center"/>
      <protection locked="0"/>
    </xf>
    <xf numFmtId="181" fontId="79" fillId="0" borderId="12" xfId="0" applyNumberFormat="1" applyFont="1" applyFill="1" applyBorder="1" applyAlignment="1" applyProtection="1">
      <alignment horizontal="center" vertical="center"/>
      <protection locked="0"/>
    </xf>
    <xf numFmtId="181" fontId="79" fillId="0" borderId="46" xfId="0" applyNumberFormat="1" applyFont="1" applyFill="1" applyBorder="1" applyAlignment="1" applyProtection="1">
      <alignment horizontal="center" vertical="center"/>
      <protection locked="0"/>
    </xf>
    <xf numFmtId="0" fontId="74" fillId="5" borderId="50" xfId="0" applyFont="1" applyFill="1" applyBorder="1" applyAlignment="1" applyProtection="1">
      <alignment vertical="center" wrapText="1"/>
    </xf>
    <xf numFmtId="181" fontId="79" fillId="0" borderId="51" xfId="0" applyNumberFormat="1" applyFont="1" applyFill="1" applyBorder="1" applyAlignment="1" applyProtection="1">
      <alignment horizontal="center" vertical="center"/>
      <protection locked="0"/>
    </xf>
    <xf numFmtId="0" fontId="74" fillId="5" borderId="22" xfId="0" applyFont="1" applyFill="1" applyBorder="1" applyAlignment="1" applyProtection="1">
      <alignment vertical="center" wrapText="1"/>
    </xf>
    <xf numFmtId="10" fontId="74" fillId="5" borderId="7" xfId="0" applyNumberFormat="1" applyFont="1" applyFill="1" applyBorder="1" applyAlignment="1" applyProtection="1">
      <alignment horizontal="center" vertical="center"/>
    </xf>
    <xf numFmtId="0" fontId="74" fillId="5" borderId="22" xfId="0" applyFont="1" applyFill="1" applyBorder="1" applyAlignment="1" applyProtection="1">
      <alignment horizontal="right" vertical="center" wrapText="1"/>
    </xf>
    <xf numFmtId="10" fontId="74" fillId="0" borderId="25" xfId="0" applyNumberFormat="1" applyFont="1" applyFill="1" applyBorder="1" applyAlignment="1" applyProtection="1">
      <alignment horizontal="center" vertical="center"/>
      <protection locked="0"/>
    </xf>
    <xf numFmtId="182" fontId="74" fillId="5" borderId="25" xfId="0" applyNumberFormat="1" applyFont="1" applyFill="1" applyBorder="1" applyAlignment="1" applyProtection="1">
      <alignment horizontal="center" vertical="center"/>
    </xf>
    <xf numFmtId="10" fontId="74" fillId="2" borderId="25" xfId="0" applyNumberFormat="1" applyFont="1" applyFill="1" applyBorder="1" applyAlignment="1" applyProtection="1">
      <alignment horizontal="center" vertical="center"/>
      <protection locked="0"/>
    </xf>
    <xf numFmtId="0" fontId="74" fillId="5" borderId="43" xfId="0" applyFont="1" applyFill="1" applyBorder="1" applyAlignment="1" applyProtection="1">
      <alignment horizontal="right" vertical="center" wrapText="1"/>
    </xf>
    <xf numFmtId="10" fontId="74" fillId="0" borderId="46" xfId="0" applyNumberFormat="1" applyFont="1" applyFill="1" applyBorder="1" applyAlignment="1" applyProtection="1">
      <alignment horizontal="center" vertical="center"/>
      <protection locked="0"/>
    </xf>
    <xf numFmtId="0" fontId="74" fillId="5" borderId="24" xfId="0" applyFont="1" applyFill="1" applyBorder="1" applyAlignment="1" applyProtection="1">
      <alignment vertical="center" wrapText="1"/>
    </xf>
    <xf numFmtId="10" fontId="74" fillId="0" borderId="52" xfId="0" applyNumberFormat="1" applyFont="1" applyFill="1" applyBorder="1" applyAlignment="1" applyProtection="1">
      <alignment horizontal="center" vertical="center"/>
      <protection locked="0"/>
    </xf>
    <xf numFmtId="0" fontId="74" fillId="5" borderId="53" xfId="0" applyFont="1" applyFill="1" applyBorder="1" applyAlignment="1" applyProtection="1">
      <alignment vertical="center" wrapText="1"/>
    </xf>
    <xf numFmtId="10" fontId="74" fillId="5" borderId="41" xfId="0" applyNumberFormat="1" applyFont="1" applyFill="1" applyBorder="1" applyAlignment="1" applyProtection="1">
      <alignment horizontal="center" vertical="center"/>
    </xf>
    <xf numFmtId="10" fontId="74" fillId="5" borderId="46" xfId="0" applyNumberFormat="1" applyFont="1" applyFill="1" applyBorder="1" applyAlignment="1" applyProtection="1">
      <alignment horizontal="center" vertical="center"/>
    </xf>
    <xf numFmtId="178" fontId="74" fillId="5" borderId="41"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protection locked="0"/>
    </xf>
    <xf numFmtId="0" fontId="74" fillId="0" borderId="46" xfId="0" applyFont="1" applyBorder="1" applyAlignment="1" applyProtection="1">
      <alignment vertical="center"/>
      <protection locked="0"/>
    </xf>
    <xf numFmtId="0" fontId="79" fillId="0" borderId="0" xfId="0" applyFont="1" applyAlignment="1" applyProtection="1">
      <alignment vertical="center" wrapText="1"/>
      <protection locked="0"/>
    </xf>
    <xf numFmtId="0" fontId="74" fillId="5" borderId="7" xfId="0" applyNumberFormat="1" applyFont="1" applyFill="1" applyBorder="1" applyAlignment="1" applyProtection="1">
      <alignment horizontal="center" vertical="center" wrapText="1"/>
    </xf>
    <xf numFmtId="0" fontId="74" fillId="5" borderId="12" xfId="0" applyNumberFormat="1" applyFont="1" applyFill="1" applyBorder="1" applyAlignment="1" applyProtection="1">
      <alignment horizontal="center" vertical="center" wrapText="1"/>
    </xf>
    <xf numFmtId="0" fontId="74" fillId="5" borderId="46" xfId="0" applyNumberFormat="1" applyFont="1" applyFill="1" applyBorder="1" applyAlignment="1" applyProtection="1">
      <alignment horizontal="center" vertical="center" wrapText="1"/>
    </xf>
    <xf numFmtId="0" fontId="79" fillId="0" borderId="0" xfId="0" applyFont="1" applyProtection="1">
      <alignment vertical="center"/>
      <protection locked="0"/>
    </xf>
    <xf numFmtId="0" fontId="74" fillId="5" borderId="10" xfId="0" applyFont="1" applyFill="1" applyBorder="1" applyAlignment="1" applyProtection="1">
      <alignment vertical="center" wrapText="1"/>
    </xf>
    <xf numFmtId="0" fontId="74" fillId="5" borderId="10" xfId="0" applyFont="1" applyFill="1" applyBorder="1" applyAlignment="1" applyProtection="1">
      <alignment horizontal="center" vertical="center" wrapText="1"/>
    </xf>
    <xf numFmtId="0" fontId="152" fillId="2" borderId="10" xfId="0" applyFont="1" applyFill="1" applyBorder="1" applyAlignment="1" applyProtection="1">
      <alignment horizontal="center" vertical="center"/>
      <protection locked="0"/>
    </xf>
    <xf numFmtId="0" fontId="79"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 xfId="0" applyFont="1" applyFill="1" applyBorder="1" applyAlignment="1" applyProtection="1">
      <alignment vertical="center" wrapText="1"/>
    </xf>
    <xf numFmtId="0" fontId="78" fillId="5" borderId="5" xfId="0" applyFont="1" applyFill="1" applyBorder="1" applyAlignment="1" applyProtection="1">
      <alignment horizontal="right" vertical="center"/>
    </xf>
    <xf numFmtId="0" fontId="74" fillId="5" borderId="21" xfId="0" applyFont="1" applyFill="1" applyBorder="1" applyAlignment="1" applyProtection="1">
      <alignment horizontal="center" vertical="center"/>
    </xf>
    <xf numFmtId="0" fontId="78" fillId="5" borderId="13" xfId="0" applyFont="1" applyFill="1" applyBorder="1" applyAlignment="1" applyProtection="1">
      <alignment horizontal="right" vertical="center"/>
    </xf>
    <xf numFmtId="179" fontId="74" fillId="5" borderId="10" xfId="0" applyNumberFormat="1" applyFont="1" applyFill="1" applyBorder="1" applyAlignment="1" applyProtection="1">
      <alignment horizontal="center" vertical="center"/>
    </xf>
    <xf numFmtId="0" fontId="78" fillId="5" borderId="26" xfId="0" applyFont="1" applyFill="1" applyBorder="1" applyAlignment="1" applyProtection="1">
      <alignment vertical="center"/>
    </xf>
    <xf numFmtId="0" fontId="74" fillId="5" borderId="6" xfId="0" applyFont="1" applyFill="1" applyBorder="1" applyAlignment="1" applyProtection="1">
      <alignment vertical="center"/>
    </xf>
    <xf numFmtId="0" fontId="152" fillId="5" borderId="6" xfId="0" applyFont="1" applyFill="1" applyBorder="1" applyAlignment="1" applyProtection="1">
      <alignment horizontal="center" vertical="center"/>
    </xf>
    <xf numFmtId="0" fontId="152" fillId="5" borderId="29" xfId="0" applyFont="1" applyFill="1" applyBorder="1" applyAlignment="1" applyProtection="1">
      <alignment horizontal="center" vertical="center"/>
    </xf>
    <xf numFmtId="0" fontId="74" fillId="5" borderId="40" xfId="0" applyFont="1" applyFill="1" applyBorder="1" applyAlignment="1" applyProtection="1">
      <alignment horizontal="right" vertical="center"/>
    </xf>
    <xf numFmtId="0" fontId="79" fillId="5" borderId="39" xfId="0" applyFont="1" applyFill="1" applyBorder="1" applyAlignment="1" applyProtection="1">
      <alignment vertical="center"/>
    </xf>
    <xf numFmtId="0" fontId="78" fillId="5" borderId="31" xfId="0" applyFont="1" applyFill="1" applyBorder="1" applyAlignment="1" applyProtection="1">
      <alignment vertical="center"/>
    </xf>
    <xf numFmtId="0" fontId="74" fillId="5" borderId="2" xfId="0" applyFont="1" applyFill="1" applyBorder="1" applyProtection="1">
      <alignment vertical="center"/>
    </xf>
    <xf numFmtId="0" fontId="152" fillId="5" borderId="2" xfId="0" applyFont="1" applyFill="1" applyBorder="1" applyAlignment="1" applyProtection="1">
      <alignment horizontal="center" vertical="center"/>
    </xf>
    <xf numFmtId="0" fontId="152" fillId="5" borderId="5" xfId="0" applyFont="1" applyFill="1" applyBorder="1" applyAlignment="1" applyProtection="1">
      <alignment horizontal="center" vertical="center"/>
    </xf>
    <xf numFmtId="0" fontId="74" fillId="5" borderId="5" xfId="0" applyFont="1" applyFill="1" applyBorder="1" applyAlignment="1" applyProtection="1">
      <alignment horizontal="right" vertical="center"/>
    </xf>
    <xf numFmtId="0" fontId="79" fillId="5" borderId="16" xfId="0" applyFont="1" applyFill="1" applyBorder="1" applyAlignment="1" applyProtection="1">
      <alignment vertical="center"/>
    </xf>
    <xf numFmtId="0" fontId="74" fillId="5" borderId="10" xfId="0" applyFont="1" applyFill="1" applyBorder="1" applyProtection="1">
      <alignment vertical="center"/>
    </xf>
    <xf numFmtId="0" fontId="74" fillId="5" borderId="10" xfId="0" applyFont="1" applyFill="1" applyBorder="1" applyAlignment="1" applyProtection="1">
      <alignment horizontal="center" vertical="center"/>
    </xf>
    <xf numFmtId="0" fontId="74" fillId="5" borderId="8" xfId="0" applyFont="1" applyFill="1" applyBorder="1" applyAlignment="1" applyProtection="1">
      <alignment horizontal="right" vertical="center"/>
    </xf>
    <xf numFmtId="181" fontId="91" fillId="5" borderId="8" xfId="0" applyNumberFormat="1" applyFont="1" applyFill="1" applyBorder="1" applyAlignment="1" applyProtection="1">
      <alignment horizontal="center" vertical="center"/>
    </xf>
    <xf numFmtId="0" fontId="78" fillId="5" borderId="54" xfId="0" applyFont="1" applyFill="1" applyBorder="1" applyAlignment="1" applyProtection="1">
      <alignment vertical="center"/>
    </xf>
    <xf numFmtId="0" fontId="74" fillId="5" borderId="55" xfId="0" applyFont="1" applyFill="1" applyBorder="1" applyProtection="1">
      <alignment vertical="center"/>
    </xf>
    <xf numFmtId="0" fontId="79" fillId="5" borderId="56" xfId="0" applyFont="1" applyFill="1" applyBorder="1" applyAlignment="1" applyProtection="1">
      <alignment horizontal="right" vertical="center"/>
    </xf>
    <xf numFmtId="0" fontId="79" fillId="5" borderId="48" xfId="0" applyFont="1" applyFill="1" applyBorder="1" applyAlignment="1" applyProtection="1">
      <alignment horizontal="left"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16" xfId="0" applyFont="1" applyFill="1" applyBorder="1" applyAlignment="1" applyProtection="1">
      <alignment horizontal="center" vertical="center"/>
    </xf>
    <xf numFmtId="0" fontId="79" fillId="0" borderId="0" xfId="0" applyFont="1" applyFill="1" applyProtection="1">
      <alignment vertical="center"/>
      <protection locked="0"/>
    </xf>
    <xf numFmtId="0" fontId="156" fillId="0" borderId="11" xfId="0" applyFont="1" applyBorder="1" applyAlignment="1" applyProtection="1">
      <alignment horizontal="center" vertical="center"/>
      <protection locked="0"/>
    </xf>
    <xf numFmtId="0" fontId="156" fillId="0" borderId="2" xfId="0" applyFont="1" applyFill="1" applyBorder="1" applyAlignment="1" applyProtection="1">
      <alignment horizontal="center" vertical="center"/>
      <protection locked="0"/>
    </xf>
    <xf numFmtId="0" fontId="156" fillId="0" borderId="12" xfId="0" applyFont="1" applyFill="1" applyBorder="1" applyAlignment="1" applyProtection="1">
      <alignment horizontal="center" vertical="center"/>
      <protection locked="0"/>
    </xf>
    <xf numFmtId="0" fontId="74" fillId="5" borderId="42" xfId="0" applyFont="1" applyFill="1" applyBorder="1" applyAlignment="1" applyProtection="1">
      <alignment horizontal="left" vertical="center"/>
    </xf>
    <xf numFmtId="0" fontId="78" fillId="0" borderId="7" xfId="0" applyFont="1" applyFill="1" applyBorder="1" applyAlignment="1" applyProtection="1">
      <alignment horizontal="center" vertical="center"/>
      <protection locked="0"/>
    </xf>
    <xf numFmtId="0" fontId="92" fillId="5" borderId="31" xfId="0" applyFont="1" applyFill="1" applyBorder="1" applyAlignment="1" applyProtection="1">
      <alignment vertical="center"/>
    </xf>
    <xf numFmtId="0" fontId="78" fillId="0" borderId="12" xfId="0" applyFont="1" applyFill="1" applyBorder="1" applyAlignment="1" applyProtection="1">
      <alignment horizontal="center" vertical="center"/>
      <protection locked="0"/>
    </xf>
    <xf numFmtId="0" fontId="93" fillId="5" borderId="31" xfId="0" applyFont="1" applyFill="1" applyBorder="1" applyAlignment="1" applyProtection="1">
      <alignment horizontal="right" vertical="center"/>
    </xf>
    <xf numFmtId="0" fontId="74" fillId="5" borderId="47" xfId="0" applyFont="1" applyFill="1" applyBorder="1" applyAlignment="1" applyProtection="1">
      <alignment horizontal="left" vertical="center"/>
    </xf>
    <xf numFmtId="0" fontId="79" fillId="5" borderId="14" xfId="0" applyFont="1" applyFill="1" applyBorder="1" applyAlignment="1" applyProtection="1">
      <alignment horizontal="right" vertical="center"/>
    </xf>
    <xf numFmtId="0" fontId="78" fillId="5" borderId="35" xfId="0" applyFont="1" applyFill="1" applyBorder="1" applyAlignment="1" applyProtection="1">
      <alignment vertical="center"/>
    </xf>
    <xf numFmtId="0" fontId="156" fillId="0" borderId="1"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protection locked="0"/>
    </xf>
    <xf numFmtId="0" fontId="156" fillId="0" borderId="11" xfId="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protection locked="0"/>
    </xf>
    <xf numFmtId="0" fontId="156" fillId="0" borderId="44" xfId="0" applyFont="1" applyFill="1" applyBorder="1" applyAlignment="1" applyProtection="1">
      <alignment horizontal="center" vertical="center"/>
      <protection locked="0"/>
    </xf>
    <xf numFmtId="0" fontId="156" fillId="0" borderId="46" xfId="0" applyFont="1" applyFill="1" applyBorder="1" applyAlignment="1" applyProtection="1">
      <alignment horizontal="center" vertical="center"/>
      <protection locked="0"/>
    </xf>
    <xf numFmtId="0" fontId="79" fillId="5" borderId="0" xfId="0" applyFont="1" applyFill="1" applyProtection="1">
      <alignment vertical="center"/>
    </xf>
    <xf numFmtId="0" fontId="73" fillId="5" borderId="26" xfId="0" applyFont="1" applyFill="1" applyBorder="1" applyAlignment="1" applyProtection="1">
      <alignment horizontal="center" vertical="center"/>
    </xf>
    <xf numFmtId="0" fontId="73" fillId="5" borderId="58" xfId="0" applyFont="1" applyFill="1" applyBorder="1" applyAlignment="1" applyProtection="1">
      <alignment horizontal="center" vertical="center"/>
    </xf>
    <xf numFmtId="0" fontId="157" fillId="5" borderId="40" xfId="0"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88" fillId="5" borderId="2" xfId="0" applyFont="1" applyFill="1" applyBorder="1" applyAlignment="1" applyProtection="1">
      <alignment horizontal="right" vertical="center"/>
    </xf>
    <xf numFmtId="0" fontId="88" fillId="5" borderId="12" xfId="0" applyFont="1" applyFill="1" applyBorder="1" applyAlignment="1" applyProtection="1">
      <alignment horizontal="right" vertical="center"/>
    </xf>
    <xf numFmtId="0" fontId="156" fillId="5" borderId="0" xfId="0" applyFont="1" applyFill="1" applyBorder="1" applyAlignment="1" applyProtection="1">
      <alignment horizontal="center" vertical="center"/>
    </xf>
    <xf numFmtId="0" fontId="78" fillId="5" borderId="45" xfId="0" applyFont="1" applyFill="1" applyBorder="1" applyAlignment="1" applyProtection="1">
      <alignment horizontal="right" vertical="center"/>
    </xf>
    <xf numFmtId="0" fontId="158" fillId="0" borderId="13" xfId="0" applyFont="1" applyBorder="1" applyAlignment="1" applyProtection="1">
      <alignment horizontal="left" vertical="center"/>
    </xf>
    <xf numFmtId="0" fontId="97" fillId="6" borderId="0" xfId="0" applyFont="1" applyFill="1" applyBorder="1" applyAlignment="1" applyProtection="1">
      <alignment horizontal="left" vertical="center" wrapText="1"/>
      <protection locked="0"/>
    </xf>
    <xf numFmtId="0" fontId="79" fillId="0" borderId="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protection locked="0"/>
    </xf>
    <xf numFmtId="0" fontId="79" fillId="0" borderId="32" xfId="0" applyFont="1" applyBorder="1" applyProtection="1">
      <alignment vertical="center"/>
      <protection locked="0"/>
    </xf>
    <xf numFmtId="0" fontId="79" fillId="0" borderId="13"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0" xfId="0" applyFont="1" applyFill="1" applyBorder="1" applyAlignment="1" applyProtection="1">
      <alignment horizontal="center" vertical="center"/>
      <protection locked="0"/>
    </xf>
    <xf numFmtId="0" fontId="79" fillId="0" borderId="18" xfId="0" applyFont="1" applyBorder="1" applyProtection="1">
      <alignment vertical="center"/>
      <protection locked="0"/>
    </xf>
    <xf numFmtId="0" fontId="79" fillId="0" borderId="17" xfId="0" applyFont="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protection locked="0"/>
    </xf>
    <xf numFmtId="0" fontId="79" fillId="0" borderId="20" xfId="0" applyFont="1" applyBorder="1" applyProtection="1">
      <alignment vertical="center"/>
      <protection locked="0"/>
    </xf>
    <xf numFmtId="0" fontId="88" fillId="0" borderId="19" xfId="0" applyFont="1" applyBorder="1" applyAlignment="1" applyProtection="1">
      <alignment horizontal="left" vertical="center"/>
      <protection locked="0"/>
    </xf>
    <xf numFmtId="0" fontId="79" fillId="0" borderId="19" xfId="0" applyFont="1" applyBorder="1" applyProtection="1">
      <alignment vertical="center"/>
      <protection locked="0"/>
    </xf>
    <xf numFmtId="0" fontId="79" fillId="0" borderId="19" xfId="0" applyFont="1" applyBorder="1" applyAlignment="1" applyProtection="1">
      <alignment horizontal="right" vertical="center"/>
      <protection locked="0"/>
    </xf>
    <xf numFmtId="0" fontId="88" fillId="0" borderId="0" xfId="0" applyFont="1" applyAlignment="1" applyProtection="1">
      <alignment horizontal="left" vertical="center"/>
      <protection locked="0"/>
    </xf>
    <xf numFmtId="2" fontId="79" fillId="0" borderId="0" xfId="0" applyNumberFormat="1" applyFont="1" applyAlignment="1" applyProtection="1">
      <alignment vertical="center" wrapText="1"/>
      <protection locked="0"/>
    </xf>
    <xf numFmtId="0" fontId="79" fillId="5" borderId="10" xfId="0" applyFont="1" applyFill="1" applyBorder="1" applyAlignment="1" applyProtection="1">
      <alignment vertical="center"/>
    </xf>
    <xf numFmtId="9" fontId="79" fillId="6" borderId="14" xfId="0" applyNumberFormat="1" applyFont="1" applyFill="1" applyBorder="1" applyAlignment="1" applyProtection="1">
      <alignment horizontal="center" vertical="center"/>
      <protection locked="0"/>
    </xf>
    <xf numFmtId="0" fontId="79" fillId="5" borderId="32" xfId="0" applyFont="1" applyFill="1" applyBorder="1" applyProtection="1">
      <alignment vertical="center"/>
    </xf>
    <xf numFmtId="0" fontId="88" fillId="5" borderId="31" xfId="0" applyFont="1" applyFill="1" applyBorder="1" applyAlignment="1" applyProtection="1">
      <alignment horizontal="left" vertical="center" wrapText="1"/>
    </xf>
    <xf numFmtId="0" fontId="88" fillId="5" borderId="19" xfId="0" applyFont="1" applyFill="1" applyBorder="1" applyAlignment="1" applyProtection="1">
      <alignment horizontal="left" vertical="center" wrapText="1"/>
    </xf>
    <xf numFmtId="0" fontId="88" fillId="5" borderId="20" xfId="0" applyFont="1" applyFill="1" applyBorder="1" applyAlignment="1" applyProtection="1">
      <alignment horizontal="left" vertical="center" wrapText="1"/>
    </xf>
    <xf numFmtId="0" fontId="79" fillId="5" borderId="17" xfId="0" applyFont="1" applyFill="1" applyBorder="1" applyAlignment="1" applyProtection="1">
      <alignment horizontal="center" vertical="center"/>
    </xf>
    <xf numFmtId="0" fontId="88" fillId="5" borderId="2" xfId="0" applyFont="1" applyFill="1" applyBorder="1" applyAlignment="1" applyProtection="1">
      <alignment horizontal="left" vertical="center" wrapText="1"/>
    </xf>
    <xf numFmtId="9" fontId="79" fillId="5" borderId="12" xfId="0" applyNumberFormat="1" applyFont="1" applyFill="1" applyBorder="1" applyAlignment="1" applyProtection="1">
      <alignment horizontal="center" vertical="center"/>
    </xf>
    <xf numFmtId="10" fontId="79" fillId="5" borderId="21" xfId="0" applyNumberFormat="1" applyFont="1" applyFill="1" applyBorder="1" applyAlignment="1" applyProtection="1">
      <alignment horizontal="center" vertical="center"/>
    </xf>
    <xf numFmtId="0" fontId="82" fillId="0" borderId="12" xfId="0" applyFont="1" applyFill="1" applyBorder="1" applyAlignment="1" applyProtection="1">
      <alignment vertical="center" wrapText="1"/>
      <protection locked="0"/>
    </xf>
    <xf numFmtId="0" fontId="79" fillId="5" borderId="22" xfId="0" applyFont="1" applyFill="1" applyBorder="1" applyAlignment="1" applyProtection="1">
      <alignment horizontal="right" vertical="center" wrapText="1"/>
    </xf>
    <xf numFmtId="0" fontId="79" fillId="5" borderId="4" xfId="0" applyFont="1" applyFill="1" applyBorder="1" applyAlignment="1" applyProtection="1">
      <alignment vertical="center"/>
    </xf>
    <xf numFmtId="0" fontId="79" fillId="5" borderId="24" xfId="0" applyFont="1" applyFill="1" applyBorder="1" applyAlignment="1" applyProtection="1">
      <alignment horizontal="right" vertical="center" wrapText="1"/>
    </xf>
    <xf numFmtId="0" fontId="79" fillId="5" borderId="13" xfId="0" applyFont="1" applyFill="1" applyBorder="1" applyAlignment="1" applyProtection="1">
      <alignment vertical="center"/>
    </xf>
    <xf numFmtId="0" fontId="79" fillId="5" borderId="18" xfId="0" applyFont="1" applyFill="1" applyBorder="1" applyProtection="1">
      <alignment vertical="center"/>
    </xf>
    <xf numFmtId="0" fontId="79" fillId="5" borderId="50" xfId="0" applyFont="1" applyFill="1" applyBorder="1" applyAlignment="1" applyProtection="1">
      <alignment horizontal="right" vertical="center" wrapText="1"/>
    </xf>
    <xf numFmtId="0" fontId="79" fillId="5" borderId="17" xfId="0" applyFont="1" applyFill="1" applyBorder="1" applyAlignment="1" applyProtection="1">
      <alignment vertical="center"/>
    </xf>
    <xf numFmtId="0" fontId="79" fillId="5" borderId="11" xfId="0" applyFont="1" applyFill="1" applyBorder="1" applyAlignment="1" applyProtection="1">
      <alignment horizontal="right" vertical="center" wrapText="1"/>
    </xf>
    <xf numFmtId="10" fontId="79" fillId="5" borderId="2" xfId="0" applyNumberFormat="1" applyFont="1" applyFill="1" applyBorder="1" applyAlignment="1" applyProtection="1">
      <alignment horizontal="center" vertical="center"/>
    </xf>
    <xf numFmtId="0" fontId="79" fillId="5" borderId="12" xfId="0" applyFont="1" applyFill="1" applyBorder="1" applyProtection="1">
      <alignment vertical="center"/>
    </xf>
    <xf numFmtId="0" fontId="79" fillId="5" borderId="5" xfId="0" applyFont="1" applyFill="1" applyBorder="1" applyAlignment="1" applyProtection="1">
      <alignment horizontal="right" vertical="center"/>
    </xf>
    <xf numFmtId="0" fontId="79" fillId="2" borderId="9" xfId="0" applyFont="1" applyFill="1" applyBorder="1" applyAlignment="1" applyProtection="1">
      <alignment horizontal="center" vertical="center" wrapText="1"/>
      <protection locked="0"/>
    </xf>
    <xf numFmtId="0" fontId="79" fillId="5" borderId="4" xfId="0" applyFont="1" applyFill="1" applyBorder="1" applyAlignment="1" applyProtection="1">
      <alignment horizontal="right" vertical="center"/>
    </xf>
    <xf numFmtId="0" fontId="79" fillId="5" borderId="2" xfId="0" applyFont="1" applyFill="1" applyBorder="1" applyProtection="1">
      <alignment vertical="center"/>
    </xf>
    <xf numFmtId="0" fontId="79" fillId="5" borderId="45" xfId="0" applyFont="1" applyFill="1" applyBorder="1" applyAlignment="1" applyProtection="1">
      <alignment horizontal="right" vertical="center"/>
    </xf>
    <xf numFmtId="0" fontId="79" fillId="5" borderId="44" xfId="0" applyFont="1" applyFill="1" applyBorder="1" applyAlignment="1" applyProtection="1">
      <alignment horizontal="center" vertical="center" wrapText="1"/>
    </xf>
    <xf numFmtId="10" fontId="79" fillId="5" borderId="44" xfId="0" applyNumberFormat="1" applyFont="1" applyFill="1" applyBorder="1" applyAlignment="1" applyProtection="1">
      <alignment horizontal="center" vertical="center"/>
    </xf>
    <xf numFmtId="9" fontId="79" fillId="5" borderId="2" xfId="0" applyNumberFormat="1" applyFont="1" applyFill="1" applyBorder="1" applyAlignment="1" applyProtection="1">
      <alignment horizontal="center" vertical="center" wrapText="1"/>
    </xf>
    <xf numFmtId="0" fontId="79" fillId="5" borderId="7" xfId="0" applyFont="1" applyFill="1" applyBorder="1" applyAlignment="1" applyProtection="1">
      <alignment horizontal="left" vertical="center" wrapText="1"/>
    </xf>
    <xf numFmtId="0" fontId="98" fillId="5" borderId="21" xfId="0" applyFont="1" applyFill="1" applyBorder="1" applyAlignment="1" applyProtection="1">
      <alignment horizontal="left" vertical="center" wrapText="1"/>
    </xf>
    <xf numFmtId="177" fontId="98" fillId="5" borderId="21" xfId="0" applyNumberFormat="1" applyFont="1" applyFill="1" applyBorder="1" applyAlignment="1" applyProtection="1">
      <alignment horizontal="center" vertical="center" wrapText="1"/>
    </xf>
    <xf numFmtId="0" fontId="98" fillId="5" borderId="21" xfId="0" applyFont="1" applyFill="1" applyBorder="1" applyAlignment="1" applyProtection="1">
      <alignment horizontal="center" vertical="center" wrapText="1"/>
    </xf>
    <xf numFmtId="0" fontId="79" fillId="5" borderId="51" xfId="0" applyFont="1" applyFill="1" applyBorder="1" applyAlignment="1" applyProtection="1">
      <alignment horizontal="left" vertical="center" wrapText="1"/>
    </xf>
    <xf numFmtId="49" fontId="79" fillId="5" borderId="11" xfId="0" applyNumberFormat="1" applyFont="1" applyFill="1" applyBorder="1" applyAlignment="1" applyProtection="1">
      <alignment horizontal="left" vertical="center" wrapText="1"/>
    </xf>
    <xf numFmtId="0" fontId="89" fillId="5" borderId="2" xfId="0" applyFont="1" applyFill="1" applyBorder="1" applyAlignment="1" applyProtection="1">
      <alignment horizontal="left" vertical="center" wrapText="1"/>
    </xf>
    <xf numFmtId="177" fontId="89" fillId="5" borderId="2" xfId="0" applyNumberFormat="1"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79" fillId="5" borderId="12" xfId="0" applyFont="1" applyFill="1" applyBorder="1" applyAlignment="1" applyProtection="1">
      <alignment horizontal="left" vertical="center" wrapText="1"/>
    </xf>
    <xf numFmtId="177" fontId="89" fillId="0" borderId="2" xfId="0" applyNumberFormat="1" applyFont="1" applyFill="1" applyBorder="1" applyAlignment="1" applyProtection="1">
      <alignment horizontal="center" vertical="center" wrapText="1"/>
      <protection locked="0"/>
    </xf>
    <xf numFmtId="49" fontId="88" fillId="5" borderId="11" xfId="0" applyNumberFormat="1"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0" borderId="2" xfId="0" applyFont="1" applyFill="1" applyBorder="1" applyAlignment="1" applyProtection="1">
      <alignment horizontal="center" vertical="center" wrapText="1"/>
      <protection locked="0"/>
    </xf>
    <xf numFmtId="0" fontId="98" fillId="5" borderId="2" xfId="0" applyFont="1" applyFill="1" applyBorder="1" applyAlignment="1" applyProtection="1">
      <alignment horizontal="center" vertical="center" wrapText="1"/>
    </xf>
    <xf numFmtId="177" fontId="98" fillId="5" borderId="2" xfId="0" applyNumberFormat="1" applyFont="1" applyFill="1" applyBorder="1" applyAlignment="1" applyProtection="1">
      <alignment horizontal="center" vertical="center" wrapText="1"/>
    </xf>
    <xf numFmtId="49" fontId="88" fillId="5" borderId="4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xf>
    <xf numFmtId="177" fontId="98" fillId="5" borderId="44" xfId="0" applyNumberFormat="1" applyFont="1" applyFill="1" applyBorder="1" applyAlignment="1" applyProtection="1">
      <alignment horizontal="center" vertical="center" wrapText="1"/>
    </xf>
    <xf numFmtId="10" fontId="89" fillId="5" borderId="44" xfId="0" applyNumberFormat="1" applyFont="1" applyFill="1" applyBorder="1" applyAlignment="1" applyProtection="1">
      <alignment horizontal="center" vertical="center" wrapText="1"/>
    </xf>
    <xf numFmtId="0" fontId="79" fillId="5" borderId="46" xfId="0" applyFont="1" applyFill="1" applyBorder="1" applyAlignment="1" applyProtection="1">
      <alignment horizontal="left" vertical="center"/>
    </xf>
    <xf numFmtId="0" fontId="79" fillId="5" borderId="29" xfId="0" applyFont="1" applyFill="1" applyBorder="1" applyAlignment="1" applyProtection="1">
      <alignment horizontal="left" vertical="center" wrapText="1"/>
    </xf>
    <xf numFmtId="0" fontId="79" fillId="5" borderId="30" xfId="0"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49" fontId="79" fillId="5" borderId="11" xfId="0" applyNumberFormat="1" applyFont="1" applyFill="1" applyBorder="1" applyAlignment="1" applyProtection="1">
      <alignment vertical="center" wrapText="1"/>
    </xf>
    <xf numFmtId="0" fontId="89" fillId="0" borderId="2" xfId="0" applyFont="1" applyFill="1" applyBorder="1" applyAlignment="1" applyProtection="1">
      <alignment horizontal="center" vertical="center" wrapText="1"/>
      <protection locked="0"/>
    </xf>
    <xf numFmtId="0" fontId="74" fillId="5" borderId="2" xfId="4" applyFont="1" applyFill="1" applyBorder="1" applyAlignment="1" applyProtection="1">
      <alignment horizontal="left" vertical="center" wrapText="1"/>
    </xf>
    <xf numFmtId="0" fontId="74" fillId="2" borderId="2" xfId="4" applyFont="1" applyFill="1" applyBorder="1" applyAlignment="1" applyProtection="1">
      <alignment horizontal="center" vertical="center" wrapText="1"/>
      <protection locked="0"/>
    </xf>
    <xf numFmtId="177" fontId="89" fillId="0" borderId="12" xfId="0" applyNumberFormat="1" applyFont="1" applyFill="1" applyBorder="1" applyAlignment="1" applyProtection="1">
      <alignment horizontal="center" vertical="center" wrapText="1"/>
      <protection locked="0"/>
    </xf>
    <xf numFmtId="0" fontId="89" fillId="5" borderId="21" xfId="0" applyFont="1" applyFill="1" applyBorder="1" applyAlignment="1" applyProtection="1">
      <alignment horizontal="left" vertical="center" wrapText="1"/>
    </xf>
    <xf numFmtId="9" fontId="74" fillId="5" borderId="0" xfId="0" applyNumberFormat="1" applyFont="1" applyFill="1" applyBorder="1" applyAlignment="1" applyProtection="1">
      <alignment horizontal="center" vertical="center"/>
    </xf>
    <xf numFmtId="10" fontId="89" fillId="5" borderId="2" xfId="0" applyNumberFormat="1" applyFont="1" applyFill="1" applyBorder="1" applyAlignment="1" applyProtection="1">
      <alignment horizontal="center" vertical="center" wrapText="1"/>
    </xf>
    <xf numFmtId="0" fontId="74" fillId="5" borderId="8" xfId="0" applyFont="1" applyFill="1" applyBorder="1" applyAlignment="1" applyProtection="1">
      <alignment horizontal="left" vertical="center"/>
    </xf>
    <xf numFmtId="0" fontId="79" fillId="2" borderId="8" xfId="0" applyFont="1" applyFill="1" applyBorder="1" applyAlignment="1" applyProtection="1">
      <alignment horizontal="left" vertical="center" wrapText="1"/>
      <protection locked="0"/>
    </xf>
    <xf numFmtId="189" fontId="89" fillId="5" borderId="2" xfId="0" applyNumberFormat="1" applyFont="1" applyFill="1" applyBorder="1" applyAlignment="1" applyProtection="1">
      <alignment horizontal="center" vertical="center" wrapText="1"/>
    </xf>
    <xf numFmtId="10" fontId="88" fillId="5" borderId="5" xfId="0" applyNumberFormat="1" applyFont="1" applyFill="1" applyBorder="1" applyAlignment="1" applyProtection="1">
      <alignment horizontal="center" vertical="center" wrapText="1"/>
    </xf>
    <xf numFmtId="181" fontId="98" fillId="5" borderId="2" xfId="0" applyNumberFormat="1"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9" fillId="5" borderId="44" xfId="0" applyFont="1" applyFill="1" applyBorder="1" applyAlignment="1" applyProtection="1">
      <alignment horizontal="center" vertical="center" wrapText="1"/>
    </xf>
    <xf numFmtId="0" fontId="79" fillId="5" borderId="45" xfId="0" applyFont="1" applyFill="1" applyBorder="1" applyAlignment="1" applyProtection="1">
      <alignment horizontal="left" vertical="center"/>
    </xf>
    <xf numFmtId="0" fontId="79" fillId="5" borderId="56" xfId="0" applyFont="1" applyFill="1" applyBorder="1" applyAlignment="1" applyProtection="1">
      <alignment horizontal="left" vertical="center" wrapText="1"/>
    </xf>
    <xf numFmtId="0" fontId="74" fillId="5" borderId="48" xfId="4" applyFont="1" applyFill="1" applyBorder="1" applyAlignment="1" applyProtection="1">
      <alignment horizontal="left" vertical="center" wrapText="1"/>
    </xf>
    <xf numFmtId="0" fontId="79" fillId="5" borderId="57" xfId="4" applyFont="1" applyFill="1" applyBorder="1" applyAlignment="1" applyProtection="1">
      <alignment horizontal="left" vertical="center" wrapText="1"/>
    </xf>
    <xf numFmtId="0" fontId="79" fillId="5" borderId="16" xfId="4" applyFont="1" applyFill="1" applyBorder="1" applyAlignment="1" applyProtection="1">
      <alignment horizontal="left" vertical="center" wrapText="1"/>
    </xf>
    <xf numFmtId="0" fontId="89" fillId="5" borderId="5" xfId="0" applyFont="1" applyFill="1" applyBorder="1" applyAlignment="1" applyProtection="1">
      <alignment horizontal="center" vertical="center" wrapText="1"/>
    </xf>
    <xf numFmtId="189" fontId="89" fillId="0" borderId="2" xfId="0" applyNumberFormat="1" applyFont="1" applyFill="1" applyBorder="1" applyAlignment="1" applyProtection="1">
      <alignment horizontal="center" vertical="center" wrapText="1"/>
      <protection locked="0"/>
    </xf>
    <xf numFmtId="10" fontId="79" fillId="5" borderId="5"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79" fillId="2" borderId="16" xfId="0" applyNumberFormat="1" applyFont="1" applyFill="1" applyBorder="1" applyAlignment="1" applyProtection="1">
      <alignment horizontal="left" vertical="center" wrapText="1"/>
      <protection locked="0"/>
    </xf>
    <xf numFmtId="0" fontId="79" fillId="5" borderId="48" xfId="4" applyFont="1" applyFill="1" applyBorder="1" applyAlignment="1" applyProtection="1">
      <alignment horizontal="left" vertical="center" wrapText="1"/>
    </xf>
    <xf numFmtId="0" fontId="154" fillId="5" borderId="59" xfId="2" applyFont="1" applyFill="1" applyBorder="1" applyAlignment="1" applyProtection="1">
      <alignment vertical="center"/>
    </xf>
    <xf numFmtId="0" fontId="73" fillId="5" borderId="0" xfId="2" applyFont="1" applyFill="1" applyBorder="1" applyAlignment="1" applyProtection="1">
      <alignment vertical="center"/>
    </xf>
    <xf numFmtId="0" fontId="100" fillId="5" borderId="2" xfId="2" applyFont="1" applyFill="1" applyBorder="1" applyAlignment="1" applyProtection="1">
      <alignment vertical="center"/>
    </xf>
    <xf numFmtId="177" fontId="100" fillId="5" borderId="2" xfId="2" applyNumberFormat="1" applyFont="1" applyFill="1" applyBorder="1" applyAlignment="1" applyProtection="1">
      <alignment horizontal="right" vertical="center"/>
    </xf>
    <xf numFmtId="0" fontId="100" fillId="5" borderId="10" xfId="2" applyFont="1" applyFill="1" applyBorder="1" applyAlignment="1" applyProtection="1">
      <alignment horizontal="right" vertical="center"/>
    </xf>
    <xf numFmtId="0" fontId="86" fillId="5" borderId="10" xfId="0" applyFont="1" applyFill="1" applyBorder="1" applyAlignment="1" applyProtection="1">
      <alignment vertical="center"/>
    </xf>
    <xf numFmtId="0" fontId="100" fillId="5" borderId="2" xfId="0" applyFont="1" applyFill="1" applyBorder="1" applyAlignment="1" applyProtection="1">
      <alignment vertical="center"/>
    </xf>
    <xf numFmtId="0" fontId="101" fillId="5" borderId="0" xfId="0" applyFont="1" applyFill="1" applyAlignment="1" applyProtection="1">
      <alignment horizontal="center" vertical="center"/>
    </xf>
    <xf numFmtId="0" fontId="100" fillId="5" borderId="0" xfId="2" applyFont="1" applyFill="1" applyBorder="1" applyAlignment="1" applyProtection="1">
      <alignment vertical="center"/>
    </xf>
    <xf numFmtId="0" fontId="100" fillId="5" borderId="4" xfId="0" applyFont="1" applyFill="1" applyBorder="1" applyAlignment="1" applyProtection="1">
      <alignment vertical="center"/>
    </xf>
    <xf numFmtId="0" fontId="157" fillId="5" borderId="32" xfId="0" applyFont="1" applyFill="1" applyBorder="1" applyAlignment="1" applyProtection="1">
      <alignment horizontal="left" vertical="center"/>
    </xf>
    <xf numFmtId="0" fontId="73" fillId="5" borderId="59" xfId="0" applyFont="1" applyFill="1" applyBorder="1" applyAlignment="1" applyProtection="1"/>
    <xf numFmtId="0" fontId="73" fillId="5" borderId="30" xfId="0" applyFont="1" applyFill="1" applyBorder="1" applyAlignment="1" applyProtection="1"/>
    <xf numFmtId="0" fontId="78" fillId="5" borderId="11" xfId="0" applyFont="1" applyFill="1" applyBorder="1" applyAlignment="1" applyProtection="1">
      <alignment horizontal="center"/>
    </xf>
    <xf numFmtId="0" fontId="78" fillId="5" borderId="4" xfId="0" applyFont="1" applyFill="1" applyBorder="1" applyAlignment="1" applyProtection="1"/>
    <xf numFmtId="184" fontId="79" fillId="6" borderId="2" xfId="0" applyNumberFormat="1" applyFont="1" applyFill="1" applyBorder="1" applyAlignment="1" applyProtection="1">
      <alignment horizontal="center" vertical="center" wrapText="1"/>
      <protection locked="0"/>
    </xf>
    <xf numFmtId="184" fontId="79" fillId="6" borderId="12" xfId="0" applyNumberFormat="1" applyFont="1" applyFill="1" applyBorder="1" applyAlignment="1" applyProtection="1">
      <alignment horizontal="center" vertical="center" wrapText="1"/>
      <protection locked="0"/>
    </xf>
    <xf numFmtId="0" fontId="79" fillId="5" borderId="5" xfId="0" applyFont="1" applyFill="1" applyBorder="1" applyAlignment="1" applyProtection="1"/>
    <xf numFmtId="184" fontId="79" fillId="0" borderId="2" xfId="0" applyNumberFormat="1" applyFont="1" applyFill="1" applyBorder="1" applyAlignment="1" applyProtection="1">
      <alignment horizontal="center"/>
      <protection locked="0"/>
    </xf>
    <xf numFmtId="184" fontId="79" fillId="0" borderId="12" xfId="0" applyNumberFormat="1" applyFont="1" applyFill="1" applyBorder="1" applyAlignment="1" applyProtection="1">
      <alignment horizontal="center"/>
      <protection locked="0"/>
    </xf>
    <xf numFmtId="176" fontId="155" fillId="5" borderId="2" xfId="0" applyNumberFormat="1" applyFont="1" applyFill="1" applyBorder="1" applyAlignment="1" applyProtection="1">
      <alignment horizontal="center" vertical="center"/>
    </xf>
    <xf numFmtId="176" fontId="155" fillId="5" borderId="12" xfId="0" applyNumberFormat="1" applyFont="1" applyFill="1" applyBorder="1" applyAlignment="1" applyProtection="1">
      <alignment horizontal="center" vertical="center"/>
    </xf>
    <xf numFmtId="0" fontId="78" fillId="5" borderId="11" xfId="0" applyFont="1" applyFill="1" applyBorder="1" applyAlignment="1" applyProtection="1">
      <alignment horizontal="left"/>
    </xf>
    <xf numFmtId="0" fontId="78" fillId="5" borderId="5" xfId="0" applyFont="1" applyFill="1" applyBorder="1" applyAlignment="1" applyProtection="1"/>
    <xf numFmtId="184" fontId="78" fillId="5" borderId="2" xfId="0" applyNumberFormat="1" applyFont="1" applyFill="1" applyBorder="1" applyAlignment="1" applyProtection="1">
      <alignment horizontal="center"/>
    </xf>
    <xf numFmtId="0" fontId="78" fillId="5" borderId="2" xfId="0"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9" fillId="5" borderId="5" xfId="2" applyFont="1" applyFill="1" applyBorder="1" applyAlignment="1" applyProtection="1"/>
    <xf numFmtId="177" fontId="79" fillId="5" borderId="2" xfId="0" applyNumberFormat="1" applyFont="1" applyFill="1" applyBorder="1" applyAlignment="1" applyProtection="1">
      <alignment horizontal="center" vertical="center"/>
    </xf>
    <xf numFmtId="179" fontId="79" fillId="5" borderId="2" xfId="2" applyNumberFormat="1" applyFont="1" applyFill="1" applyBorder="1" applyAlignment="1" applyProtection="1">
      <alignment horizontal="center"/>
    </xf>
    <xf numFmtId="181" fontId="79" fillId="5" borderId="2" xfId="2" applyNumberFormat="1" applyFont="1" applyFill="1" applyBorder="1" applyAlignment="1" applyProtection="1">
      <alignment horizontal="center"/>
    </xf>
    <xf numFmtId="9" fontId="79" fillId="5" borderId="2" xfId="2" applyNumberFormat="1" applyFont="1" applyFill="1" applyBorder="1" applyAlignment="1" applyProtection="1">
      <alignment horizontal="center"/>
    </xf>
    <xf numFmtId="177" fontId="79" fillId="5" borderId="2" xfId="2" applyNumberFormat="1" applyFont="1" applyFill="1" applyBorder="1" applyAlignment="1" applyProtection="1">
      <alignment horizontal="center"/>
    </xf>
    <xf numFmtId="177" fontId="79" fillId="5" borderId="2" xfId="2" applyNumberFormat="1" applyFont="1" applyFill="1" applyBorder="1" applyAlignment="1" applyProtection="1"/>
    <xf numFmtId="10" fontId="79" fillId="5" borderId="2" xfId="2" applyNumberFormat="1" applyFont="1" applyFill="1" applyBorder="1" applyAlignment="1" applyProtection="1">
      <alignment horizontal="center"/>
    </xf>
    <xf numFmtId="0" fontId="79" fillId="5" borderId="8" xfId="0" applyFont="1" applyFill="1" applyBorder="1" applyAlignment="1" applyProtection="1"/>
    <xf numFmtId="0" fontId="79" fillId="5" borderId="16" xfId="0" applyFont="1" applyFill="1" applyBorder="1" applyAlignment="1" applyProtection="1"/>
    <xf numFmtId="0" fontId="78" fillId="5" borderId="5" xfId="2" applyFont="1" applyFill="1" applyBorder="1" applyAlignment="1" applyProtection="1"/>
    <xf numFmtId="177" fontId="78" fillId="5" borderId="2" xfId="2" applyNumberFormat="1" applyFont="1" applyFill="1" applyBorder="1" applyAlignment="1" applyProtection="1">
      <alignment horizontal="center"/>
    </xf>
    <xf numFmtId="0" fontId="78" fillId="5" borderId="2" xfId="2" applyFont="1" applyFill="1" applyBorder="1" applyAlignment="1" applyProtection="1"/>
    <xf numFmtId="177" fontId="78" fillId="5" borderId="2" xfId="2" applyNumberFormat="1" applyFont="1" applyFill="1" applyBorder="1" applyAlignment="1" applyProtection="1"/>
    <xf numFmtId="0" fontId="74" fillId="5" borderId="5" xfId="0" applyFont="1" applyFill="1" applyBorder="1" applyAlignment="1" applyProtection="1"/>
    <xf numFmtId="0" fontId="74" fillId="5" borderId="8" xfId="0" applyFont="1" applyFill="1" applyBorder="1" applyAlignment="1" applyProtection="1"/>
    <xf numFmtId="0" fontId="74" fillId="5" borderId="16" xfId="0" applyFont="1" applyFill="1" applyBorder="1" applyAlignment="1" applyProtection="1"/>
    <xf numFmtId="10" fontId="78" fillId="5" borderId="2" xfId="2" applyNumberFormat="1" applyFont="1" applyFill="1" applyBorder="1" applyAlignment="1" applyProtection="1">
      <alignment horizontal="center"/>
    </xf>
    <xf numFmtId="0" fontId="78" fillId="5" borderId="2" xfId="0" applyFont="1" applyFill="1" applyBorder="1" applyAlignment="1" applyProtection="1">
      <alignment horizontal="right" vertical="center"/>
    </xf>
    <xf numFmtId="177" fontId="78" fillId="5" borderId="2" xfId="2" applyNumberFormat="1" applyFont="1" applyFill="1" applyBorder="1" applyAlignment="1" applyProtection="1">
      <alignment vertical="center"/>
    </xf>
    <xf numFmtId="177" fontId="78" fillId="5" borderId="8" xfId="2" applyNumberFormat="1" applyFont="1" applyFill="1" applyBorder="1" applyAlignment="1" applyProtection="1">
      <alignment vertical="center"/>
    </xf>
    <xf numFmtId="177" fontId="78" fillId="5" borderId="0" xfId="0" applyNumberFormat="1" applyFont="1" applyFill="1" applyBorder="1" applyAlignment="1" applyProtection="1">
      <alignment horizontal="center"/>
    </xf>
    <xf numFmtId="10" fontId="78" fillId="5" borderId="10"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177" fontId="79" fillId="5" borderId="8" xfId="2" applyNumberFormat="1" applyFont="1" applyFill="1" applyBorder="1" applyAlignment="1" applyProtection="1">
      <alignment vertical="center"/>
    </xf>
    <xf numFmtId="10" fontId="79" fillId="5" borderId="10" xfId="0" applyNumberFormat="1" applyFont="1" applyFill="1" applyBorder="1" applyAlignment="1" applyProtection="1">
      <alignment horizontal="center" vertical="center"/>
    </xf>
    <xf numFmtId="177" fontId="79" fillId="5" borderId="2" xfId="2" applyNumberFormat="1" applyFont="1" applyFill="1" applyBorder="1" applyAlignment="1" applyProtection="1">
      <alignment vertical="center"/>
    </xf>
    <xf numFmtId="0" fontId="78" fillId="5" borderId="2" xfId="2" applyFont="1" applyFill="1" applyBorder="1" applyAlignment="1" applyProtection="1">
      <alignment horizontal="left"/>
    </xf>
    <xf numFmtId="185" fontId="78" fillId="5" borderId="2" xfId="0" applyNumberFormat="1" applyFont="1" applyFill="1" applyBorder="1" applyAlignment="1" applyProtection="1">
      <alignment horizontal="right" vertical="center"/>
    </xf>
    <xf numFmtId="177" fontId="78" fillId="5" borderId="9"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0" fontId="79" fillId="5" borderId="2" xfId="0" applyNumberFormat="1" applyFont="1" applyFill="1" applyBorder="1" applyAlignment="1" applyProtection="1">
      <alignment horizontal="center" vertical="center" wrapText="1"/>
    </xf>
    <xf numFmtId="177" fontId="79" fillId="5" borderId="8" xfId="2" applyNumberFormat="1" applyFont="1" applyFill="1" applyBorder="1" applyAlignment="1" applyProtection="1"/>
    <xf numFmtId="0" fontId="78" fillId="5" borderId="60" xfId="0" applyFont="1" applyFill="1" applyBorder="1" applyAlignment="1" applyProtection="1"/>
    <xf numFmtId="0" fontId="78" fillId="5" borderId="56" xfId="0" applyFont="1" applyFill="1" applyBorder="1" applyAlignment="1" applyProtection="1"/>
    <xf numFmtId="184" fontId="73" fillId="5" borderId="44" xfId="0" applyNumberFormat="1" applyFont="1" applyFill="1" applyBorder="1" applyAlignment="1" applyProtection="1">
      <alignment horizontal="center"/>
    </xf>
    <xf numFmtId="0" fontId="78" fillId="5" borderId="48" xfId="0" applyFont="1" applyFill="1" applyBorder="1" applyAlignment="1" applyProtection="1"/>
    <xf numFmtId="10" fontId="78" fillId="5" borderId="2" xfId="0" applyNumberFormat="1" applyFont="1" applyFill="1" applyBorder="1" applyAlignment="1" applyProtection="1">
      <alignment horizontal="center"/>
    </xf>
    <xf numFmtId="0" fontId="79" fillId="5" borderId="9" xfId="0" applyNumberFormat="1" applyFont="1" applyFill="1" applyBorder="1" applyAlignment="1" applyProtection="1">
      <alignment horizontal="center"/>
    </xf>
    <xf numFmtId="0" fontId="79" fillId="5" borderId="0" xfId="0" applyNumberFormat="1" applyFont="1" applyFill="1" applyBorder="1" applyAlignment="1" applyProtection="1">
      <alignment horizontal="center"/>
    </xf>
    <xf numFmtId="0" fontId="78" fillId="5" borderId="2" xfId="0" applyNumberFormat="1" applyFont="1" applyFill="1" applyBorder="1" applyAlignment="1" applyProtection="1">
      <alignment horizontal="right" vertical="center"/>
    </xf>
    <xf numFmtId="0" fontId="79" fillId="5"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wrapText="1"/>
    </xf>
    <xf numFmtId="181" fontId="159" fillId="5" borderId="2" xfId="0" applyNumberFormat="1" applyFont="1" applyFill="1" applyBorder="1" applyAlignment="1" applyProtection="1">
      <alignment horizontal="center"/>
    </xf>
    <xf numFmtId="185" fontId="159" fillId="5" borderId="2" xfId="0" applyNumberFormat="1" applyFont="1" applyFill="1" applyBorder="1" applyAlignment="1" applyProtection="1">
      <alignment horizontal="center" vertical="center"/>
    </xf>
    <xf numFmtId="177" fontId="159" fillId="5" borderId="8" xfId="2" applyNumberFormat="1" applyFont="1" applyFill="1" applyBorder="1" applyAlignment="1" applyProtection="1">
      <alignment vertical="center"/>
    </xf>
    <xf numFmtId="10" fontId="159" fillId="5" borderId="10" xfId="0" applyNumberFormat="1" applyFont="1" applyFill="1" applyBorder="1" applyAlignment="1" applyProtection="1">
      <alignment horizontal="center" vertical="center"/>
    </xf>
    <xf numFmtId="0" fontId="159" fillId="5" borderId="8" xfId="0" applyFont="1" applyFill="1" applyBorder="1" applyAlignment="1" applyProtection="1"/>
    <xf numFmtId="0" fontId="159" fillId="5" borderId="5" xfId="0" applyFont="1" applyFill="1" applyBorder="1" applyAlignment="1" applyProtection="1">
      <alignment horizontal="center" vertical="center"/>
    </xf>
    <xf numFmtId="177" fontId="159" fillId="5" borderId="2" xfId="2" applyNumberFormat="1" applyFont="1" applyFill="1" applyBorder="1" applyAlignment="1" applyProtection="1">
      <alignment vertical="center"/>
    </xf>
    <xf numFmtId="10" fontId="159" fillId="5" borderId="2" xfId="0" applyNumberFormat="1"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10" fontId="159" fillId="5" borderId="2" xfId="0" applyNumberFormat="1" applyFont="1" applyFill="1" applyBorder="1" applyAlignment="1" applyProtection="1">
      <alignment vertical="center" wrapText="1"/>
    </xf>
    <xf numFmtId="0" fontId="154" fillId="5" borderId="4" xfId="0" applyFont="1" applyFill="1" applyBorder="1" applyAlignment="1" applyProtection="1">
      <alignment vertical="center"/>
    </xf>
    <xf numFmtId="0" fontId="104" fillId="5" borderId="14" xfId="0" applyFont="1" applyFill="1" applyBorder="1" applyAlignment="1" applyProtection="1">
      <alignment horizontal="right" vertical="center"/>
    </xf>
    <xf numFmtId="0" fontId="104" fillId="5" borderId="0" xfId="0" applyFont="1" applyFill="1" applyAlignment="1" applyProtection="1">
      <alignment horizontal="center" vertical="center"/>
    </xf>
    <xf numFmtId="0" fontId="71" fillId="5" borderId="14" xfId="0" applyFont="1" applyFill="1" applyBorder="1" applyAlignment="1" applyProtection="1">
      <alignment vertical="center"/>
    </xf>
    <xf numFmtId="0" fontId="104" fillId="5" borderId="14" xfId="0" applyFont="1" applyFill="1" applyBorder="1" applyAlignment="1" applyProtection="1">
      <alignment vertical="center"/>
    </xf>
    <xf numFmtId="187" fontId="104" fillId="5" borderId="14" xfId="0" applyNumberFormat="1" applyFont="1" applyFill="1" applyBorder="1" applyAlignment="1" applyProtection="1">
      <alignment horizontal="center" vertical="center"/>
    </xf>
    <xf numFmtId="177" fontId="100" fillId="5" borderId="2" xfId="0" applyNumberFormat="1" applyFont="1" applyFill="1" applyBorder="1" applyAlignment="1" applyProtection="1">
      <alignment horizontal="right" vertical="center"/>
    </xf>
    <xf numFmtId="0" fontId="100" fillId="5" borderId="10" xfId="2" applyFont="1" applyFill="1" applyBorder="1" applyAlignment="1" applyProtection="1">
      <alignment vertical="center"/>
    </xf>
    <xf numFmtId="184" fontId="100" fillId="5" borderId="10" xfId="0" applyNumberFormat="1" applyFont="1" applyFill="1" applyBorder="1" applyAlignment="1" applyProtection="1">
      <alignment horizontal="right" vertical="center"/>
    </xf>
    <xf numFmtId="0" fontId="100" fillId="5" borderId="10" xfId="0" applyFont="1" applyFill="1" applyBorder="1" applyAlignment="1" applyProtection="1">
      <alignment vertical="center"/>
    </xf>
    <xf numFmtId="0" fontId="86" fillId="5" borderId="26" xfId="0" applyFont="1" applyFill="1" applyBorder="1" applyAlignment="1" applyProtection="1">
      <alignment vertical="center" wrapText="1"/>
    </xf>
    <xf numFmtId="0" fontId="86" fillId="5" borderId="28" xfId="0" applyFont="1" applyFill="1" applyBorder="1" applyAlignment="1" applyProtection="1">
      <alignment vertical="center" wrapText="1"/>
    </xf>
    <xf numFmtId="187" fontId="74" fillId="5" borderId="9" xfId="0" applyNumberFormat="1" applyFont="1" applyFill="1" applyBorder="1" applyAlignment="1" applyProtection="1">
      <alignment horizontal="center" vertical="center" wrapText="1"/>
    </xf>
    <xf numFmtId="0" fontId="86" fillId="5" borderId="31" xfId="0" applyFont="1" applyFill="1" applyBorder="1" applyAlignment="1" applyProtection="1">
      <alignment vertical="center" wrapText="1"/>
    </xf>
    <xf numFmtId="0" fontId="86" fillId="5" borderId="0" xfId="0" applyFont="1" applyFill="1" applyBorder="1" applyAlignment="1" applyProtection="1">
      <alignment vertical="center" wrapText="1"/>
    </xf>
    <xf numFmtId="0" fontId="86" fillId="5" borderId="54" xfId="0" applyFont="1" applyFill="1" applyBorder="1" applyAlignment="1" applyProtection="1">
      <alignment vertical="center" wrapText="1"/>
    </xf>
    <xf numFmtId="0" fontId="86" fillId="5" borderId="61" xfId="0" applyFont="1" applyFill="1" applyBorder="1" applyAlignment="1" applyProtection="1">
      <alignment vertical="center" wrapText="1"/>
    </xf>
    <xf numFmtId="183" fontId="74" fillId="5" borderId="33" xfId="0" applyNumberFormat="1" applyFont="1" applyFill="1" applyBorder="1" applyAlignment="1" applyProtection="1">
      <alignment horizontal="center" vertical="center" wrapText="1"/>
    </xf>
    <xf numFmtId="0" fontId="74" fillId="5" borderId="34" xfId="0" applyNumberFormat="1" applyFont="1" applyFill="1" applyBorder="1" applyAlignment="1" applyProtection="1">
      <alignment horizontal="center" vertical="center" wrapText="1"/>
    </xf>
    <xf numFmtId="183" fontId="74" fillId="0" borderId="62" xfId="0" applyNumberFormat="1" applyFont="1" applyFill="1" applyBorder="1" applyAlignment="1" applyProtection="1">
      <alignment horizontal="center" vertical="center" wrapText="1"/>
      <protection locked="0"/>
    </xf>
    <xf numFmtId="0" fontId="74" fillId="5" borderId="49" xfId="0" applyNumberFormat="1" applyFont="1" applyFill="1" applyBorder="1" applyAlignment="1" applyProtection="1">
      <alignment horizontal="center" vertical="center" wrapText="1"/>
    </xf>
    <xf numFmtId="183" fontId="74" fillId="0" borderId="33" xfId="0" applyNumberFormat="1" applyFont="1" applyFill="1" applyBorder="1" applyAlignment="1" applyProtection="1">
      <alignment horizontal="center" vertical="center" wrapText="1"/>
      <protection locked="0"/>
    </xf>
    <xf numFmtId="0" fontId="74" fillId="5" borderId="9" xfId="0" applyNumberFormat="1" applyFont="1" applyFill="1" applyBorder="1" applyAlignment="1" applyProtection="1">
      <alignment horizontal="center" vertical="center" wrapText="1"/>
    </xf>
    <xf numFmtId="49" fontId="74" fillId="2" borderId="33" xfId="0" applyNumberFormat="1" applyFont="1" applyFill="1" applyBorder="1" applyAlignment="1" applyProtection="1">
      <alignment horizontal="center" vertical="center" wrapText="1"/>
      <protection locked="0"/>
    </xf>
    <xf numFmtId="0" fontId="74" fillId="2" borderId="59"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alignment horizontal="center" vertical="center" wrapText="1"/>
    </xf>
    <xf numFmtId="0" fontId="74" fillId="0" borderId="50" xfId="0" applyNumberFormat="1" applyFont="1" applyFill="1" applyBorder="1" applyAlignment="1" applyProtection="1">
      <alignment horizontal="center" vertical="center" wrapText="1"/>
      <protection locked="0"/>
    </xf>
    <xf numFmtId="49" fontId="74" fillId="0" borderId="50" xfId="0" applyNumberFormat="1" applyFont="1" applyFill="1" applyBorder="1" applyAlignment="1" applyProtection="1">
      <alignment horizontal="center" vertical="center" wrapText="1"/>
      <protection locked="0"/>
    </xf>
    <xf numFmtId="49" fontId="74" fillId="0" borderId="20"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86" fillId="5" borderId="24" xfId="0" applyFont="1" applyFill="1" applyBorder="1" applyAlignment="1" applyProtection="1">
      <alignment vertical="center" wrapText="1"/>
    </xf>
    <xf numFmtId="0" fontId="74" fillId="0" borderId="11"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74" fillId="0" borderId="4" xfId="0" applyFont="1" applyFill="1" applyBorder="1" applyAlignment="1" applyProtection="1">
      <alignment horizontal="center" vertical="center" wrapText="1"/>
      <protection locked="0"/>
    </xf>
    <xf numFmtId="0" fontId="74" fillId="5" borderId="63" xfId="0" applyNumberFormat="1" applyFont="1" applyFill="1" applyBorder="1" applyAlignment="1" applyProtection="1">
      <alignment horizontal="center" vertical="center" wrapText="1"/>
    </xf>
    <xf numFmtId="0" fontId="87" fillId="0" borderId="64" xfId="0" applyNumberFormat="1" applyFont="1" applyFill="1" applyBorder="1" applyAlignment="1" applyProtection="1">
      <alignment horizontal="center" vertical="center" wrapText="1"/>
      <protection locked="0"/>
    </xf>
    <xf numFmtId="0" fontId="87" fillId="5" borderId="12" xfId="0" applyNumberFormat="1" applyFont="1" applyFill="1" applyBorder="1" applyAlignment="1" applyProtection="1">
      <alignment horizontal="center" vertical="center" wrapText="1"/>
    </xf>
    <xf numFmtId="0" fontId="87" fillId="0" borderId="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wrapText="1"/>
    </xf>
    <xf numFmtId="0" fontId="74" fillId="0" borderId="45" xfId="0" applyFont="1" applyFill="1" applyBorder="1" applyAlignment="1" applyProtection="1">
      <alignment horizontal="center" vertical="center" wrapText="1"/>
      <protection locked="0"/>
    </xf>
    <xf numFmtId="0" fontId="87" fillId="0" borderId="60" xfId="0" applyNumberFormat="1" applyFont="1" applyFill="1" applyBorder="1" applyAlignment="1" applyProtection="1">
      <alignment horizontal="center" vertical="center" wrapText="1"/>
      <protection locked="0"/>
    </xf>
    <xf numFmtId="0" fontId="87" fillId="5" borderId="46" xfId="0" applyNumberFormat="1" applyFont="1" applyFill="1" applyBorder="1" applyAlignment="1" applyProtection="1">
      <alignment horizontal="center" vertical="center" wrapText="1"/>
    </xf>
    <xf numFmtId="0" fontId="74" fillId="5" borderId="41" xfId="0" applyFont="1" applyFill="1" applyBorder="1" applyAlignment="1" applyProtection="1">
      <alignment horizontal="center" vertical="center" wrapText="1"/>
    </xf>
    <xf numFmtId="49" fontId="87" fillId="5" borderId="58" xfId="0" applyNumberFormat="1" applyFont="1" applyFill="1" applyBorder="1" applyAlignment="1" applyProtection="1">
      <alignment horizontal="center" vertical="center" wrapText="1"/>
    </xf>
    <xf numFmtId="0" fontId="87" fillId="5" borderId="41" xfId="0" applyNumberFormat="1" applyFont="1" applyFill="1" applyBorder="1" applyAlignment="1" applyProtection="1">
      <alignment horizontal="center" vertical="center" wrapText="1"/>
    </xf>
    <xf numFmtId="49" fontId="87" fillId="0" borderId="58" xfId="0" applyNumberFormat="1" applyFont="1" applyFill="1" applyBorder="1" applyAlignment="1" applyProtection="1">
      <alignment horizontal="center" vertical="center" wrapText="1"/>
      <protection locked="0"/>
    </xf>
    <xf numFmtId="0" fontId="87" fillId="5" borderId="40" xfId="0" applyNumberFormat="1" applyFont="1" applyFill="1" applyBorder="1" applyAlignment="1" applyProtection="1">
      <alignment horizontal="center" vertical="center" wrapText="1"/>
    </xf>
    <xf numFmtId="49" fontId="87" fillId="0" borderId="53" xfId="0" applyNumberFormat="1" applyFont="1" applyFill="1" applyBorder="1" applyAlignment="1" applyProtection="1">
      <alignment horizontal="center" vertical="center" wrapText="1"/>
      <protection locked="0"/>
    </xf>
    <xf numFmtId="0" fontId="87" fillId="5" borderId="65" xfId="0" applyFont="1" applyFill="1" applyBorder="1" applyAlignment="1" applyProtection="1">
      <alignment horizontal="center" vertical="center"/>
    </xf>
    <xf numFmtId="0" fontId="87" fillId="2" borderId="20" xfId="0" applyNumberFormat="1" applyFont="1" applyFill="1" applyBorder="1" applyAlignment="1" applyProtection="1">
      <alignment horizontal="center" vertical="center" wrapText="1"/>
      <protection locked="0"/>
    </xf>
    <xf numFmtId="0" fontId="87" fillId="5" borderId="51" xfId="0" applyNumberFormat="1" applyFont="1" applyFill="1" applyBorder="1" applyAlignment="1" applyProtection="1">
      <alignment horizontal="center" vertical="center" wrapText="1"/>
    </xf>
    <xf numFmtId="49" fontId="87" fillId="2" borderId="20" xfId="0" applyNumberFormat="1" applyFont="1" applyFill="1" applyBorder="1" applyAlignment="1" applyProtection="1">
      <alignment horizontal="center" vertical="center" wrapText="1"/>
      <protection locked="0"/>
    </xf>
    <xf numFmtId="0" fontId="87" fillId="5" borderId="17" xfId="0" applyNumberFormat="1" applyFont="1" applyFill="1" applyBorder="1" applyAlignment="1" applyProtection="1">
      <alignment horizontal="center" vertical="center" wrapText="1"/>
    </xf>
    <xf numFmtId="49" fontId="87" fillId="2" borderId="50" xfId="0" applyNumberFormat="1" applyFont="1" applyFill="1" applyBorder="1" applyAlignment="1" applyProtection="1">
      <alignment horizontal="center" vertical="center" wrapText="1"/>
      <protection locked="0"/>
    </xf>
    <xf numFmtId="0" fontId="87" fillId="5" borderId="52" xfId="0" applyNumberFormat="1"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wrapText="1"/>
    </xf>
    <xf numFmtId="49" fontId="87" fillId="5" borderId="32" xfId="0" applyNumberFormat="1" applyFont="1" applyFill="1" applyBorder="1" applyAlignment="1" applyProtection="1">
      <alignment horizontal="center" vertical="center" wrapText="1"/>
    </xf>
    <xf numFmtId="49" fontId="87" fillId="0" borderId="18" xfId="0" applyNumberFormat="1" applyFont="1" applyFill="1" applyBorder="1" applyAlignment="1" applyProtection="1">
      <alignment horizontal="center" vertical="center" wrapText="1"/>
      <protection locked="0"/>
    </xf>
    <xf numFmtId="0" fontId="87" fillId="5" borderId="13" xfId="0" applyNumberFormat="1" applyFont="1" applyFill="1" applyBorder="1" applyAlignment="1" applyProtection="1">
      <alignment horizontal="center" vertical="center" wrapText="1"/>
    </xf>
    <xf numFmtId="49" fontId="87" fillId="0" borderId="24" xfId="0" applyNumberFormat="1" applyFont="1" applyFill="1" applyBorder="1" applyAlignment="1" applyProtection="1">
      <alignment horizontal="center" vertical="center" wrapText="1"/>
      <protection locked="0"/>
    </xf>
    <xf numFmtId="0" fontId="87" fillId="5" borderId="25" xfId="0" applyNumberFormat="1" applyFont="1" applyFill="1" applyBorder="1" applyAlignment="1" applyProtection="1">
      <alignment horizontal="center" vertical="center" wrapText="1"/>
    </xf>
    <xf numFmtId="0" fontId="74" fillId="5" borderId="51" xfId="0" applyFont="1" applyFill="1" applyBorder="1" applyAlignment="1" applyProtection="1">
      <alignment horizontal="center" vertical="center" wrapText="1"/>
    </xf>
    <xf numFmtId="0" fontId="87" fillId="2" borderId="18" xfId="0" applyNumberFormat="1" applyFont="1" applyFill="1" applyBorder="1" applyAlignment="1" applyProtection="1">
      <alignment horizontal="center" vertical="center" wrapText="1"/>
      <protection locked="0"/>
    </xf>
    <xf numFmtId="49" fontId="87" fillId="2" borderId="18" xfId="0" applyNumberFormat="1" applyFont="1" applyFill="1" applyBorder="1" applyAlignment="1" applyProtection="1">
      <alignment horizontal="center" vertical="center" wrapText="1"/>
      <protection locked="0"/>
    </xf>
    <xf numFmtId="49" fontId="87" fillId="2" borderId="24" xfId="0" applyNumberFormat="1" applyFont="1" applyFill="1" applyBorder="1" applyAlignment="1" applyProtection="1">
      <alignment horizontal="center" vertical="center" wrapText="1"/>
      <protection locked="0"/>
    </xf>
    <xf numFmtId="49" fontId="87" fillId="0" borderId="32"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xf>
    <xf numFmtId="49" fontId="87" fillId="0" borderId="22" xfId="0" applyNumberFormat="1" applyFont="1" applyFill="1" applyBorder="1" applyAlignment="1" applyProtection="1">
      <alignment horizontal="center" vertical="center" wrapText="1"/>
      <protection locked="0"/>
    </xf>
    <xf numFmtId="0" fontId="87" fillId="5" borderId="32" xfId="0" applyNumberFormat="1" applyFont="1" applyFill="1" applyBorder="1" applyAlignment="1" applyProtection="1">
      <alignment horizontal="center" vertical="center" wrapText="1"/>
    </xf>
    <xf numFmtId="0" fontId="87" fillId="2" borderId="11" xfId="0" applyNumberFormat="1" applyFont="1" applyFill="1" applyBorder="1" applyAlignment="1" applyProtection="1">
      <alignment horizontal="center" vertical="center" wrapText="1"/>
      <protection locked="0"/>
    </xf>
    <xf numFmtId="0" fontId="87" fillId="5" borderId="5" xfId="0" applyNumberFormat="1" applyFont="1" applyFill="1" applyBorder="1" applyAlignment="1" applyProtection="1">
      <alignment horizontal="center" vertical="center" wrapText="1"/>
    </xf>
    <xf numFmtId="0" fontId="87" fillId="2" borderId="50"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wrapText="1"/>
    </xf>
    <xf numFmtId="0" fontId="74" fillId="5" borderId="52" xfId="0" applyFont="1" applyFill="1" applyBorder="1" applyAlignment="1" applyProtection="1">
      <alignment horizontal="center" vertical="center" wrapText="1"/>
    </xf>
    <xf numFmtId="0" fontId="74" fillId="2" borderId="19" xfId="0" applyNumberFormat="1" applyFont="1" applyFill="1" applyBorder="1" applyAlignment="1" applyProtection="1">
      <alignment horizontal="center" vertical="center" wrapText="1"/>
      <protection locked="0"/>
    </xf>
    <xf numFmtId="0" fontId="87" fillId="2" borderId="8" xfId="0" applyNumberFormat="1" applyFont="1" applyFill="1" applyBorder="1" applyAlignment="1" applyProtection="1">
      <alignment horizontal="center" vertical="center" wrapText="1"/>
      <protection locked="0"/>
    </xf>
    <xf numFmtId="0" fontId="109" fillId="5" borderId="9"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87" fillId="2" borderId="64" xfId="0" applyNumberFormat="1" applyFont="1" applyFill="1" applyBorder="1" applyAlignment="1" applyProtection="1">
      <alignment horizontal="center" vertical="center" wrapText="1"/>
      <protection locked="0"/>
    </xf>
    <xf numFmtId="0" fontId="109" fillId="0" borderId="9" xfId="0" applyNumberFormat="1" applyFont="1" applyFill="1" applyBorder="1" applyAlignment="1" applyProtection="1">
      <alignment horizontal="center" vertical="center" wrapText="1"/>
      <protection locked="0"/>
    </xf>
    <xf numFmtId="0" fontId="74" fillId="0" borderId="12" xfId="0"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5" borderId="31" xfId="0" applyFont="1" applyFill="1" applyBorder="1" applyAlignment="1" applyProtection="1">
      <alignment horizontal="center" vertical="center"/>
    </xf>
    <xf numFmtId="0" fontId="87" fillId="0" borderId="12" xfId="0" applyFont="1" applyFill="1" applyBorder="1" applyAlignment="1" applyProtection="1">
      <alignment horizontal="center" vertical="center"/>
      <protection locked="0"/>
    </xf>
    <xf numFmtId="0" fontId="103" fillId="5" borderId="54" xfId="0" applyFont="1" applyFill="1" applyBorder="1" applyAlignment="1" applyProtection="1">
      <alignment vertical="center" textRotation="255" wrapText="1"/>
    </xf>
    <xf numFmtId="0" fontId="83" fillId="0" borderId="46" xfId="0" applyFont="1" applyFill="1" applyBorder="1" applyAlignment="1" applyProtection="1">
      <alignment horizontal="center" vertical="center"/>
      <protection locked="0"/>
    </xf>
    <xf numFmtId="0" fontId="87" fillId="0" borderId="3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3" xfId="0" applyNumberFormat="1" applyFont="1" applyFill="1" applyBorder="1" applyAlignment="1" applyProtection="1">
      <alignment horizontal="center" vertical="center" wrapText="1"/>
      <protection locked="0"/>
    </xf>
    <xf numFmtId="0" fontId="86" fillId="5" borderId="24" xfId="0" applyFont="1" applyFill="1" applyBorder="1" applyAlignment="1" applyProtection="1">
      <alignment vertical="center" textRotation="255" wrapText="1"/>
    </xf>
    <xf numFmtId="0" fontId="74" fillId="5" borderId="17" xfId="0" applyFont="1" applyFill="1" applyBorder="1" applyAlignment="1" applyProtection="1">
      <alignment horizontal="center" vertical="center" wrapText="1"/>
    </xf>
    <xf numFmtId="0" fontId="87" fillId="0" borderId="1" xfId="0" applyNumberFormat="1" applyFont="1" applyFill="1" applyBorder="1" applyAlignment="1" applyProtection="1">
      <alignment horizontal="center" vertical="center" wrapText="1"/>
      <protection locked="0"/>
    </xf>
    <xf numFmtId="0" fontId="87" fillId="5" borderId="7" xfId="0" applyNumberFormat="1" applyFont="1" applyFill="1" applyBorder="1" applyAlignment="1" applyProtection="1">
      <alignment horizontal="center" vertical="center" wrapText="1"/>
    </xf>
    <xf numFmtId="0" fontId="87" fillId="0" borderId="6" xfId="0" applyNumberFormat="1" applyFont="1" applyFill="1" applyBorder="1" applyAlignment="1" applyProtection="1">
      <alignment horizontal="center" vertical="center" wrapText="1"/>
      <protection locked="0"/>
    </xf>
    <xf numFmtId="49" fontId="87" fillId="2" borderId="11"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9" fontId="74" fillId="2" borderId="64" xfId="0" applyNumberFormat="1"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protection locked="0"/>
    </xf>
    <xf numFmtId="0" fontId="103" fillId="5" borderId="24" xfId="0" applyFont="1" applyFill="1" applyBorder="1" applyAlignment="1" applyProtection="1">
      <alignment vertical="center" textRotation="255" wrapText="1"/>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110" fillId="5" borderId="9" xfId="0" applyNumberFormat="1" applyFont="1" applyFill="1" applyBorder="1" applyAlignment="1" applyProtection="1">
      <alignment horizontal="center" vertical="center" wrapText="1"/>
    </xf>
    <xf numFmtId="49" fontId="86" fillId="5" borderId="59" xfId="0" applyNumberFormat="1" applyFont="1" applyFill="1" applyBorder="1" applyAlignment="1" applyProtection="1">
      <alignment vertical="center"/>
    </xf>
    <xf numFmtId="49" fontId="86" fillId="2" borderId="7" xfId="0" applyNumberFormat="1" applyFont="1" applyFill="1" applyBorder="1" applyAlignment="1" applyProtection="1">
      <alignment vertical="center"/>
      <protection locked="0"/>
    </xf>
    <xf numFmtId="0" fontId="86" fillId="5" borderId="30" xfId="0" applyFont="1" applyFill="1" applyBorder="1" applyAlignment="1" applyProtection="1">
      <alignment horizontal="right" vertical="center" wrapText="1"/>
    </xf>
    <xf numFmtId="0" fontId="86" fillId="5" borderId="57" xfId="0" applyFont="1" applyFill="1" applyBorder="1" applyAlignment="1" applyProtection="1">
      <alignment vertical="center" wrapText="1"/>
    </xf>
    <xf numFmtId="0" fontId="111" fillId="3" borderId="30" xfId="0" applyFont="1" applyFill="1" applyBorder="1" applyAlignment="1" applyProtection="1">
      <alignment vertical="center" wrapText="1"/>
      <protection locked="0"/>
    </xf>
    <xf numFmtId="0" fontId="111" fillId="5" borderId="30" xfId="0" applyFont="1" applyFill="1" applyBorder="1" applyAlignment="1" applyProtection="1">
      <alignment vertical="center" wrapText="1"/>
    </xf>
    <xf numFmtId="0" fontId="111" fillId="3" borderId="59" xfId="0" applyFont="1" applyFill="1" applyBorder="1" applyAlignment="1" applyProtection="1">
      <alignment vertical="center" wrapText="1"/>
      <protection locked="0"/>
    </xf>
    <xf numFmtId="0" fontId="111" fillId="5" borderId="57" xfId="0" applyFont="1" applyFill="1" applyBorder="1" applyAlignment="1" applyProtection="1">
      <alignment vertical="center" wrapText="1"/>
    </xf>
    <xf numFmtId="49" fontId="86" fillId="5" borderId="60" xfId="0" applyNumberFormat="1" applyFont="1" applyFill="1" applyBorder="1" applyAlignment="1" applyProtection="1">
      <alignment vertical="center"/>
    </xf>
    <xf numFmtId="49" fontId="86" fillId="5" borderId="48" xfId="0" applyNumberFormat="1" applyFont="1" applyFill="1" applyBorder="1" applyAlignment="1" applyProtection="1">
      <alignment vertical="center"/>
    </xf>
    <xf numFmtId="184" fontId="86" fillId="5" borderId="56" xfId="0" applyNumberFormat="1" applyFont="1" applyFill="1" applyBorder="1" applyAlignment="1" applyProtection="1">
      <alignment vertical="center" wrapText="1"/>
    </xf>
    <xf numFmtId="0" fontId="86" fillId="5" borderId="48" xfId="0" applyFont="1" applyFill="1" applyBorder="1" applyAlignment="1" applyProtection="1">
      <alignment vertical="center" wrapText="1"/>
    </xf>
    <xf numFmtId="0" fontId="86" fillId="5" borderId="56" xfId="0" applyFont="1" applyFill="1" applyBorder="1" applyAlignment="1" applyProtection="1">
      <alignment vertical="center" wrapText="1"/>
    </xf>
    <xf numFmtId="184" fontId="86" fillId="5" borderId="60" xfId="0" applyNumberFormat="1" applyFont="1" applyFill="1" applyBorder="1" applyAlignment="1" applyProtection="1">
      <alignment vertical="center" wrapText="1"/>
    </xf>
    <xf numFmtId="49" fontId="86" fillId="0" borderId="54" xfId="0" applyNumberFormat="1" applyFont="1" applyFill="1" applyBorder="1" applyAlignment="1" applyProtection="1">
      <alignment vertical="center"/>
      <protection locked="0"/>
    </xf>
    <xf numFmtId="49" fontId="86" fillId="0" borderId="66" xfId="0" applyNumberFormat="1" applyFont="1" applyFill="1" applyBorder="1" applyAlignment="1" applyProtection="1">
      <alignment vertical="center"/>
      <protection locked="0"/>
    </xf>
    <xf numFmtId="184" fontId="86" fillId="5" borderId="61" xfId="0" applyNumberFormat="1" applyFont="1" applyFill="1" applyBorder="1" applyAlignment="1" applyProtection="1">
      <alignment vertical="center" wrapText="1"/>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wrapText="1"/>
    </xf>
    <xf numFmtId="181" fontId="87" fillId="5" borderId="5" xfId="0" applyNumberFormat="1" applyFont="1" applyFill="1" applyBorder="1" applyAlignment="1" applyProtection="1">
      <alignment horizontal="center" vertical="center"/>
    </xf>
    <xf numFmtId="181" fontId="87" fillId="5" borderId="9" xfId="0" applyNumberFormat="1" applyFont="1" applyFill="1" applyBorder="1" applyAlignment="1" applyProtection="1">
      <alignment vertical="center"/>
    </xf>
    <xf numFmtId="0" fontId="86" fillId="5" borderId="9" xfId="0" applyFont="1" applyFill="1" applyBorder="1" applyAlignment="1" applyProtection="1">
      <alignment horizontal="center" vertical="center" wrapText="1"/>
    </xf>
    <xf numFmtId="14" fontId="87" fillId="5" borderId="1" xfId="0" applyNumberFormat="1" applyFont="1" applyFill="1" applyBorder="1" applyAlignment="1" applyProtection="1">
      <alignment horizontal="left" vertical="center"/>
    </xf>
    <xf numFmtId="176" fontId="87" fillId="5" borderId="6" xfId="0" applyNumberFormat="1" applyFont="1" applyFill="1" applyBorder="1" applyAlignment="1" applyProtection="1">
      <alignment horizontal="center" vertical="center"/>
    </xf>
    <xf numFmtId="0" fontId="87" fillId="5" borderId="6" xfId="0" applyFont="1" applyFill="1" applyBorder="1" applyAlignment="1" applyProtection="1">
      <alignment horizontal="center" vertical="center"/>
    </xf>
    <xf numFmtId="0" fontId="87" fillId="5" borderId="7" xfId="0" applyFont="1" applyFill="1" applyBorder="1" applyAlignment="1" applyProtection="1">
      <alignment horizontal="center" vertical="center"/>
    </xf>
    <xf numFmtId="0" fontId="89" fillId="5" borderId="11" xfId="0" applyFont="1" applyFill="1" applyBorder="1" applyAlignment="1" applyProtection="1"/>
    <xf numFmtId="184" fontId="89" fillId="5" borderId="2" xfId="2" applyNumberFormat="1" applyFont="1" applyFill="1" applyBorder="1" applyAlignment="1" applyProtection="1">
      <alignment horizontal="center"/>
    </xf>
    <xf numFmtId="0" fontId="89" fillId="5" borderId="2" xfId="0" applyFont="1" applyFill="1" applyBorder="1" applyAlignment="1" applyProtection="1">
      <alignment horizontal="center"/>
    </xf>
    <xf numFmtId="177" fontId="89" fillId="5" borderId="12" xfId="2" applyNumberFormat="1" applyFont="1" applyFill="1" applyBorder="1" applyAlignment="1" applyProtection="1">
      <alignment horizontal="center"/>
    </xf>
    <xf numFmtId="0" fontId="89" fillId="5" borderId="11" xfId="2" applyFont="1" applyFill="1" applyBorder="1" applyAlignment="1" applyProtection="1"/>
    <xf numFmtId="0" fontId="89" fillId="5" borderId="2" xfId="2" applyFont="1" applyFill="1" applyBorder="1" applyAlignment="1" applyProtection="1">
      <alignment horizontal="center"/>
    </xf>
    <xf numFmtId="179" fontId="89" fillId="0" borderId="2" xfId="2" applyNumberFormat="1" applyFont="1" applyFill="1" applyBorder="1" applyAlignment="1" applyProtection="1">
      <alignment horizontal="center"/>
      <protection locked="0"/>
    </xf>
    <xf numFmtId="0" fontId="79" fillId="5" borderId="12" xfId="0" applyFont="1" applyFill="1" applyBorder="1" applyAlignment="1" applyProtection="1">
      <alignment horizontal="center" vertical="center"/>
    </xf>
    <xf numFmtId="179" fontId="89" fillId="5" borderId="2" xfId="2" applyNumberFormat="1" applyFont="1" applyFill="1" applyBorder="1" applyAlignment="1" applyProtection="1">
      <alignment horizontal="center"/>
    </xf>
    <xf numFmtId="0" fontId="98" fillId="5" borderId="43" xfId="2" applyFont="1" applyFill="1" applyBorder="1" applyAlignment="1" applyProtection="1"/>
    <xf numFmtId="0" fontId="89" fillId="5" borderId="44" xfId="0" applyFont="1" applyFill="1" applyBorder="1" applyAlignment="1" applyProtection="1">
      <alignment horizontal="center"/>
    </xf>
    <xf numFmtId="177" fontId="98" fillId="5" borderId="46" xfId="0" applyNumberFormat="1" applyFont="1" applyFill="1" applyBorder="1" applyAlignment="1" applyProtection="1">
      <alignment horizontal="center"/>
    </xf>
    <xf numFmtId="0" fontId="78" fillId="5" borderId="26" xfId="0" applyNumberFormat="1" applyFont="1" applyFill="1" applyBorder="1" applyAlignment="1" applyProtection="1">
      <alignment vertical="center" wrapText="1"/>
    </xf>
    <xf numFmtId="0" fontId="78" fillId="5" borderId="58" xfId="0" applyNumberFormat="1" applyFont="1" applyFill="1" applyBorder="1" applyAlignment="1" applyProtection="1">
      <alignment vertical="center" wrapText="1"/>
    </xf>
    <xf numFmtId="0" fontId="78" fillId="5" borderId="31"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wrapText="1"/>
    </xf>
    <xf numFmtId="0" fontId="74" fillId="5" borderId="32"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8" fillId="5" borderId="54" xfId="0" applyNumberFormat="1" applyFont="1" applyFill="1" applyBorder="1" applyAlignment="1" applyProtection="1">
      <alignment vertical="center"/>
    </xf>
    <xf numFmtId="0" fontId="78" fillId="5" borderId="67" xfId="0" applyNumberFormat="1" applyFont="1" applyFill="1" applyBorder="1" applyAlignment="1" applyProtection="1">
      <alignment vertical="center" wrapText="1"/>
    </xf>
    <xf numFmtId="0" fontId="74" fillId="0" borderId="67"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74" fillId="0" borderId="6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vertical="center" wrapText="1"/>
    </xf>
    <xf numFmtId="0" fontId="74" fillId="5" borderId="20" xfId="0" applyNumberFormat="1"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0" borderId="51"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vertical="center" wrapText="1"/>
    </xf>
    <xf numFmtId="0" fontId="74" fillId="5" borderId="27" xfId="0" applyNumberFormat="1" applyFont="1" applyFill="1" applyBorder="1" applyAlignment="1" applyProtection="1">
      <alignment horizontal="center" vertical="center" wrapText="1"/>
    </xf>
    <xf numFmtId="0" fontId="108" fillId="0" borderId="6" xfId="0" applyNumberFormat="1" applyFont="1" applyFill="1" applyBorder="1" applyAlignment="1" applyProtection="1">
      <alignment horizontal="center" vertical="center" wrapText="1"/>
      <protection locked="0"/>
    </xf>
    <xf numFmtId="0" fontId="108" fillId="0" borderId="6" xfId="0" applyNumberFormat="1" applyFont="1" applyFill="1" applyBorder="1" applyAlignment="1" applyProtection="1">
      <alignment horizontal="left" vertical="center" wrapText="1"/>
      <protection locked="0"/>
    </xf>
    <xf numFmtId="0" fontId="108" fillId="0" borderId="7"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wrapText="1"/>
    </xf>
    <xf numFmtId="0" fontId="83" fillId="5" borderId="70"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protection locked="0"/>
    </xf>
    <xf numFmtId="0" fontId="87" fillId="0" borderId="72" xfId="0" applyNumberFormat="1" applyFont="1" applyFill="1" applyBorder="1" applyAlignment="1" applyProtection="1">
      <alignment horizontal="center" vertical="center" wrapText="1"/>
      <protection locked="0"/>
    </xf>
    <xf numFmtId="0" fontId="74" fillId="5" borderId="73" xfId="0" applyNumberFormat="1" applyFont="1" applyFill="1" applyBorder="1" applyAlignment="1" applyProtection="1">
      <alignment horizontal="center" vertical="center" wrapText="1"/>
    </xf>
    <xf numFmtId="0" fontId="87"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center" vertical="center" wrapText="1"/>
    </xf>
    <xf numFmtId="0" fontId="108" fillId="5" borderId="74" xfId="0" applyNumberFormat="1" applyFont="1" applyFill="1" applyBorder="1" applyAlignment="1" applyProtection="1">
      <alignment horizontal="left" vertical="center" wrapText="1"/>
    </xf>
    <xf numFmtId="0" fontId="108" fillId="5" borderId="75" xfId="0" applyNumberFormat="1" applyFont="1" applyFill="1" applyBorder="1" applyAlignment="1" applyProtection="1">
      <alignment horizontal="center" vertical="center" wrapText="1"/>
    </xf>
    <xf numFmtId="0" fontId="74" fillId="5" borderId="70" xfId="0" applyNumberFormat="1" applyFont="1" applyFill="1" applyBorder="1" applyAlignment="1" applyProtection="1">
      <alignment horizontal="center" vertical="center" wrapText="1"/>
    </xf>
    <xf numFmtId="0" fontId="87" fillId="5" borderId="71" xfId="0" applyNumberFormat="1" applyFont="1" applyFill="1" applyBorder="1" applyAlignment="1" applyProtection="1">
      <alignment horizontal="center" vertical="center" wrapText="1"/>
    </xf>
    <xf numFmtId="0" fontId="87" fillId="5" borderId="72" xfId="0" applyNumberFormat="1" applyFont="1" applyFill="1" applyBorder="1" applyAlignment="1" applyProtection="1">
      <alignment horizontal="center" vertical="center" wrapText="1"/>
    </xf>
    <xf numFmtId="0" fontId="74" fillId="5" borderId="3" xfId="0" applyNumberFormat="1" applyFont="1" applyFill="1" applyBorder="1" applyAlignment="1" applyProtection="1">
      <alignment horizontal="center" vertical="center" wrapText="1"/>
    </xf>
    <xf numFmtId="0" fontId="87" fillId="5" borderId="2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108" fillId="0" borderId="12"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wrapText="1"/>
    </xf>
    <xf numFmtId="0" fontId="74"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4"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left" vertical="center" wrapText="1"/>
      <protection locked="0"/>
    </xf>
    <xf numFmtId="0" fontId="83" fillId="0" borderId="51" xfId="0" applyNumberFormat="1" applyFont="1" applyFill="1" applyBorder="1" applyAlignment="1" applyProtection="1">
      <alignment horizontal="center" vertical="center" wrapText="1"/>
      <protection locked="0"/>
    </xf>
    <xf numFmtId="0" fontId="103" fillId="5" borderId="23" xfId="0" applyNumberFormat="1" applyFont="1" applyFill="1" applyBorder="1" applyAlignment="1" applyProtection="1">
      <alignment vertical="center" wrapText="1"/>
    </xf>
    <xf numFmtId="0" fontId="74" fillId="5" borderId="55" xfId="0" applyNumberFormat="1" applyFont="1" applyFill="1" applyBorder="1" applyAlignment="1" applyProtection="1">
      <alignment horizontal="center" vertical="center" wrapText="1"/>
    </xf>
    <xf numFmtId="0" fontId="74" fillId="0" borderId="44"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4" fillId="5" borderId="6" xfId="0" applyNumberFormat="1" applyFont="1" applyFill="1" applyBorder="1" applyAlignment="1" applyProtection="1">
      <alignment horizontal="center" vertical="center" wrapText="1"/>
    </xf>
    <xf numFmtId="0" fontId="87"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center" vertical="center" wrapText="1"/>
    </xf>
    <xf numFmtId="0" fontId="108" fillId="5" borderId="6" xfId="0" applyNumberFormat="1" applyFont="1" applyFill="1" applyBorder="1" applyAlignment="1" applyProtection="1">
      <alignment horizontal="left" vertical="center" wrapText="1"/>
    </xf>
    <xf numFmtId="0" fontId="108" fillId="5" borderId="7" xfId="0" applyNumberFormat="1" applyFont="1" applyFill="1" applyBorder="1" applyAlignment="1" applyProtection="1">
      <alignment horizontal="center" vertical="center" wrapText="1"/>
    </xf>
    <xf numFmtId="0" fontId="74" fillId="5" borderId="74" xfId="0" applyNumberFormat="1" applyFont="1" applyFill="1" applyBorder="1" applyAlignment="1" applyProtection="1">
      <alignment horizontal="center" vertical="center" wrapText="1"/>
    </xf>
    <xf numFmtId="0" fontId="78" fillId="5" borderId="24" xfId="0" applyNumberFormat="1" applyFont="1" applyFill="1" applyBorder="1" applyAlignment="1" applyProtection="1">
      <alignment vertical="center" wrapText="1"/>
    </xf>
    <xf numFmtId="0" fontId="74" fillId="5" borderId="74" xfId="0" applyNumberFormat="1" applyFont="1" applyFill="1" applyBorder="1" applyAlignment="1" applyProtection="1">
      <alignment horizontal="left" vertical="center" wrapText="1"/>
    </xf>
    <xf numFmtId="0" fontId="74" fillId="5" borderId="75" xfId="0" applyNumberFormat="1" applyFont="1" applyFill="1" applyBorder="1" applyAlignment="1" applyProtection="1">
      <alignment horizontal="center" vertical="center" wrapText="1"/>
    </xf>
    <xf numFmtId="0" fontId="74" fillId="5" borderId="71"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left" vertical="center" wrapText="1"/>
    </xf>
    <xf numFmtId="0" fontId="83" fillId="5" borderId="75"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center" vertical="center" wrapText="1"/>
      <protection locked="0"/>
    </xf>
    <xf numFmtId="0" fontId="108" fillId="0" borderId="74" xfId="0" applyNumberFormat="1" applyFont="1" applyFill="1" applyBorder="1" applyAlignment="1" applyProtection="1">
      <alignment horizontal="left" vertical="center" wrapText="1"/>
      <protection locked="0"/>
    </xf>
    <xf numFmtId="0" fontId="108" fillId="0" borderId="75"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center" vertical="center" wrapText="1"/>
      <protection locked="0"/>
    </xf>
    <xf numFmtId="0" fontId="108" fillId="0" borderId="21" xfId="0" applyNumberFormat="1" applyFont="1" applyFill="1" applyBorder="1" applyAlignment="1" applyProtection="1">
      <alignment horizontal="left" vertical="center" wrapText="1"/>
      <protection locked="0"/>
    </xf>
    <xf numFmtId="0" fontId="108" fillId="0" borderId="51" xfId="0" applyNumberFormat="1" applyFont="1" applyFill="1" applyBorder="1" applyAlignment="1" applyProtection="1">
      <alignment horizontal="center" vertical="center" wrapText="1"/>
      <protection locked="0"/>
    </xf>
    <xf numFmtId="0" fontId="87" fillId="0" borderId="44" xfId="0" applyNumberFormat="1" applyFont="1" applyFill="1" applyBorder="1" applyAlignment="1" applyProtection="1">
      <alignment horizontal="center" vertical="center" wrapText="1"/>
      <protection locked="0"/>
    </xf>
    <xf numFmtId="0" fontId="87" fillId="0" borderId="46" xfId="0" applyNumberFormat="1" applyFont="1" applyFill="1" applyBorder="1" applyAlignment="1" applyProtection="1">
      <alignment horizontal="center" vertical="center" wrapText="1"/>
      <protection locked="0"/>
    </xf>
    <xf numFmtId="0" fontId="103" fillId="5" borderId="24" xfId="0" applyNumberFormat="1" applyFont="1" applyFill="1" applyBorder="1" applyAlignment="1" applyProtection="1">
      <alignment vertical="center" textRotation="255" wrapText="1"/>
    </xf>
    <xf numFmtId="0" fontId="74" fillId="5" borderId="13" xfId="0" applyNumberFormat="1" applyFont="1" applyFill="1" applyBorder="1" applyAlignment="1" applyProtection="1">
      <alignment horizontal="center" vertical="center"/>
    </xf>
    <xf numFmtId="0" fontId="74"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12" xfId="0" applyNumberFormat="1" applyFont="1" applyFill="1" applyBorder="1" applyAlignment="1" applyProtection="1">
      <alignment horizontal="center" vertical="center" wrapText="1"/>
      <protection locked="0"/>
    </xf>
    <xf numFmtId="0" fontId="87" fillId="0" borderId="25" xfId="0" applyNumberFormat="1" applyFont="1" applyFill="1" applyBorder="1" applyAlignment="1" applyProtection="1">
      <alignment horizontal="center" vertical="center" wrapText="1"/>
      <protection locked="0"/>
    </xf>
    <xf numFmtId="0" fontId="86" fillId="5" borderId="24" xfId="0" applyNumberFormat="1" applyFont="1" applyFill="1" applyBorder="1" applyAlignment="1" applyProtection="1">
      <alignment vertical="center" textRotation="255" wrapText="1"/>
    </xf>
    <xf numFmtId="0" fontId="83" fillId="5" borderId="55" xfId="0" applyNumberFormat="1" applyFont="1" applyFill="1" applyBorder="1" applyAlignment="1" applyProtection="1">
      <alignment horizontal="center" vertical="center" wrapText="1"/>
    </xf>
    <xf numFmtId="0" fontId="114" fillId="5" borderId="14" xfId="0" applyFont="1" applyFill="1" applyBorder="1" applyAlignment="1" applyProtection="1">
      <alignment vertical="center"/>
    </xf>
    <xf numFmtId="0" fontId="115" fillId="5" borderId="0" xfId="0" applyFont="1" applyFill="1" applyAlignment="1" applyProtection="1">
      <alignment horizontal="center" vertical="center"/>
    </xf>
    <xf numFmtId="187" fontId="114" fillId="5" borderId="14"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horizontal="center" vertical="center" wrapText="1"/>
    </xf>
    <xf numFmtId="0" fontId="87" fillId="0" borderId="47" xfId="0" applyNumberFormat="1" applyFont="1" applyFill="1" applyBorder="1" applyAlignment="1" applyProtection="1">
      <alignment horizontal="center" vertical="center" wrapText="1"/>
      <protection locked="0"/>
    </xf>
    <xf numFmtId="0" fontId="100" fillId="5" borderId="30" xfId="2" applyFont="1" applyFill="1" applyBorder="1" applyAlignment="1" applyProtection="1">
      <alignment vertical="center"/>
    </xf>
    <xf numFmtId="0" fontId="98" fillId="5" borderId="1" xfId="2" applyFont="1" applyFill="1" applyBorder="1" applyAlignment="1" applyProtection="1">
      <alignment horizontal="left" vertical="center"/>
    </xf>
    <xf numFmtId="0" fontId="98" fillId="5" borderId="29" xfId="2" applyFont="1" applyFill="1" applyBorder="1" applyAlignment="1" applyProtection="1">
      <alignment vertical="center"/>
    </xf>
    <xf numFmtId="177" fontId="98" fillId="5" borderId="6" xfId="2" applyNumberFormat="1" applyFont="1" applyFill="1" applyBorder="1" applyAlignment="1" applyProtection="1">
      <alignment horizontal="center" vertical="center"/>
    </xf>
    <xf numFmtId="0" fontId="98" fillId="5" borderId="6" xfId="2" applyFont="1" applyFill="1" applyBorder="1" applyAlignment="1" applyProtection="1">
      <alignment horizontal="center" vertical="center"/>
    </xf>
    <xf numFmtId="0" fontId="98" fillId="5" borderId="7" xfId="2" applyFont="1" applyFill="1" applyBorder="1" applyAlignment="1" applyProtection="1">
      <alignment horizontal="left" vertical="center"/>
    </xf>
    <xf numFmtId="0" fontId="98" fillId="5" borderId="5" xfId="2" applyFont="1" applyFill="1" applyBorder="1" applyAlignment="1" applyProtection="1">
      <alignment vertical="center"/>
    </xf>
    <xf numFmtId="177" fontId="98" fillId="5" borderId="2" xfId="2" applyNumberFormat="1" applyFont="1" applyFill="1" applyBorder="1" applyAlignment="1" applyProtection="1">
      <alignment horizontal="center" vertical="center"/>
    </xf>
    <xf numFmtId="0" fontId="98" fillId="5" borderId="2" xfId="2" applyFont="1" applyFill="1" applyBorder="1" applyAlignment="1" applyProtection="1">
      <alignment horizontal="center" vertical="center"/>
    </xf>
    <xf numFmtId="0" fontId="98" fillId="5" borderId="12" xfId="2" applyFont="1" applyFill="1" applyBorder="1" applyAlignment="1" applyProtection="1">
      <alignment horizontal="left" vertical="center"/>
    </xf>
    <xf numFmtId="0" fontId="89" fillId="5" borderId="5" xfId="2"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177" fontId="89" fillId="5" borderId="2" xfId="2" applyNumberFormat="1" applyFont="1" applyFill="1" applyBorder="1" applyAlignment="1" applyProtection="1">
      <alignment vertical="center"/>
    </xf>
    <xf numFmtId="10" fontId="89" fillId="5" borderId="2" xfId="2" applyNumberFormat="1" applyFont="1" applyFill="1" applyBorder="1" applyAlignment="1" applyProtection="1">
      <alignment horizontal="center" vertical="center"/>
    </xf>
    <xf numFmtId="0" fontId="116" fillId="5" borderId="5" xfId="2" applyFont="1" applyFill="1" applyBorder="1" applyAlignment="1" applyProtection="1">
      <alignment vertical="center"/>
    </xf>
    <xf numFmtId="177" fontId="116" fillId="5" borderId="2" xfId="2" applyNumberFormat="1" applyFont="1" applyFill="1" applyBorder="1" applyAlignment="1" applyProtection="1">
      <alignment horizontal="center" vertical="center"/>
    </xf>
    <xf numFmtId="177" fontId="116" fillId="5" borderId="2" xfId="2" applyNumberFormat="1" applyFont="1" applyFill="1" applyBorder="1" applyAlignment="1" applyProtection="1">
      <alignment vertical="center"/>
    </xf>
    <xf numFmtId="0" fontId="89" fillId="5" borderId="12" xfId="2" applyFont="1" applyFill="1" applyBorder="1" applyAlignment="1" applyProtection="1">
      <alignment vertical="center" wrapText="1"/>
    </xf>
    <xf numFmtId="179" fontId="98" fillId="5" borderId="2" xfId="2" applyNumberFormat="1" applyFont="1" applyFill="1" applyBorder="1" applyAlignment="1" applyProtection="1">
      <alignment horizontal="center" vertical="center"/>
    </xf>
    <xf numFmtId="9" fontId="98" fillId="5" borderId="5" xfId="2" applyNumberFormat="1" applyFont="1" applyFill="1" applyBorder="1" applyAlignment="1" applyProtection="1">
      <alignment horizontal="center" vertical="center"/>
    </xf>
    <xf numFmtId="0" fontId="98" fillId="5" borderId="2" xfId="0" applyFont="1" applyFill="1" applyBorder="1" applyAlignment="1" applyProtection="1">
      <alignment horizontal="right" vertical="center"/>
    </xf>
    <xf numFmtId="0" fontId="98" fillId="5" borderId="2" xfId="0" applyFont="1" applyFill="1" applyBorder="1" applyAlignment="1" applyProtection="1">
      <alignment horizontal="left" vertical="center"/>
    </xf>
    <xf numFmtId="10" fontId="98" fillId="5" borderId="5" xfId="2" applyNumberFormat="1" applyFont="1" applyFill="1" applyBorder="1" applyAlignment="1" applyProtection="1">
      <alignment horizontal="center" vertical="center"/>
    </xf>
    <xf numFmtId="0" fontId="98" fillId="5" borderId="12" xfId="0" applyFont="1" applyFill="1" applyBorder="1" applyAlignment="1" applyProtection="1">
      <alignment vertical="center" wrapText="1"/>
    </xf>
    <xf numFmtId="0" fontId="98" fillId="5" borderId="5" xfId="2" applyNumberFormat="1" applyFont="1" applyFill="1" applyBorder="1" applyAlignment="1" applyProtection="1">
      <alignment horizontal="center" vertical="center"/>
    </xf>
    <xf numFmtId="0" fontId="98" fillId="5" borderId="45" xfId="2" applyFont="1" applyFill="1" applyBorder="1" applyAlignment="1" applyProtection="1">
      <alignment vertical="center"/>
    </xf>
    <xf numFmtId="177" fontId="98" fillId="5" borderId="44" xfId="2" applyNumberFormat="1" applyFont="1" applyFill="1" applyBorder="1" applyAlignment="1" applyProtection="1">
      <alignment horizontal="center" vertical="center"/>
    </xf>
    <xf numFmtId="179" fontId="98" fillId="5" borderId="44" xfId="2" applyNumberFormat="1" applyFont="1" applyFill="1" applyBorder="1" applyAlignment="1" applyProtection="1">
      <alignment horizontal="center" vertical="center"/>
    </xf>
    <xf numFmtId="9" fontId="98" fillId="5" borderId="45" xfId="2" applyNumberFormat="1" applyFont="1" applyFill="1" applyBorder="1" applyAlignment="1" applyProtection="1">
      <alignment horizontal="center" vertical="center"/>
    </xf>
    <xf numFmtId="0" fontId="98" fillId="5" borderId="46" xfId="0" applyFont="1" applyFill="1" applyBorder="1" applyAlignment="1" applyProtection="1">
      <alignment vertical="center" wrapText="1"/>
    </xf>
    <xf numFmtId="49" fontId="105" fillId="5" borderId="19" xfId="0" applyNumberFormat="1" applyFont="1" applyFill="1" applyBorder="1" applyAlignment="1" applyProtection="1"/>
    <xf numFmtId="49" fontId="104" fillId="2" borderId="35" xfId="0" applyNumberFormat="1" applyFont="1" applyFill="1" applyBorder="1" applyAlignment="1" applyProtection="1">
      <alignment horizontal="left"/>
      <protection locked="0"/>
    </xf>
    <xf numFmtId="177" fontId="104" fillId="5" borderId="19" xfId="0" applyNumberFormat="1" applyFont="1" applyFill="1" applyBorder="1" applyAlignment="1" applyProtection="1"/>
    <xf numFmtId="0" fontId="73" fillId="5" borderId="2" xfId="0" applyFont="1" applyFill="1" applyBorder="1" applyAlignment="1" applyProtection="1">
      <alignment horizontal="center" vertical="center"/>
    </xf>
    <xf numFmtId="49" fontId="104" fillId="5" borderId="0" xfId="0" applyNumberFormat="1" applyFont="1" applyFill="1" applyBorder="1" applyAlignment="1" applyProtection="1">
      <alignment horizontal="center"/>
    </xf>
    <xf numFmtId="49" fontId="79" fillId="5" borderId="1"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29" xfId="0" applyFont="1" applyFill="1" applyBorder="1" applyAlignment="1" applyProtection="1">
      <alignment horizontal="right" vertical="center"/>
    </xf>
    <xf numFmtId="0" fontId="79" fillId="5" borderId="57" xfId="0" applyFont="1" applyFill="1" applyBorder="1" applyAlignment="1" applyProtection="1">
      <alignment horizontal="center" vertical="center"/>
    </xf>
    <xf numFmtId="49" fontId="88" fillId="5" borderId="22" xfId="0" applyNumberFormat="1" applyFont="1" applyFill="1" applyBorder="1" applyAlignment="1" applyProtection="1">
      <alignment vertical="center"/>
    </xf>
    <xf numFmtId="0" fontId="88" fillId="5" borderId="10" xfId="0" applyFont="1" applyFill="1" applyBorder="1" applyAlignment="1" applyProtection="1">
      <alignment vertical="center" wrapText="1"/>
    </xf>
    <xf numFmtId="0" fontId="88" fillId="5" borderId="10" xfId="0" applyFont="1" applyFill="1" applyBorder="1" applyAlignment="1" applyProtection="1">
      <alignment horizontal="center" vertical="center"/>
    </xf>
    <xf numFmtId="0" fontId="79" fillId="5" borderId="2" xfId="0" applyFont="1" applyFill="1" applyBorder="1" applyAlignment="1" applyProtection="1">
      <alignment horizontal="left" vertical="center"/>
    </xf>
    <xf numFmtId="0" fontId="88" fillId="5" borderId="12" xfId="0" applyFont="1" applyFill="1" applyBorder="1" applyAlignment="1" applyProtection="1">
      <alignment horizontal="center" vertical="center"/>
    </xf>
    <xf numFmtId="49" fontId="88" fillId="5" borderId="24" xfId="0" applyNumberFormat="1" applyFont="1" applyFill="1" applyBorder="1" applyAlignment="1" applyProtection="1">
      <alignment vertical="center"/>
    </xf>
    <xf numFmtId="0" fontId="88" fillId="5" borderId="3" xfId="0" applyFont="1" applyFill="1" applyBorder="1" applyAlignment="1" applyProtection="1">
      <alignment vertical="center" wrapText="1"/>
    </xf>
    <xf numFmtId="0" fontId="88" fillId="5" borderId="3" xfId="0" applyFont="1" applyFill="1" applyBorder="1" applyAlignment="1" applyProtection="1">
      <alignment horizontal="center" vertical="center"/>
    </xf>
    <xf numFmtId="0" fontId="79" fillId="5" borderId="3" xfId="0" applyFont="1" applyFill="1" applyBorder="1" applyAlignment="1" applyProtection="1">
      <alignment vertical="center"/>
    </xf>
    <xf numFmtId="49" fontId="88" fillId="5" borderId="50" xfId="0" applyNumberFormat="1" applyFont="1" applyFill="1" applyBorder="1" applyAlignment="1" applyProtection="1">
      <alignment vertical="center"/>
    </xf>
    <xf numFmtId="0" fontId="88" fillId="5" borderId="21" xfId="0" applyFont="1" applyFill="1" applyBorder="1" applyAlignment="1" applyProtection="1">
      <alignment vertical="center" wrapText="1"/>
    </xf>
    <xf numFmtId="0" fontId="88" fillId="5" borderId="21" xfId="0" applyFont="1" applyFill="1" applyBorder="1" applyAlignment="1" applyProtection="1">
      <alignment horizontal="center" vertical="center"/>
    </xf>
    <xf numFmtId="0" fontId="79" fillId="5" borderId="21" xfId="0" applyFont="1" applyFill="1" applyBorder="1" applyAlignment="1" applyProtection="1">
      <alignment vertical="center"/>
    </xf>
    <xf numFmtId="181" fontId="88" fillId="5" borderId="12" xfId="0" applyNumberFormat="1" applyFont="1" applyFill="1" applyBorder="1" applyAlignment="1" applyProtection="1">
      <alignment horizontal="center" vertical="center"/>
    </xf>
    <xf numFmtId="0" fontId="79" fillId="5" borderId="10" xfId="0" applyFont="1" applyFill="1" applyBorder="1" applyAlignment="1" applyProtection="1">
      <alignment horizontal="left" vertical="center"/>
    </xf>
    <xf numFmtId="181" fontId="88" fillId="5" borderId="25" xfId="0" applyNumberFormat="1" applyFont="1" applyFill="1" applyBorder="1" applyAlignment="1" applyProtection="1">
      <alignment horizontal="center" vertical="center"/>
    </xf>
    <xf numFmtId="49" fontId="88" fillId="5" borderId="11" xfId="0" applyNumberFormat="1" applyFont="1" applyFill="1" applyBorder="1" applyAlignment="1" applyProtection="1">
      <alignment horizontal="left" vertical="center"/>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xf>
    <xf numFmtId="181" fontId="79" fillId="5" borderId="25" xfId="0" applyNumberFormat="1" applyFont="1" applyFill="1" applyBorder="1" applyAlignment="1" applyProtection="1">
      <alignment horizontal="center" vertical="center"/>
    </xf>
    <xf numFmtId="0" fontId="102" fillId="5" borderId="8" xfId="0" applyFont="1" applyFill="1" applyBorder="1" applyAlignment="1" applyProtection="1">
      <alignment vertical="center"/>
    </xf>
    <xf numFmtId="0" fontId="102" fillId="5" borderId="16" xfId="0" applyFont="1" applyFill="1" applyBorder="1" applyAlignment="1" applyProtection="1">
      <alignment vertical="center"/>
    </xf>
    <xf numFmtId="49" fontId="79" fillId="5" borderId="11" xfId="0" applyNumberFormat="1" applyFont="1" applyFill="1" applyBorder="1" applyAlignment="1" applyProtection="1">
      <alignment horizontal="left" vertical="center"/>
    </xf>
    <xf numFmtId="0" fontId="155" fillId="5" borderId="5" xfId="0" applyFont="1" applyFill="1" applyBorder="1" applyAlignment="1" applyProtection="1">
      <alignment horizontal="center" vertical="center"/>
    </xf>
    <xf numFmtId="179" fontId="88" fillId="5" borderId="16" xfId="0" applyNumberFormat="1" applyFont="1" applyFill="1" applyBorder="1" applyAlignment="1" applyProtection="1">
      <alignment horizontal="center" vertical="center"/>
    </xf>
    <xf numFmtId="0" fontId="79" fillId="5" borderId="21" xfId="0" applyFont="1" applyFill="1" applyBorder="1" applyAlignment="1" applyProtection="1">
      <alignment horizontal="left" vertical="center"/>
    </xf>
    <xf numFmtId="181" fontId="79" fillId="5" borderId="51" xfId="0" applyNumberFormat="1" applyFont="1" applyFill="1" applyBorder="1" applyAlignment="1" applyProtection="1">
      <alignment horizontal="center" vertical="center"/>
    </xf>
    <xf numFmtId="181" fontId="88" fillId="5" borderId="10" xfId="0" applyNumberFormat="1" applyFont="1" applyFill="1" applyBorder="1" applyAlignment="1" applyProtection="1">
      <alignment horizontal="center" vertical="center"/>
    </xf>
    <xf numFmtId="181" fontId="79" fillId="5" borderId="12" xfId="0" applyNumberFormat="1" applyFont="1" applyFill="1" applyBorder="1" applyAlignment="1" applyProtection="1">
      <alignment horizontal="center" vertical="center"/>
    </xf>
    <xf numFmtId="181" fontId="79" fillId="5" borderId="16" xfId="0" applyNumberFormat="1" applyFont="1" applyFill="1" applyBorder="1" applyAlignment="1" applyProtection="1">
      <alignment horizontal="center" vertical="center" wrapText="1"/>
    </xf>
    <xf numFmtId="0" fontId="79" fillId="2"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49" fontId="79" fillId="5" borderId="22" xfId="0" applyNumberFormat="1" applyFont="1" applyFill="1" applyBorder="1" applyAlignment="1" applyProtection="1">
      <alignment vertical="center"/>
    </xf>
    <xf numFmtId="0" fontId="79" fillId="5" borderId="10" xfId="0" applyFont="1" applyFill="1" applyBorder="1" applyAlignment="1" applyProtection="1">
      <alignment horizontal="left" vertical="center" wrapText="1"/>
    </xf>
    <xf numFmtId="49" fontId="79" fillId="5" borderId="50" xfId="0" applyNumberFormat="1" applyFont="1" applyFill="1" applyBorder="1" applyAlignment="1" applyProtection="1">
      <alignment vertical="center"/>
    </xf>
    <xf numFmtId="0" fontId="79" fillId="5" borderId="21" xfId="0" applyFont="1" applyFill="1" applyBorder="1" applyAlignment="1" applyProtection="1">
      <alignment horizontal="left" vertical="center" wrapText="1"/>
    </xf>
    <xf numFmtId="10" fontId="88" fillId="5" borderId="12" xfId="0" applyNumberFormat="1" applyFont="1" applyFill="1" applyBorder="1" applyAlignment="1" applyProtection="1">
      <alignment horizontal="center" vertical="center"/>
    </xf>
    <xf numFmtId="182" fontId="88" fillId="5" borderId="12" xfId="0" applyNumberFormat="1" applyFont="1" applyFill="1" applyBorder="1" applyAlignment="1" applyProtection="1">
      <alignment horizontal="center" vertical="center"/>
    </xf>
    <xf numFmtId="10" fontId="79" fillId="5" borderId="12" xfId="0" applyNumberFormat="1" applyFont="1" applyFill="1" applyBorder="1" applyAlignment="1" applyProtection="1">
      <alignment horizontal="center" vertical="center"/>
    </xf>
    <xf numFmtId="0" fontId="79" fillId="5" borderId="16"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wrapText="1"/>
    </xf>
    <xf numFmtId="179" fontId="88" fillId="5" borderId="12" xfId="0" applyNumberFormat="1" applyFont="1" applyFill="1" applyBorder="1" applyAlignment="1" applyProtection="1">
      <alignment horizontal="center" vertical="center"/>
    </xf>
    <xf numFmtId="49" fontId="88" fillId="5" borderId="43" xfId="0" applyNumberFormat="1" applyFont="1" applyFill="1" applyBorder="1" applyAlignment="1" applyProtection="1">
      <alignment horizontal="left" vertical="center"/>
    </xf>
    <xf numFmtId="0" fontId="88" fillId="5" borderId="44" xfId="0" applyFont="1" applyFill="1" applyBorder="1" applyAlignment="1" applyProtection="1">
      <alignment horizontal="left" vertical="center"/>
    </xf>
    <xf numFmtId="0" fontId="88" fillId="5" borderId="44" xfId="0" applyFont="1" applyFill="1" applyBorder="1" applyAlignment="1" applyProtection="1">
      <alignment horizontal="center" vertical="center"/>
    </xf>
    <xf numFmtId="0" fontId="79" fillId="5" borderId="44" xfId="0" applyFont="1" applyFill="1" applyBorder="1" applyAlignment="1" applyProtection="1">
      <alignment vertical="center"/>
    </xf>
    <xf numFmtId="0" fontId="79" fillId="5" borderId="44" xfId="0" applyFont="1" applyFill="1" applyBorder="1" applyAlignment="1" applyProtection="1">
      <alignment horizontal="left" vertical="center"/>
    </xf>
    <xf numFmtId="179" fontId="88" fillId="5" borderId="46" xfId="0" applyNumberFormat="1" applyFont="1" applyFill="1" applyBorder="1" applyAlignment="1" applyProtection="1">
      <alignment horizontal="center" vertical="center"/>
    </xf>
    <xf numFmtId="0" fontId="88" fillId="5" borderId="9" xfId="0" applyFont="1" applyFill="1" applyBorder="1" applyAlignment="1" applyProtection="1">
      <alignment horizontal="center" vertical="center"/>
    </xf>
    <xf numFmtId="181" fontId="88" fillId="5" borderId="51" xfId="0" applyNumberFormat="1" applyFont="1" applyFill="1" applyBorder="1" applyAlignment="1" applyProtection="1">
      <alignment horizontal="center" vertical="center"/>
    </xf>
    <xf numFmtId="49" fontId="79" fillId="5" borderId="23" xfId="0" applyNumberFormat="1" applyFont="1" applyFill="1" applyBorder="1" applyAlignment="1" applyProtection="1">
      <alignment horizontal="left" vertical="center"/>
    </xf>
    <xf numFmtId="49" fontId="104" fillId="5" borderId="19" xfId="0" applyNumberFormat="1" applyFont="1" applyFill="1" applyBorder="1" applyAlignment="1" applyProtection="1"/>
    <xf numFmtId="0" fontId="100" fillId="5" borderId="44" xfId="2" applyFont="1" applyFill="1" applyBorder="1" applyAlignment="1" applyProtection="1">
      <alignment vertical="center"/>
    </xf>
    <xf numFmtId="0" fontId="73" fillId="5" borderId="44" xfId="0" applyFont="1" applyFill="1" applyBorder="1" applyAlignment="1" applyProtection="1">
      <alignment horizontal="center" vertical="center"/>
    </xf>
    <xf numFmtId="0" fontId="74" fillId="5" borderId="2" xfId="0" applyFont="1" applyFill="1" applyBorder="1" applyAlignment="1" applyProtection="1"/>
    <xf numFmtId="0" fontId="74" fillId="5" borderId="2" xfId="0" applyFont="1" applyFill="1" applyBorder="1" applyAlignment="1" applyProtection="1">
      <alignment horizontal="center"/>
    </xf>
    <xf numFmtId="0" fontId="89" fillId="5" borderId="2" xfId="0" applyFont="1" applyFill="1" applyBorder="1" applyAlignment="1" applyProtection="1">
      <alignment horizontal="left"/>
    </xf>
    <xf numFmtId="184" fontId="89" fillId="5" borderId="2" xfId="0" applyNumberFormat="1" applyFont="1" applyFill="1" applyBorder="1" applyAlignment="1" applyProtection="1">
      <alignment horizontal="center"/>
    </xf>
    <xf numFmtId="0" fontId="89" fillId="5" borderId="2" xfId="0" applyFont="1" applyFill="1" applyBorder="1" applyAlignment="1" applyProtection="1">
      <alignment vertical="center" wrapText="1"/>
    </xf>
    <xf numFmtId="181" fontId="88" fillId="5" borderId="2" xfId="0" applyNumberFormat="1" applyFont="1" applyFill="1" applyBorder="1" applyAlignment="1" applyProtection="1">
      <alignment horizontal="center" vertical="center"/>
    </xf>
    <xf numFmtId="0" fontId="160" fillId="5" borderId="2" xfId="0" applyFont="1" applyFill="1" applyBorder="1" applyAlignment="1" applyProtection="1">
      <alignment horizontal="left"/>
    </xf>
    <xf numFmtId="0" fontId="160" fillId="5" borderId="2" xfId="0" applyFont="1" applyFill="1" applyBorder="1" applyAlignment="1" applyProtection="1">
      <alignment horizontal="center"/>
    </xf>
    <xf numFmtId="0" fontId="120" fillId="5" borderId="2" xfId="0" applyFont="1" applyFill="1" applyBorder="1" applyAlignment="1" applyProtection="1">
      <alignment horizontal="left"/>
    </xf>
    <xf numFmtId="0" fontId="120" fillId="5" borderId="2" xfId="0" applyFont="1" applyFill="1" applyBorder="1" applyAlignment="1" applyProtection="1">
      <alignment horizontal="center"/>
    </xf>
    <xf numFmtId="181" fontId="89" fillId="5" borderId="2" xfId="0" applyNumberFormat="1" applyFont="1" applyFill="1" applyBorder="1" applyAlignment="1" applyProtection="1">
      <alignment horizontal="center"/>
    </xf>
    <xf numFmtId="0" fontId="109" fillId="5" borderId="2" xfId="0" applyFont="1" applyFill="1" applyBorder="1" applyAlignment="1" applyProtection="1">
      <alignment horizontal="center" vertical="center"/>
    </xf>
    <xf numFmtId="0" fontId="79" fillId="5" borderId="2" xfId="0" applyFont="1" applyFill="1" applyBorder="1" applyAlignment="1" applyProtection="1"/>
    <xf numFmtId="181" fontId="79" fillId="5" borderId="2" xfId="0" applyNumberFormat="1" applyFont="1" applyFill="1" applyBorder="1" applyAlignment="1" applyProtection="1">
      <alignment horizontal="center"/>
    </xf>
    <xf numFmtId="0" fontId="104" fillId="2" borderId="14" xfId="0" applyFont="1" applyFill="1" applyBorder="1" applyAlignment="1" applyProtection="1">
      <alignment vertical="center"/>
      <protection locked="0"/>
    </xf>
    <xf numFmtId="0" fontId="100" fillId="5" borderId="2" xfId="0" applyFont="1" applyFill="1" applyBorder="1" applyAlignment="1" applyProtection="1">
      <alignment horizontal="right" vertical="center"/>
    </xf>
    <xf numFmtId="0" fontId="100" fillId="5" borderId="10" xfId="0" applyFont="1" applyFill="1" applyBorder="1" applyAlignment="1" applyProtection="1">
      <alignment horizontal="right" vertical="center"/>
    </xf>
    <xf numFmtId="0" fontId="100" fillId="5" borderId="10" xfId="0" applyFont="1" applyFill="1" applyBorder="1" applyAlignment="1" applyProtection="1">
      <alignment horizontal="center" vertical="center"/>
    </xf>
    <xf numFmtId="187" fontId="74" fillId="5" borderId="57" xfId="0" applyNumberFormat="1" applyFont="1" applyFill="1" applyBorder="1" applyAlignment="1" applyProtection="1">
      <alignment horizontal="center" vertical="center" wrapText="1"/>
    </xf>
    <xf numFmtId="187" fontId="74" fillId="5" borderId="16" xfId="0" applyNumberFormat="1" applyFont="1" applyFill="1" applyBorder="1" applyAlignment="1" applyProtection="1">
      <alignment horizontal="center" vertical="center" wrapText="1"/>
    </xf>
    <xf numFmtId="0" fontId="74" fillId="5" borderId="16" xfId="0" applyNumberFormat="1" applyFont="1" applyFill="1" applyBorder="1" applyAlignment="1" applyProtection="1">
      <alignment horizontal="center" vertical="center" wrapText="1"/>
    </xf>
    <xf numFmtId="49" fontId="74" fillId="2" borderId="62" xfId="0" applyNumberFormat="1"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74" fillId="2" borderId="42" xfId="0" applyNumberFormat="1" applyFont="1" applyFill="1" applyBorder="1" applyAlignment="1" applyProtection="1">
      <alignment horizontal="center" vertical="center" wrapText="1"/>
      <protection locked="0"/>
    </xf>
    <xf numFmtId="0" fontId="74" fillId="5" borderId="29" xfId="0" applyNumberFormat="1" applyFont="1" applyFill="1" applyBorder="1" applyAlignment="1" applyProtection="1">
      <alignment horizontal="center" vertical="center" wrapText="1"/>
    </xf>
    <xf numFmtId="49" fontId="74" fillId="2" borderId="1" xfId="0" applyNumberFormat="1" applyFont="1" applyFill="1" applyBorder="1" applyAlignment="1" applyProtection="1">
      <alignment horizontal="center" vertical="center" wrapText="1"/>
      <protection locked="0"/>
    </xf>
    <xf numFmtId="49" fontId="74" fillId="2" borderId="11" xfId="0" applyNumberFormat="1" applyFont="1" applyFill="1" applyBorder="1" applyAlignment="1" applyProtection="1">
      <alignment horizontal="center" vertical="center" wrapText="1"/>
      <protection locked="0"/>
    </xf>
    <xf numFmtId="49" fontId="74" fillId="2" borderId="9" xfId="0" applyNumberFormat="1" applyFont="1" applyFill="1" applyBorder="1" applyAlignment="1" applyProtection="1">
      <alignment horizontal="center" vertical="center" wrapText="1"/>
      <protection locked="0"/>
    </xf>
    <xf numFmtId="0" fontId="74" fillId="5" borderId="5" xfId="0" applyNumberFormat="1" applyFont="1" applyFill="1" applyBorder="1" applyAlignment="1" applyProtection="1">
      <alignment horizontal="center" vertical="center" wrapText="1"/>
    </xf>
    <xf numFmtId="0" fontId="109" fillId="0" borderId="16" xfId="0" applyNumberFormat="1" applyFont="1" applyFill="1" applyBorder="1" applyAlignment="1" applyProtection="1">
      <alignment horizontal="center" vertical="center" wrapText="1"/>
      <protection locked="0"/>
    </xf>
    <xf numFmtId="0" fontId="109" fillId="5" borderId="16" xfId="0" applyNumberFormat="1" applyFont="1" applyFill="1" applyBorder="1" applyAlignment="1" applyProtection="1">
      <alignment horizontal="center" vertical="center" wrapText="1"/>
    </xf>
    <xf numFmtId="0" fontId="87" fillId="5" borderId="45" xfId="0" applyNumberFormat="1" applyFont="1" applyFill="1" applyBorder="1" applyAlignment="1" applyProtection="1">
      <alignment horizontal="center" vertical="center" wrapText="1"/>
    </xf>
    <xf numFmtId="49" fontId="87" fillId="5" borderId="53" xfId="0" applyNumberFormat="1" applyFont="1" applyFill="1" applyBorder="1" applyAlignment="1" applyProtection="1">
      <alignment horizontal="center" vertical="center" wrapText="1"/>
    </xf>
    <xf numFmtId="0" fontId="109" fillId="0" borderId="76" xfId="0" applyNumberFormat="1" applyFont="1" applyFill="1" applyBorder="1" applyAlignment="1" applyProtection="1">
      <alignment horizontal="center" vertical="center" wrapText="1"/>
      <protection locked="0"/>
    </xf>
    <xf numFmtId="0" fontId="87" fillId="5" borderId="0" xfId="0" applyFont="1" applyFill="1" applyBorder="1" applyAlignment="1" applyProtection="1">
      <alignment horizontal="center" vertical="center"/>
    </xf>
    <xf numFmtId="0" fontId="109" fillId="5" borderId="77" xfId="0" applyNumberFormat="1" applyFont="1" applyFill="1" applyBorder="1" applyAlignment="1" applyProtection="1">
      <alignment horizontal="center" vertical="center" wrapText="1"/>
    </xf>
    <xf numFmtId="0" fontId="74" fillId="5" borderId="4" xfId="0" applyFont="1" applyFill="1" applyBorder="1" applyAlignment="1" applyProtection="1">
      <alignment horizontal="center" vertical="center" wrapText="1"/>
    </xf>
    <xf numFmtId="0" fontId="87" fillId="5" borderId="22" xfId="0" applyNumberFormat="1" applyFont="1" applyFill="1" applyBorder="1" applyAlignment="1" applyProtection="1">
      <alignment horizontal="center" vertical="center" wrapText="1"/>
    </xf>
    <xf numFmtId="0" fontId="87" fillId="2" borderId="24" xfId="0" applyNumberFormat="1" applyFont="1" applyFill="1" applyBorder="1" applyAlignment="1" applyProtection="1">
      <alignment horizontal="center" vertical="center" wrapText="1"/>
      <protection locked="0"/>
    </xf>
    <xf numFmtId="49" fontId="87" fillId="2" borderId="9" xfId="0" applyNumberFormat="1" applyFont="1" applyFill="1" applyBorder="1" applyAlignment="1" applyProtection="1">
      <alignment horizontal="center" vertical="center" wrapText="1"/>
      <protection locked="0"/>
    </xf>
    <xf numFmtId="0" fontId="74" fillId="5" borderId="51" xfId="0" applyNumberFormat="1" applyFont="1" applyFill="1" applyBorder="1" applyAlignment="1" applyProtection="1">
      <alignment horizontal="center" vertical="center" wrapText="1"/>
    </xf>
    <xf numFmtId="0" fontId="74" fillId="5" borderId="17" xfId="0" applyNumberFormat="1" applyFont="1" applyFill="1" applyBorder="1" applyAlignment="1" applyProtection="1">
      <alignment horizontal="center" vertical="center" wrapText="1"/>
    </xf>
    <xf numFmtId="0" fontId="74" fillId="0" borderId="5" xfId="0" applyFont="1" applyFill="1" applyBorder="1" applyAlignment="1" applyProtection="1">
      <alignment horizontal="center" vertical="center" wrapText="1"/>
      <protection locked="0"/>
    </xf>
    <xf numFmtId="0" fontId="87" fillId="2" borderId="1" xfId="0" applyFont="1" applyFill="1" applyBorder="1" applyAlignment="1" applyProtection="1">
      <alignment horizontal="center" vertical="center" wrapText="1"/>
      <protection locked="0"/>
    </xf>
    <xf numFmtId="0" fontId="87" fillId="2" borderId="42" xfId="0"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87" fillId="2" borderId="11" xfId="0" applyFont="1" applyFill="1" applyBorder="1" applyAlignment="1" applyProtection="1">
      <alignment horizontal="center" vertical="center" wrapText="1"/>
      <protection locked="0"/>
    </xf>
    <xf numFmtId="0" fontId="87" fillId="2" borderId="9" xfId="0" applyFont="1" applyFill="1" applyBorder="1" applyAlignment="1" applyProtection="1">
      <alignment horizontal="center" vertical="center" wrapText="1"/>
      <protection locked="0"/>
    </xf>
    <xf numFmtId="9" fontId="74" fillId="0" borderId="64" xfId="0" applyNumberFormat="1" applyFont="1" applyFill="1" applyBorder="1" applyAlignment="1" applyProtection="1">
      <alignment horizontal="center" vertical="center" wrapText="1"/>
      <protection locked="0"/>
    </xf>
    <xf numFmtId="9" fontId="74" fillId="0" borderId="9" xfId="0" applyNumberFormat="1" applyFont="1" applyFill="1" applyBorder="1" applyAlignment="1" applyProtection="1">
      <alignment horizontal="center" vertical="center" wrapText="1"/>
      <protection locked="0"/>
    </xf>
    <xf numFmtId="9" fontId="74" fillId="0" borderId="11" xfId="0" applyNumberFormat="1" applyFont="1" applyFill="1" applyBorder="1" applyAlignment="1" applyProtection="1">
      <alignment horizontal="center" vertical="center" wrapText="1"/>
      <protection locked="0"/>
    </xf>
    <xf numFmtId="0" fontId="86" fillId="5" borderId="23" xfId="0" applyFont="1" applyFill="1" applyBorder="1" applyAlignment="1" applyProtection="1">
      <alignment vertical="center" textRotation="255" wrapText="1"/>
    </xf>
    <xf numFmtId="49" fontId="86" fillId="5" borderId="30" xfId="0" applyNumberFormat="1" applyFont="1" applyFill="1" applyBorder="1" applyAlignment="1" applyProtection="1">
      <alignment vertical="center"/>
    </xf>
    <xf numFmtId="49" fontId="86" fillId="5" borderId="56" xfId="0" applyNumberFormat="1" applyFont="1" applyFill="1" applyBorder="1" applyAlignment="1" applyProtection="1">
      <alignment vertical="center"/>
    </xf>
    <xf numFmtId="0" fontId="74" fillId="0" borderId="32" xfId="0" applyNumberFormat="1" applyFont="1" applyFill="1" applyBorder="1" applyAlignment="1" applyProtection="1">
      <alignment horizontal="center" vertical="center" wrapText="1"/>
      <protection locked="0"/>
    </xf>
    <xf numFmtId="0" fontId="74" fillId="0" borderId="74" xfId="0" applyNumberFormat="1" applyFont="1" applyFill="1" applyBorder="1" applyAlignment="1" applyProtection="1">
      <alignment horizontal="left" vertical="center" wrapText="1"/>
      <protection locked="0"/>
    </xf>
    <xf numFmtId="0" fontId="74" fillId="0" borderId="7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protection locked="0"/>
    </xf>
    <xf numFmtId="0" fontId="86" fillId="5" borderId="23" xfId="0" applyNumberFormat="1" applyFont="1" applyFill="1" applyBorder="1" applyAlignment="1" applyProtection="1">
      <alignment vertical="center" wrapText="1"/>
    </xf>
    <xf numFmtId="0" fontId="74"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wrapText="1"/>
    </xf>
    <xf numFmtId="0" fontId="83" fillId="5" borderId="12" xfId="0" applyNumberFormat="1" applyFont="1" applyFill="1" applyBorder="1" applyAlignment="1" applyProtection="1">
      <alignment horizontal="center" vertical="center" wrapText="1"/>
    </xf>
    <xf numFmtId="0" fontId="109" fillId="0" borderId="22" xfId="0" applyNumberFormat="1" applyFont="1" applyFill="1" applyBorder="1" applyAlignment="1" applyProtection="1">
      <alignment horizontal="center" vertical="center" wrapText="1"/>
      <protection locked="0"/>
    </xf>
    <xf numFmtId="0" fontId="109" fillId="5" borderId="50" xfId="0" applyNumberFormat="1" applyFont="1" applyFill="1" applyBorder="1" applyAlignment="1" applyProtection="1">
      <alignment horizontal="center" vertical="center" wrapText="1"/>
    </xf>
    <xf numFmtId="49" fontId="87" fillId="5" borderId="22" xfId="0" applyNumberFormat="1" applyFont="1" applyFill="1" applyBorder="1" applyAlignment="1" applyProtection="1">
      <alignment horizontal="center" vertical="center" wrapText="1"/>
    </xf>
    <xf numFmtId="0" fontId="74" fillId="2" borderId="50" xfId="0" applyNumberFormat="1" applyFont="1" applyFill="1" applyBorder="1" applyAlignment="1" applyProtection="1">
      <alignment horizontal="center" vertical="center" wrapText="1"/>
      <protection locked="0"/>
    </xf>
    <xf numFmtId="17" fontId="83" fillId="0" borderId="64" xfId="0" applyNumberFormat="1"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center" vertical="center" wrapText="1"/>
      <protection locked="0"/>
    </xf>
    <xf numFmtId="0" fontId="108" fillId="0" borderId="3" xfId="0" applyNumberFormat="1" applyFont="1" applyFill="1" applyBorder="1" applyAlignment="1" applyProtection="1">
      <alignment horizontal="left" vertical="center" wrapText="1"/>
      <protection locked="0"/>
    </xf>
    <xf numFmtId="0" fontId="108" fillId="0" borderId="52" xfId="0" applyNumberFormat="1" applyFont="1" applyFill="1" applyBorder="1" applyAlignment="1" applyProtection="1">
      <alignment horizontal="center" vertical="center" wrapText="1"/>
      <protection locked="0"/>
    </xf>
    <xf numFmtId="0" fontId="152" fillId="0" borderId="74" xfId="0" applyNumberFormat="1" applyFont="1" applyFill="1" applyBorder="1" applyAlignment="1" applyProtection="1">
      <alignment horizontal="center" vertical="center" wrapText="1"/>
      <protection locked="0"/>
    </xf>
    <xf numFmtId="0" fontId="74" fillId="0" borderId="20" xfId="0" applyNumberFormat="1" applyFont="1" applyFill="1" applyBorder="1" applyAlignment="1" applyProtection="1">
      <alignment horizontal="center" vertical="center" wrapText="1"/>
      <protection locked="0"/>
    </xf>
    <xf numFmtId="0" fontId="74" fillId="0" borderId="23" xfId="0" applyNumberFormat="1" applyFont="1" applyFill="1" applyBorder="1" applyAlignment="1" applyProtection="1">
      <alignment horizontal="center" vertical="center" wrapText="1"/>
      <protection locked="0"/>
    </xf>
    <xf numFmtId="0" fontId="87" fillId="0" borderId="8" xfId="0" applyNumberFormat="1" applyFont="1" applyFill="1" applyBorder="1" applyAlignment="1" applyProtection="1">
      <alignment horizontal="center" vertical="center" wrapText="1"/>
      <protection locked="0"/>
    </xf>
    <xf numFmtId="0" fontId="74" fillId="2" borderId="20" xfId="0" applyNumberFormat="1" applyFont="1" applyFill="1" applyBorder="1" applyAlignment="1" applyProtection="1">
      <alignment horizontal="center" vertical="center" wrapText="1"/>
      <protection locked="0"/>
    </xf>
    <xf numFmtId="0" fontId="74" fillId="0" borderId="46" xfId="0" applyFont="1" applyFill="1" applyBorder="1" applyAlignment="1" applyProtection="1">
      <alignment horizontal="center" vertical="center" wrapText="1"/>
      <protection locked="0"/>
    </xf>
    <xf numFmtId="0" fontId="87" fillId="0" borderId="56" xfId="0" applyNumberFormat="1" applyFont="1" applyFill="1" applyBorder="1" applyAlignment="1" applyProtection="1">
      <alignment horizontal="center" vertical="center" wrapText="1"/>
      <protection locked="0"/>
    </xf>
    <xf numFmtId="0" fontId="87" fillId="2" borderId="1" xfId="0" applyNumberFormat="1" applyFont="1" applyFill="1" applyBorder="1" applyAlignment="1" applyProtection="1">
      <alignment horizontal="center" vertical="center" wrapText="1"/>
      <protection locked="0"/>
    </xf>
    <xf numFmtId="0" fontId="87" fillId="5" borderId="73" xfId="0" applyNumberFormat="1" applyFont="1" applyFill="1" applyBorder="1" applyAlignment="1" applyProtection="1">
      <alignment horizontal="center" vertical="center" wrapText="1"/>
    </xf>
    <xf numFmtId="0" fontId="87" fillId="0" borderId="74" xfId="0" applyNumberFormat="1" applyFont="1" applyFill="1" applyBorder="1" applyAlignment="1" applyProtection="1">
      <alignment horizontal="left" vertical="center" wrapText="1"/>
      <protection locked="0"/>
    </xf>
    <xf numFmtId="0" fontId="87" fillId="0" borderId="75"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87" fillId="5" borderId="53" xfId="0" applyNumberFormat="1"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104" fillId="2" borderId="14" xfId="0" applyFont="1" applyFill="1" applyBorder="1" applyAlignment="1" applyProtection="1">
      <alignment horizontal="right" vertical="center"/>
      <protection locked="0"/>
    </xf>
    <xf numFmtId="0" fontId="87" fillId="5" borderId="52" xfId="0" applyFont="1" applyFill="1" applyBorder="1" applyAlignment="1" applyProtection="1">
      <alignment horizontal="center" vertical="center"/>
    </xf>
    <xf numFmtId="0" fontId="74" fillId="0" borderId="25" xfId="0" applyFont="1" applyFill="1" applyBorder="1" applyAlignment="1" applyProtection="1">
      <alignment horizontal="center" vertical="center" wrapText="1"/>
      <protection locked="0"/>
    </xf>
    <xf numFmtId="0" fontId="74" fillId="5" borderId="69" xfId="0" applyNumberFormat="1" applyFont="1" applyFill="1" applyBorder="1" applyAlignment="1" applyProtection="1">
      <alignment horizontal="center" vertical="center" wrapText="1"/>
    </xf>
    <xf numFmtId="0" fontId="74" fillId="5" borderId="68" xfId="0" applyNumberFormat="1" applyFont="1" applyFill="1" applyBorder="1" applyAlignment="1" applyProtection="1">
      <alignment horizontal="center" vertical="center" wrapText="1"/>
    </xf>
    <xf numFmtId="0" fontId="87" fillId="5" borderId="50" xfId="0" applyNumberFormat="1" applyFont="1" applyFill="1" applyBorder="1" applyAlignment="1" applyProtection="1">
      <alignment horizontal="center" vertical="center" wrapText="1"/>
    </xf>
    <xf numFmtId="0" fontId="103" fillId="5" borderId="31" xfId="0" applyFont="1" applyFill="1" applyBorder="1" applyAlignment="1" applyProtection="1">
      <alignment vertical="center" textRotation="255" wrapText="1"/>
    </xf>
    <xf numFmtId="49" fontId="74" fillId="0" borderId="64"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vertical="center" textRotation="255" wrapText="1"/>
    </xf>
    <xf numFmtId="0" fontId="74" fillId="2"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86" fillId="5" borderId="54" xfId="0" applyFont="1" applyFill="1" applyBorder="1" applyAlignment="1" applyProtection="1">
      <alignment vertical="center" textRotation="255" wrapText="1"/>
    </xf>
    <xf numFmtId="0" fontId="87" fillId="5" borderId="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center" vertical="center" wrapText="1"/>
      <protection locked="0"/>
    </xf>
    <xf numFmtId="49" fontId="108" fillId="0" borderId="6" xfId="0" applyNumberFormat="1" applyFont="1" applyFill="1" applyBorder="1" applyAlignment="1" applyProtection="1">
      <alignment horizontal="left" vertical="center" wrapText="1"/>
      <protection locked="0"/>
    </xf>
    <xf numFmtId="49" fontId="108" fillId="0" borderId="7"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74" fillId="5" borderId="52" xfId="0" applyNumberFormat="1" applyFont="1" applyFill="1" applyBorder="1" applyAlignment="1" applyProtection="1">
      <alignment horizontal="center" vertical="center" wrapText="1"/>
    </xf>
    <xf numFmtId="0" fontId="74" fillId="5" borderId="13" xfId="0" applyNumberFormat="1" applyFont="1" applyFill="1" applyBorder="1" applyAlignment="1" applyProtection="1">
      <alignment horizontal="center" vertical="center" wrapText="1"/>
    </xf>
    <xf numFmtId="0" fontId="87" fillId="5" borderId="29" xfId="0" applyNumberFormat="1" applyFont="1" applyFill="1" applyBorder="1" applyAlignment="1" applyProtection="1">
      <alignment horizontal="center" vertical="center" wrapText="1"/>
    </xf>
    <xf numFmtId="0" fontId="74" fillId="0" borderId="60" xfId="0" applyNumberFormat="1" applyFont="1" applyFill="1" applyBorder="1" applyAlignment="1" applyProtection="1">
      <alignment horizontal="center" vertical="center" wrapText="1"/>
      <protection locked="0"/>
    </xf>
    <xf numFmtId="0" fontId="108" fillId="5" borderId="3" xfId="0" applyNumberFormat="1" applyFont="1" applyFill="1" applyBorder="1" applyAlignment="1" applyProtection="1">
      <alignment horizontal="center" vertical="center" wrapText="1"/>
    </xf>
    <xf numFmtId="0" fontId="108" fillId="5" borderId="3" xfId="0" applyNumberFormat="1" applyFont="1" applyFill="1" applyBorder="1" applyAlignment="1" applyProtection="1">
      <alignment horizontal="left" vertical="center" wrapText="1"/>
    </xf>
    <xf numFmtId="0" fontId="108" fillId="5" borderId="52" xfId="0" applyNumberFormat="1" applyFont="1" applyFill="1" applyBorder="1" applyAlignment="1" applyProtection="1">
      <alignment horizontal="center" vertical="center" wrapText="1"/>
    </xf>
    <xf numFmtId="0" fontId="79" fillId="5" borderId="0" xfId="0" applyFont="1" applyFill="1" applyAlignment="1" applyProtection="1">
      <alignment horizontal="center" vertical="center"/>
    </xf>
    <xf numFmtId="0" fontId="79" fillId="5" borderId="26" xfId="0" applyNumberFormat="1" applyFont="1" applyFill="1" applyBorder="1" applyAlignment="1" applyProtection="1">
      <alignment horizontal="center" vertical="center" wrapText="1"/>
    </xf>
    <xf numFmtId="0" fontId="79" fillId="5" borderId="1"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79" fillId="5" borderId="39" xfId="0" applyNumberFormat="1" applyFont="1" applyFill="1" applyBorder="1" applyAlignment="1" applyProtection="1">
      <alignment horizontal="center" vertical="center" wrapText="1"/>
    </xf>
    <xf numFmtId="0" fontId="79" fillId="5" borderId="31" xfId="0" applyNumberFormat="1" applyFont="1" applyFill="1" applyBorder="1" applyAlignment="1" applyProtection="1">
      <alignment horizontal="center" vertical="center"/>
    </xf>
    <xf numFmtId="0" fontId="79" fillId="0" borderId="1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15" xfId="0" applyNumberFormat="1" applyFont="1" applyFill="1" applyBorder="1" applyAlignment="1" applyProtection="1">
      <alignment horizontal="center" vertical="center" wrapText="1"/>
    </xf>
    <xf numFmtId="0" fontId="79" fillId="0" borderId="65" xfId="0" applyNumberFormat="1" applyFont="1" applyFill="1" applyBorder="1" applyAlignment="1" applyProtection="1">
      <alignment horizontal="center" vertical="center" wrapText="1"/>
      <protection locked="0"/>
    </xf>
    <xf numFmtId="0" fontId="73" fillId="5" borderId="2" xfId="0" applyFont="1" applyFill="1" applyBorder="1" applyProtection="1">
      <alignment vertical="center"/>
    </xf>
    <xf numFmtId="0" fontId="120" fillId="0" borderId="2" xfId="0" applyFont="1" applyFill="1" applyBorder="1" applyAlignment="1" applyProtection="1">
      <alignment horizontal="center" vertical="center"/>
      <protection locked="0"/>
    </xf>
    <xf numFmtId="0" fontId="120" fillId="5" borderId="2" xfId="0" applyFont="1" applyFill="1" applyBorder="1" applyAlignment="1" applyProtection="1">
      <alignment horizontal="center" vertical="center"/>
    </xf>
    <xf numFmtId="0" fontId="120" fillId="2" borderId="2" xfId="0" applyFont="1" applyFill="1" applyBorder="1" applyAlignment="1" applyProtection="1">
      <alignment horizontal="center" vertical="center"/>
      <protection locked="0"/>
    </xf>
    <xf numFmtId="0" fontId="120" fillId="0" borderId="2" xfId="0" applyNumberFormat="1" applyFont="1" applyBorder="1" applyAlignment="1" applyProtection="1">
      <alignment horizontal="center" vertical="center"/>
      <protection locked="0"/>
    </xf>
    <xf numFmtId="0" fontId="79" fillId="0" borderId="2" xfId="0" applyFont="1" applyBorder="1" applyProtection="1">
      <alignment vertical="center"/>
      <protection locked="0"/>
    </xf>
    <xf numFmtId="0" fontId="85" fillId="5" borderId="9" xfId="0" applyFont="1" applyFill="1" applyBorder="1" applyAlignment="1" applyProtection="1">
      <alignment horizontal="center" vertical="center" wrapText="1"/>
    </xf>
    <xf numFmtId="0" fontId="55" fillId="5" borderId="18" xfId="0" applyFont="1" applyFill="1" applyBorder="1" applyAlignment="1" applyProtection="1">
      <alignment horizontal="center" vertical="center" wrapText="1"/>
    </xf>
    <xf numFmtId="0" fontId="78" fillId="5" borderId="59" xfId="0" applyFont="1" applyFill="1" applyBorder="1" applyAlignment="1" applyProtection="1">
      <alignment horizontal="left" vertical="center"/>
    </xf>
    <xf numFmtId="0" fontId="74" fillId="5" borderId="57" xfId="0" applyFont="1" applyFill="1" applyBorder="1" applyAlignment="1" applyProtection="1">
      <alignment horizontal="left" vertical="center"/>
    </xf>
    <xf numFmtId="0" fontId="78" fillId="5" borderId="81" xfId="0" applyFont="1" applyFill="1" applyBorder="1" applyAlignment="1" applyProtection="1">
      <alignment horizontal="right" vertical="center"/>
    </xf>
    <xf numFmtId="179" fontId="78" fillId="2" borderId="12" xfId="0" applyNumberFormat="1" applyFont="1" applyFill="1" applyBorder="1" applyAlignment="1" applyProtection="1">
      <alignment horizontal="center" vertical="center"/>
      <protection locked="0"/>
    </xf>
    <xf numFmtId="0" fontId="74" fillId="5" borderId="11" xfId="0" applyFont="1" applyFill="1" applyBorder="1" applyAlignment="1" applyProtection="1">
      <alignment horizontal="center" vertical="center"/>
    </xf>
    <xf numFmtId="179" fontId="7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vertical="center"/>
    </xf>
    <xf numFmtId="176" fontId="74" fillId="5" borderId="43" xfId="0" applyNumberFormat="1" applyFont="1" applyFill="1" applyBorder="1" applyAlignment="1" applyProtection="1">
      <alignment vertical="center"/>
    </xf>
    <xf numFmtId="176" fontId="74" fillId="5" borderId="69" xfId="0" applyNumberFormat="1" applyFont="1" applyFill="1" applyBorder="1" applyAlignment="1" applyProtection="1">
      <alignment vertical="center"/>
    </xf>
    <xf numFmtId="0" fontId="74" fillId="5" borderId="82" xfId="0" applyFont="1" applyFill="1" applyBorder="1" applyAlignment="1" applyProtection="1">
      <alignment horizontal="center" vertical="center"/>
    </xf>
    <xf numFmtId="0" fontId="89" fillId="0" borderId="51" xfId="2" applyNumberFormat="1" applyFont="1" applyFill="1" applyBorder="1" applyAlignment="1" applyProtection="1">
      <alignment horizontal="center" vertical="center"/>
      <protection locked="0"/>
    </xf>
    <xf numFmtId="0" fontId="74" fillId="5" borderId="22" xfId="0" applyFont="1" applyFill="1" applyBorder="1" applyAlignment="1" applyProtection="1">
      <alignment horizontal="left" vertical="center" wrapText="1"/>
    </xf>
    <xf numFmtId="0" fontId="79" fillId="6" borderId="37" xfId="0" applyFont="1" applyFill="1" applyBorder="1" applyProtection="1">
      <alignment vertical="center"/>
      <protection locked="0"/>
    </xf>
    <xf numFmtId="0" fontId="74" fillId="0" borderId="38" xfId="0" applyFont="1" applyFill="1" applyBorder="1" applyProtection="1">
      <alignment vertical="center"/>
      <protection locked="0"/>
    </xf>
    <xf numFmtId="0" fontId="78" fillId="0" borderId="44" xfId="0" applyFont="1" applyFill="1" applyBorder="1" applyAlignment="1" applyProtection="1">
      <alignment horizontal="center" vertical="center"/>
      <protection locked="0"/>
    </xf>
    <xf numFmtId="0" fontId="161" fillId="0" borderId="12" xfId="0" applyFont="1" applyFill="1" applyBorder="1" applyAlignment="1" applyProtection="1">
      <alignment vertical="center" wrapText="1"/>
      <protection locked="0"/>
    </xf>
    <xf numFmtId="0" fontId="161" fillId="0" borderId="46" xfId="0" applyFont="1" applyFill="1" applyBorder="1" applyAlignment="1" applyProtection="1">
      <alignment vertical="center" wrapText="1"/>
      <protection locked="0"/>
    </xf>
    <xf numFmtId="10" fontId="79"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0" fontId="79" fillId="5" borderId="5"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98" fillId="5" borderId="6"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xf>
    <xf numFmtId="0" fontId="79" fillId="5" borderId="9" xfId="0" applyFont="1" applyFill="1" applyBorder="1" applyAlignment="1" applyProtection="1">
      <alignment horizontal="center" vertical="center" wrapText="1"/>
    </xf>
    <xf numFmtId="0" fontId="79" fillId="5" borderId="25"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6" xfId="0" applyFont="1" applyFill="1" applyBorder="1" applyAlignment="1" applyProtection="1">
      <alignment horizontal="left"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0"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5" fillId="5" borderId="12" xfId="0" applyNumberFormat="1" applyFont="1" applyFill="1" applyBorder="1" applyAlignment="1" applyProtection="1">
      <alignment horizontal="center" vertical="center" wrapText="1"/>
    </xf>
    <xf numFmtId="0" fontId="163" fillId="5" borderId="0" xfId="0" applyFont="1" applyFill="1" applyAlignment="1" applyProtection="1">
      <alignment horizontal="center" vertical="center"/>
    </xf>
    <xf numFmtId="0" fontId="74" fillId="5" borderId="21" xfId="0" applyFont="1" applyFill="1" applyBorder="1" applyAlignment="1" applyProtection="1">
      <alignment horizontal="center" vertical="center" wrapText="1"/>
    </xf>
    <xf numFmtId="0" fontId="102" fillId="0" borderId="11" xfId="0" applyNumberFormat="1" applyFont="1" applyFill="1" applyBorder="1" applyAlignment="1" applyProtection="1">
      <alignment horizontal="center" vertical="center" wrapText="1"/>
      <protection locked="0"/>
    </xf>
    <xf numFmtId="179" fontId="50" fillId="0" borderId="19" xfId="5" applyNumberFormat="1" applyFont="1" applyBorder="1" applyAlignment="1" applyProtection="1">
      <alignment vertical="center"/>
    </xf>
    <xf numFmtId="0" fontId="50" fillId="0" borderId="19" xfId="5" applyNumberFormat="1" applyFont="1" applyBorder="1" applyAlignment="1" applyProtection="1">
      <alignment vertical="center"/>
    </xf>
    <xf numFmtId="0" fontId="148" fillId="0" borderId="0" xfId="5" applyNumberFormat="1" applyProtection="1">
      <alignment vertical="center"/>
    </xf>
    <xf numFmtId="179"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xf>
    <xf numFmtId="0" fontId="43" fillId="5" borderId="2" xfId="5" applyNumberFormat="1" applyFont="1" applyFill="1" applyBorder="1" applyAlignment="1" applyProtection="1">
      <alignment horizontal="center" vertical="center" wrapText="1"/>
    </xf>
    <xf numFmtId="0" fontId="43" fillId="5" borderId="3" xfId="5" applyNumberFormat="1" applyFont="1" applyFill="1" applyBorder="1" applyAlignment="1" applyProtection="1">
      <alignment horizontal="center" vertical="center"/>
    </xf>
    <xf numFmtId="0" fontId="89" fillId="5" borderId="3" xfId="5" applyNumberFormat="1" applyFont="1" applyFill="1" applyBorder="1" applyAlignment="1" applyProtection="1">
      <alignment horizontal="center" vertical="center" wrapText="1"/>
    </xf>
    <xf numFmtId="0" fontId="89" fillId="5" borderId="27" xfId="5" applyNumberFormat="1" applyFont="1" applyFill="1" applyBorder="1" applyAlignment="1" applyProtection="1">
      <alignment horizontal="center" vertical="center" wrapText="1"/>
    </xf>
    <xf numFmtId="0" fontId="161" fillId="5" borderId="28" xfId="5" applyNumberFormat="1" applyFont="1" applyFill="1" applyBorder="1" applyAlignment="1" applyProtection="1">
      <alignment horizontal="center" vertical="center" wrapText="1"/>
    </xf>
    <xf numFmtId="0" fontId="129" fillId="5" borderId="2" xfId="5" applyNumberFormat="1" applyFont="1" applyFill="1" applyBorder="1" applyAlignment="1" applyProtection="1">
      <alignment horizontal="center" vertical="center" wrapText="1"/>
    </xf>
    <xf numFmtId="0" fontId="164" fillId="5" borderId="2" xfId="5" applyNumberFormat="1" applyFont="1" applyFill="1" applyBorder="1" applyAlignment="1" applyProtection="1">
      <alignment horizontal="center" vertical="center"/>
    </xf>
    <xf numFmtId="0" fontId="165" fillId="5" borderId="2" xfId="5" applyNumberFormat="1" applyFont="1" applyFill="1" applyBorder="1" applyAlignment="1" applyProtection="1">
      <alignment horizontal="center" vertical="center"/>
    </xf>
    <xf numFmtId="0" fontId="148" fillId="0" borderId="0" xfId="5" applyNumberFormat="1" applyFont="1" applyProtection="1">
      <alignment vertical="center"/>
    </xf>
    <xf numFmtId="0" fontId="89" fillId="5" borderId="26" xfId="5" applyNumberFormat="1" applyFont="1" applyFill="1" applyBorder="1" applyAlignment="1" applyProtection="1">
      <alignment vertical="center" wrapText="1"/>
    </xf>
    <xf numFmtId="0" fontId="43" fillId="5" borderId="6"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xf>
    <xf numFmtId="0" fontId="43" fillId="5" borderId="21" xfId="5" applyNumberFormat="1" applyFont="1" applyFill="1" applyBorder="1" applyAlignment="1" applyProtection="1">
      <alignment horizontal="center" vertical="center" wrapText="1"/>
    </xf>
    <xf numFmtId="0" fontId="43" fillId="5" borderId="27" xfId="5" applyNumberFormat="1" applyFont="1" applyFill="1" applyBorder="1" applyAlignment="1" applyProtection="1">
      <alignment horizontal="center" vertical="center"/>
    </xf>
    <xf numFmtId="0" fontId="43" fillId="5" borderId="41" xfId="5" applyNumberFormat="1" applyFont="1" applyFill="1" applyBorder="1" applyAlignment="1" applyProtection="1">
      <alignment horizontal="center" vertical="center"/>
    </xf>
    <xf numFmtId="0" fontId="89" fillId="5" borderId="11"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wrapText="1"/>
    </xf>
    <xf numFmtId="0" fontId="161" fillId="5" borderId="12" xfId="5" applyNumberFormat="1" applyFont="1" applyFill="1" applyBorder="1" applyAlignment="1" applyProtection="1">
      <alignment horizontal="center" vertical="center" wrapText="1"/>
    </xf>
    <xf numFmtId="0" fontId="129" fillId="5" borderId="11" xfId="5" applyNumberFormat="1" applyFont="1" applyFill="1" applyBorder="1" applyAlignment="1" applyProtection="1">
      <alignment horizontal="center" vertical="center" wrapText="1"/>
    </xf>
    <xf numFmtId="0" fontId="89" fillId="5" borderId="43" xfId="5" applyNumberFormat="1" applyFont="1" applyFill="1" applyBorder="1" applyAlignment="1" applyProtection="1">
      <alignment horizontal="center" vertical="center" wrapText="1"/>
    </xf>
    <xf numFmtId="0" fontId="161" fillId="5" borderId="44" xfId="5" applyNumberFormat="1" applyFont="1" applyFill="1" applyBorder="1" applyAlignment="1" applyProtection="1">
      <alignment horizontal="center" vertical="center" wrapText="1"/>
    </xf>
    <xf numFmtId="0" fontId="161" fillId="5" borderId="46" xfId="5" applyNumberFormat="1" applyFont="1" applyFill="1" applyBorder="1" applyAlignment="1" applyProtection="1">
      <alignment horizontal="center" vertical="center" wrapText="1"/>
    </xf>
    <xf numFmtId="179" fontId="43" fillId="5" borderId="2" xfId="5" applyNumberFormat="1" applyFont="1" applyFill="1" applyBorder="1" applyAlignment="1" applyProtection="1">
      <alignment horizontal="center" vertical="center" wrapText="1"/>
    </xf>
    <xf numFmtId="179" fontId="148" fillId="0" borderId="0" xfId="5" applyNumberFormat="1" applyProtection="1">
      <alignment vertical="center"/>
    </xf>
    <xf numFmtId="0" fontId="100" fillId="5" borderId="10" xfId="3" applyFont="1" applyFill="1" applyBorder="1" applyAlignment="1" applyProtection="1">
      <alignment horizontal="right" vertical="center"/>
    </xf>
    <xf numFmtId="179" fontId="87" fillId="5" borderId="2" xfId="3" applyNumberFormat="1" applyFont="1" applyFill="1" applyBorder="1" applyAlignment="1" applyProtection="1">
      <alignment horizontal="center" vertical="center" wrapText="1"/>
    </xf>
    <xf numFmtId="177" fontId="87" fillId="0" borderId="2" xfId="3" applyNumberFormat="1" applyFont="1" applyFill="1" applyBorder="1" applyAlignment="1" applyProtection="1">
      <alignment horizontal="center" vertical="center" wrapText="1"/>
      <protection locked="0"/>
    </xf>
    <xf numFmtId="0" fontId="86" fillId="5" borderId="14" xfId="3" applyFont="1" applyFill="1" applyBorder="1" applyAlignment="1" applyProtection="1">
      <alignment horizontal="center" vertical="center"/>
    </xf>
    <xf numFmtId="0" fontId="98" fillId="5" borderId="49" xfId="3" applyFont="1" applyFill="1" applyBorder="1" applyAlignment="1" applyProtection="1">
      <alignment horizontal="center" vertical="center"/>
    </xf>
    <xf numFmtId="0" fontId="98" fillId="5" borderId="29" xfId="3" applyNumberFormat="1" applyFont="1" applyFill="1" applyBorder="1" applyAlignment="1" applyProtection="1">
      <alignment horizontal="center" vertical="center" wrapText="1"/>
    </xf>
    <xf numFmtId="0" fontId="89" fillId="0" borderId="6" xfId="3" applyFont="1" applyFill="1" applyBorder="1" applyAlignment="1" applyProtection="1">
      <alignment horizontal="center" vertical="center" wrapText="1"/>
      <protection locked="0"/>
    </xf>
    <xf numFmtId="0" fontId="89" fillId="5" borderId="21" xfId="3" applyFont="1" applyFill="1" applyBorder="1" applyAlignment="1" applyProtection="1">
      <alignment horizontal="center" vertical="center" wrapText="1"/>
    </xf>
    <xf numFmtId="0" fontId="89" fillId="5" borderId="17" xfId="3" applyFont="1" applyFill="1" applyBorder="1" applyAlignment="1" applyProtection="1">
      <alignment horizontal="center" vertical="center" wrapText="1"/>
    </xf>
    <xf numFmtId="9" fontId="89" fillId="5" borderId="2"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9" fillId="5" borderId="10" xfId="3" applyFont="1" applyFill="1" applyBorder="1" applyAlignment="1" applyProtection="1">
      <alignment horizontal="center" vertical="center" wrapText="1"/>
    </xf>
    <xf numFmtId="0" fontId="166" fillId="6" borderId="2" xfId="3" applyFont="1" applyFill="1" applyBorder="1" applyAlignment="1" applyProtection="1">
      <alignment horizontal="center" vertical="center" wrapText="1"/>
      <protection locked="0"/>
    </xf>
    <xf numFmtId="0" fontId="89" fillId="5" borderId="44" xfId="3" applyFont="1" applyFill="1" applyBorder="1" applyAlignment="1" applyProtection="1">
      <alignment horizontal="center" vertical="center" wrapText="1"/>
    </xf>
    <xf numFmtId="0" fontId="89" fillId="0" borderId="44" xfId="3" applyFont="1" applyFill="1" applyBorder="1" applyAlignment="1" applyProtection="1">
      <alignment horizontal="center" vertical="center" wrapText="1"/>
      <protection locked="0"/>
    </xf>
    <xf numFmtId="0" fontId="89" fillId="0" borderId="46" xfId="3" applyFont="1" applyFill="1" applyBorder="1" applyAlignment="1" applyProtection="1">
      <alignment horizontal="center" vertical="center" wrapText="1"/>
      <protection locked="0"/>
    </xf>
    <xf numFmtId="0" fontId="98" fillId="5" borderId="6" xfId="3" applyFont="1" applyFill="1" applyBorder="1" applyAlignment="1" applyProtection="1">
      <alignment horizontal="center" vertical="center" wrapText="1"/>
    </xf>
    <xf numFmtId="0" fontId="89" fillId="5" borderId="3" xfId="3" applyFont="1" applyFill="1" applyBorder="1" applyAlignment="1" applyProtection="1">
      <alignment horizontal="center" vertical="center" wrapText="1"/>
    </xf>
    <xf numFmtId="0" fontId="89" fillId="5" borderId="52" xfId="3" applyFont="1" applyFill="1" applyBorder="1" applyAlignment="1" applyProtection="1">
      <alignment horizontal="center" vertical="center" wrapText="1"/>
    </xf>
    <xf numFmtId="185" fontId="86" fillId="5" borderId="83" xfId="3" applyNumberFormat="1" applyFont="1" applyFill="1" applyBorder="1" applyAlignment="1" applyProtection="1">
      <alignment horizontal="center" vertical="center" wrapText="1"/>
    </xf>
    <xf numFmtId="14" fontId="87" fillId="5" borderId="83" xfId="3" applyNumberFormat="1" applyFont="1" applyFill="1" applyBorder="1" applyAlignment="1" applyProtection="1">
      <alignment horizontal="center" vertical="center" wrapText="1"/>
    </xf>
    <xf numFmtId="14" fontId="87" fillId="5" borderId="37"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6" fillId="5" borderId="21" xfId="3" applyFont="1" applyFill="1" applyBorder="1" applyAlignment="1" applyProtection="1">
      <alignment horizontal="center" vertical="center" wrapText="1"/>
    </xf>
    <xf numFmtId="185" fontId="86" fillId="5" borderId="10" xfId="3" applyNumberFormat="1" applyFont="1" applyFill="1" applyBorder="1" applyAlignment="1" applyProtection="1">
      <alignment horizontal="center" vertical="center" wrapText="1"/>
    </xf>
    <xf numFmtId="0" fontId="98" fillId="5" borderId="2" xfId="3" applyFont="1" applyFill="1" applyBorder="1" applyAlignment="1" applyProtection="1">
      <alignment horizontal="center" vertical="center" wrapText="1"/>
    </xf>
    <xf numFmtId="0" fontId="98" fillId="5" borderId="3" xfId="3" applyFont="1" applyFill="1" applyBorder="1" applyAlignment="1" applyProtection="1">
      <alignment horizontal="center" vertical="center" wrapText="1"/>
    </xf>
    <xf numFmtId="0" fontId="98" fillId="5" borderId="44" xfId="3" applyFont="1" applyFill="1" applyBorder="1" applyAlignment="1" applyProtection="1">
      <alignment horizontal="center" vertical="center" wrapText="1"/>
    </xf>
    <xf numFmtId="0" fontId="148" fillId="5" borderId="0" xfId="3" applyFill="1" applyProtection="1">
      <alignment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31" xfId="3" applyFill="1" applyBorder="1" applyProtection="1">
      <alignment vertical="center"/>
    </xf>
    <xf numFmtId="0" fontId="149" fillId="5" borderId="0" xfId="3" applyFont="1" applyFill="1" applyProtection="1">
      <alignment vertical="center"/>
    </xf>
    <xf numFmtId="0" fontId="148" fillId="5" borderId="53" xfId="3" applyFill="1" applyBorder="1" applyAlignment="1" applyProtection="1">
      <alignment horizontal="center" vertical="center"/>
    </xf>
    <xf numFmtId="0" fontId="148" fillId="5" borderId="27" xfId="3" applyFill="1" applyBorder="1" applyAlignment="1" applyProtection="1">
      <alignment horizontal="center" vertical="center"/>
    </xf>
    <xf numFmtId="0" fontId="148" fillId="5" borderId="41" xfId="3" applyFill="1" applyBorder="1" applyAlignment="1" applyProtection="1">
      <alignment horizontal="center" vertical="center"/>
    </xf>
    <xf numFmtId="0" fontId="168" fillId="5" borderId="11" xfId="3" applyFont="1" applyFill="1" applyBorder="1" applyAlignment="1" applyProtection="1">
      <alignment horizontal="center" vertical="center" wrapText="1"/>
    </xf>
    <xf numFmtId="0" fontId="168" fillId="5" borderId="2" xfId="3" applyFont="1" applyFill="1" applyBorder="1" applyAlignment="1" applyProtection="1">
      <alignment horizontal="center" vertical="center" wrapText="1"/>
    </xf>
    <xf numFmtId="0" fontId="149" fillId="5" borderId="28" xfId="3" applyFont="1" applyFill="1" applyBorder="1" applyProtection="1">
      <alignment vertical="center"/>
    </xf>
    <xf numFmtId="0" fontId="169" fillId="5" borderId="29" xfId="3" applyFont="1" applyFill="1" applyBorder="1" applyAlignment="1" applyProtection="1">
      <alignment horizontal="center" vertical="center"/>
    </xf>
    <xf numFmtId="0" fontId="149" fillId="5" borderId="31" xfId="3" applyFont="1" applyFill="1" applyBorder="1" applyProtection="1">
      <alignment vertical="center"/>
    </xf>
    <xf numFmtId="0" fontId="169" fillId="5" borderId="44" xfId="3" applyFont="1" applyFill="1" applyBorder="1" applyAlignment="1" applyProtection="1">
      <alignment horizontal="center" vertical="center"/>
    </xf>
    <xf numFmtId="0" fontId="169" fillId="5" borderId="45" xfId="3" applyFont="1" applyFill="1" applyBorder="1" applyAlignment="1" applyProtection="1">
      <alignment horizontal="center" vertical="center"/>
    </xf>
    <xf numFmtId="0" fontId="168" fillId="5" borderId="53" xfId="3" applyFont="1" applyFill="1" applyBorder="1" applyAlignment="1" applyProtection="1">
      <alignment vertical="center" wrapText="1"/>
    </xf>
    <xf numFmtId="0" fontId="168" fillId="5" borderId="6" xfId="3" applyFont="1" applyFill="1" applyBorder="1" applyAlignment="1" applyProtection="1">
      <alignment horizontal="center" vertical="center" wrapText="1"/>
    </xf>
    <xf numFmtId="0" fontId="168" fillId="5" borderId="29" xfId="3" applyFont="1" applyFill="1" applyBorder="1" applyAlignment="1" applyProtection="1">
      <alignment horizontal="center" vertical="center" wrapText="1"/>
    </xf>
    <xf numFmtId="0" fontId="150" fillId="5" borderId="1" xfId="3" applyFont="1" applyFill="1" applyBorder="1" applyAlignment="1" applyProtection="1">
      <alignment horizontal="center" vertical="center"/>
    </xf>
    <xf numFmtId="0" fontId="150" fillId="5" borderId="29" xfId="3" applyFont="1" applyFill="1" applyBorder="1" applyProtection="1">
      <alignment vertical="center"/>
    </xf>
    <xf numFmtId="0" fontId="168" fillId="5" borderId="17" xfId="3" applyFont="1" applyFill="1" applyBorder="1" applyAlignment="1" applyProtection="1">
      <alignment horizontal="center" vertical="center" wrapText="1"/>
    </xf>
    <xf numFmtId="0" fontId="150" fillId="5" borderId="11" xfId="3" applyFont="1" applyFill="1" applyBorder="1" applyAlignment="1" applyProtection="1">
      <alignment horizontal="center" vertical="center"/>
    </xf>
    <xf numFmtId="0" fontId="150" fillId="5" borderId="5" xfId="3" applyFont="1" applyFill="1" applyBorder="1" applyProtection="1">
      <alignment vertical="center"/>
    </xf>
    <xf numFmtId="0" fontId="168" fillId="5" borderId="21" xfId="3" applyFont="1" applyFill="1" applyBorder="1" applyAlignment="1" applyProtection="1">
      <alignment horizontal="center" vertical="center" wrapText="1"/>
    </xf>
    <xf numFmtId="0" fontId="168" fillId="5" borderId="55" xfId="3" applyFont="1" applyFill="1" applyBorder="1" applyAlignment="1" applyProtection="1">
      <alignment horizontal="center" vertical="center" wrapText="1"/>
    </xf>
    <xf numFmtId="0" fontId="168" fillId="5" borderId="44" xfId="3" applyFont="1" applyFill="1" applyBorder="1" applyAlignment="1" applyProtection="1">
      <alignment horizontal="center" vertical="center" wrapText="1"/>
    </xf>
    <xf numFmtId="0" fontId="163" fillId="5" borderId="45" xfId="3" applyFont="1" applyFill="1" applyBorder="1" applyProtection="1">
      <alignment vertical="center"/>
    </xf>
    <xf numFmtId="0" fontId="168" fillId="5" borderId="5" xfId="3" applyFont="1" applyFill="1" applyBorder="1" applyAlignment="1" applyProtection="1">
      <alignment horizontal="center" vertical="center" wrapText="1"/>
    </xf>
    <xf numFmtId="0" fontId="150" fillId="5" borderId="43" xfId="3" applyFont="1" applyFill="1" applyBorder="1" applyAlignment="1" applyProtection="1">
      <alignment horizontal="center" vertical="center"/>
    </xf>
    <xf numFmtId="0" fontId="150" fillId="5" borderId="45" xfId="3" applyFont="1" applyFill="1" applyBorder="1" applyProtection="1">
      <alignment vertical="center"/>
    </xf>
    <xf numFmtId="0" fontId="163" fillId="5" borderId="5" xfId="3" applyFont="1" applyFill="1" applyBorder="1" applyProtection="1">
      <alignment vertical="center"/>
    </xf>
    <xf numFmtId="0" fontId="170" fillId="5" borderId="0" xfId="3" applyFont="1" applyFill="1" applyBorder="1" applyProtection="1">
      <alignment vertical="center"/>
    </xf>
    <xf numFmtId="0" fontId="168" fillId="5" borderId="33" xfId="3" applyFont="1" applyFill="1" applyBorder="1" applyAlignment="1" applyProtection="1">
      <alignment vertical="center" wrapText="1"/>
    </xf>
    <xf numFmtId="0" fontId="171" fillId="5" borderId="0" xfId="3" applyFont="1" applyFill="1" applyProtection="1">
      <alignment vertical="center"/>
    </xf>
    <xf numFmtId="0" fontId="170" fillId="5" borderId="0" xfId="3" applyFont="1" applyFill="1" applyProtection="1">
      <alignment vertical="center"/>
    </xf>
    <xf numFmtId="0" fontId="168" fillId="5" borderId="45" xfId="3" applyFont="1" applyFill="1" applyBorder="1" applyAlignment="1" applyProtection="1">
      <alignment horizontal="center" vertical="center" wrapText="1"/>
    </xf>
    <xf numFmtId="0" fontId="148" fillId="5" borderId="5" xfId="3" applyFill="1" applyBorder="1" applyProtection="1">
      <alignment vertical="center"/>
    </xf>
    <xf numFmtId="0" fontId="148" fillId="5" borderId="2" xfId="3" applyFill="1" applyBorder="1" applyProtection="1">
      <alignment vertical="center"/>
    </xf>
    <xf numFmtId="0" fontId="148" fillId="5" borderId="29" xfId="3" applyFill="1" applyBorder="1" applyProtection="1">
      <alignment vertical="center"/>
    </xf>
    <xf numFmtId="0" fontId="148" fillId="5" borderId="0" xfId="3" applyFill="1" applyAlignment="1" applyProtection="1">
      <alignment horizontal="center" vertical="center"/>
    </xf>
    <xf numFmtId="0" fontId="148" fillId="5" borderId="53" xfId="3" applyFill="1" applyBorder="1" applyAlignment="1" applyProtection="1">
      <alignment horizontal="right" vertical="center"/>
    </xf>
    <xf numFmtId="0" fontId="148" fillId="5" borderId="1" xfId="3" applyFill="1" applyBorder="1" applyAlignment="1" applyProtection="1">
      <alignment horizontal="center" vertical="center"/>
    </xf>
    <xf numFmtId="178" fontId="148" fillId="5" borderId="6" xfId="3" applyNumberFormat="1" applyFill="1" applyBorder="1" applyAlignment="1" applyProtection="1">
      <alignment horizontal="center" vertical="center"/>
    </xf>
    <xf numFmtId="178" fontId="148" fillId="5" borderId="29" xfId="3" applyNumberFormat="1" applyFill="1" applyBorder="1" applyAlignment="1" applyProtection="1">
      <alignment horizontal="center" vertical="center"/>
    </xf>
    <xf numFmtId="178" fontId="148" fillId="5" borderId="7" xfId="3" applyNumberFormat="1" applyFill="1" applyBorder="1" applyAlignment="1" applyProtection="1">
      <alignment horizontal="center" vertical="center"/>
    </xf>
    <xf numFmtId="0" fontId="148" fillId="5" borderId="11" xfId="3" applyFill="1" applyBorder="1" applyAlignment="1" applyProtection="1">
      <alignment horizontal="center" vertical="center"/>
    </xf>
    <xf numFmtId="178" fontId="148" fillId="5" borderId="2" xfId="3" applyNumberFormat="1" applyFill="1" applyBorder="1" applyAlignment="1" applyProtection="1">
      <alignment horizontal="center" vertical="center"/>
    </xf>
    <xf numFmtId="178" fontId="148" fillId="5" borderId="5" xfId="3" applyNumberFormat="1" applyFill="1" applyBorder="1" applyAlignment="1" applyProtection="1">
      <alignment horizontal="center" vertical="center"/>
    </xf>
    <xf numFmtId="178" fontId="148" fillId="5" borderId="12" xfId="3" applyNumberFormat="1" applyFill="1" applyBorder="1" applyAlignment="1" applyProtection="1">
      <alignment horizontal="center" vertical="center"/>
    </xf>
    <xf numFmtId="0" fontId="148" fillId="5" borderId="43" xfId="3" applyFill="1" applyBorder="1" applyAlignment="1" applyProtection="1">
      <alignment horizontal="center" vertical="center"/>
    </xf>
    <xf numFmtId="178" fontId="148" fillId="5" borderId="45" xfId="3" applyNumberFormat="1" applyFill="1" applyBorder="1" applyAlignment="1" applyProtection="1">
      <alignment horizontal="center" vertical="center"/>
    </xf>
    <xf numFmtId="178" fontId="148" fillId="5" borderId="44" xfId="3" applyNumberFormat="1" applyFill="1" applyBorder="1" applyAlignment="1" applyProtection="1">
      <alignment horizontal="center" vertical="center"/>
    </xf>
    <xf numFmtId="178" fontId="148" fillId="5" borderId="46" xfId="3" applyNumberFormat="1" applyFill="1" applyBorder="1" applyAlignment="1" applyProtection="1">
      <alignment horizontal="center" vertical="center"/>
    </xf>
    <xf numFmtId="0" fontId="167" fillId="5" borderId="1" xfId="3" applyFont="1" applyFill="1" applyBorder="1" applyAlignment="1" applyProtection="1">
      <alignment horizontal="center" vertical="center" wrapText="1"/>
    </xf>
    <xf numFmtId="0" fontId="167" fillId="5" borderId="6" xfId="3" applyFont="1" applyFill="1" applyBorder="1" applyAlignment="1" applyProtection="1">
      <alignment horizontal="center" vertical="center" wrapText="1"/>
    </xf>
    <xf numFmtId="0" fontId="167" fillId="5" borderId="7" xfId="3" applyFont="1" applyFill="1" applyBorder="1" applyAlignment="1" applyProtection="1">
      <alignment horizontal="center" vertical="center" wrapText="1"/>
    </xf>
    <xf numFmtId="0" fontId="167" fillId="5" borderId="12" xfId="3" applyFont="1" applyFill="1" applyBorder="1" applyAlignment="1" applyProtection="1">
      <alignment horizontal="center" vertical="center" wrapText="1"/>
    </xf>
    <xf numFmtId="0" fontId="167" fillId="5" borderId="22" xfId="3" applyFont="1" applyFill="1" applyBorder="1" applyAlignment="1" applyProtection="1">
      <alignment horizontal="center" vertical="center" wrapText="1"/>
    </xf>
    <xf numFmtId="0" fontId="167" fillId="5" borderId="25" xfId="3" applyFont="1" applyFill="1" applyBorder="1" applyAlignment="1" applyProtection="1">
      <alignment horizontal="center" vertical="center" wrapText="1"/>
    </xf>
    <xf numFmtId="0" fontId="148" fillId="5" borderId="2" xfId="3" applyFill="1" applyBorder="1" applyAlignment="1" applyProtection="1">
      <alignment horizontal="center" vertical="center"/>
    </xf>
    <xf numFmtId="0" fontId="172" fillId="5" borderId="19" xfId="3" applyFont="1" applyFill="1" applyBorder="1" applyAlignment="1" applyProtection="1">
      <alignment vertical="center"/>
    </xf>
    <xf numFmtId="0" fontId="172" fillId="5" borderId="0" xfId="3" applyFont="1" applyFill="1" applyBorder="1" applyAlignment="1" applyProtection="1">
      <alignment vertical="center"/>
    </xf>
    <xf numFmtId="0" fontId="167" fillId="5" borderId="5" xfId="3" applyFont="1" applyFill="1" applyBorder="1" applyAlignment="1" applyProtection="1">
      <alignment horizontal="center" vertical="center" wrapText="1"/>
    </xf>
    <xf numFmtId="0" fontId="167" fillId="5" borderId="9" xfId="3" applyFont="1" applyFill="1" applyBorder="1" applyAlignment="1" applyProtection="1">
      <alignment horizontal="center" vertical="center" wrapText="1"/>
    </xf>
    <xf numFmtId="0" fontId="167" fillId="5" borderId="0" xfId="3" applyFont="1" applyFill="1" applyBorder="1" applyAlignment="1" applyProtection="1">
      <alignment horizontal="center" vertical="center" wrapText="1"/>
    </xf>
    <xf numFmtId="0" fontId="167" fillId="5" borderId="5" xfId="3" applyFont="1" applyFill="1" applyBorder="1" applyAlignment="1" applyProtection="1">
      <alignment horizontal="left" vertical="center"/>
    </xf>
    <xf numFmtId="0" fontId="167" fillId="5" borderId="9" xfId="3" applyFont="1" applyFill="1" applyBorder="1" applyAlignment="1" applyProtection="1">
      <alignment horizontal="left" vertical="center"/>
    </xf>
    <xf numFmtId="0" fontId="167" fillId="5" borderId="0" xfId="3" applyFont="1" applyFill="1" applyBorder="1" applyAlignment="1" applyProtection="1">
      <alignment vertical="center"/>
    </xf>
    <xf numFmtId="0" fontId="167" fillId="5" borderId="0" xfId="3" applyFont="1" applyFill="1" applyBorder="1" applyAlignment="1" applyProtection="1">
      <alignment horizontal="center" vertical="center"/>
    </xf>
    <xf numFmtId="0" fontId="167" fillId="5" borderId="17" xfId="3" applyFont="1" applyFill="1" applyBorder="1" applyAlignment="1" applyProtection="1">
      <alignment vertical="center" wrapText="1"/>
    </xf>
    <xf numFmtId="0" fontId="167" fillId="5" borderId="21" xfId="3" applyFont="1" applyFill="1" applyBorder="1" applyAlignment="1" applyProtection="1">
      <alignment vertical="center" wrapText="1"/>
    </xf>
    <xf numFmtId="0" fontId="167" fillId="5" borderId="20" xfId="3" applyFont="1" applyFill="1" applyBorder="1" applyAlignment="1" applyProtection="1">
      <alignment vertical="center" wrapText="1"/>
    </xf>
    <xf numFmtId="0" fontId="167" fillId="5" borderId="0" xfId="3" applyFont="1" applyFill="1" applyAlignment="1" applyProtection="1">
      <alignment horizontal="center" vertical="center"/>
    </xf>
    <xf numFmtId="9" fontId="167" fillId="5" borderId="2" xfId="3" applyNumberFormat="1" applyFont="1" applyFill="1" applyBorder="1" applyAlignment="1" applyProtection="1">
      <alignment horizontal="center" vertical="center"/>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9" xfId="3" applyFont="1" applyFill="1" applyBorder="1" applyAlignment="1" applyProtection="1">
      <alignment vertical="center"/>
    </xf>
    <xf numFmtId="184" fontId="167" fillId="5" borderId="2" xfId="3" applyNumberFormat="1" applyFont="1" applyFill="1" applyBorder="1" applyAlignment="1" applyProtection="1">
      <alignment horizontal="center" vertical="center"/>
    </xf>
    <xf numFmtId="185" fontId="167" fillId="5" borderId="2" xfId="3" applyNumberFormat="1" applyFont="1" applyFill="1" applyBorder="1" applyAlignment="1" applyProtection="1">
      <alignment horizontal="center" vertical="center"/>
    </xf>
    <xf numFmtId="177" fontId="173" fillId="5" borderId="2" xfId="3" applyNumberFormat="1" applyFont="1" applyFill="1" applyBorder="1" applyAlignment="1" applyProtection="1">
      <alignment horizontal="center" vertical="center"/>
    </xf>
    <xf numFmtId="185" fontId="173" fillId="5" borderId="2" xfId="3" applyNumberFormat="1" applyFont="1" applyFill="1" applyBorder="1" applyAlignment="1" applyProtection="1">
      <alignment horizontal="center" vertical="center" wrapText="1"/>
    </xf>
    <xf numFmtId="184" fontId="167" fillId="5" borderId="21" xfId="3" applyNumberFormat="1" applyFont="1" applyFill="1" applyBorder="1" applyAlignment="1" applyProtection="1">
      <alignment horizontal="center" vertical="center" wrapText="1"/>
    </xf>
    <xf numFmtId="179" fontId="173" fillId="5" borderId="2" xfId="3" applyNumberFormat="1" applyFont="1" applyFill="1" applyBorder="1" applyAlignment="1" applyProtection="1">
      <alignment horizontal="center" vertical="center"/>
    </xf>
    <xf numFmtId="0" fontId="55" fillId="0" borderId="2" xfId="0" applyFont="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0" fontId="20" fillId="5" borderId="5" xfId="0" applyFont="1" applyFill="1" applyBorder="1" applyProtection="1">
      <alignment vertical="center"/>
    </xf>
    <xf numFmtId="0" fontId="20" fillId="5" borderId="9" xfId="0" applyFont="1" applyFill="1" applyBorder="1" applyProtection="1">
      <alignment vertical="center"/>
    </xf>
    <xf numFmtId="0" fontId="87" fillId="5" borderId="21" xfId="3"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protection locked="0"/>
    </xf>
    <xf numFmtId="0" fontId="153" fillId="0" borderId="0" xfId="0" applyFont="1" applyProtection="1">
      <alignment vertical="center"/>
    </xf>
    <xf numFmtId="0" fontId="174" fillId="0" borderId="0" xfId="0" applyFont="1" applyProtection="1">
      <alignment vertical="center"/>
    </xf>
    <xf numFmtId="0" fontId="73" fillId="0" borderId="2" xfId="0" applyFont="1" applyBorder="1" applyAlignment="1" applyProtection="1">
      <alignment horizontal="center" vertical="center" wrapText="1"/>
    </xf>
    <xf numFmtId="0" fontId="152" fillId="0" borderId="0" xfId="0" applyFont="1" applyProtection="1">
      <alignment vertical="center"/>
    </xf>
    <xf numFmtId="0" fontId="152" fillId="0" borderId="0" xfId="0" applyFont="1" applyAlignment="1" applyProtection="1">
      <alignment horizontal="left" vertical="center"/>
    </xf>
    <xf numFmtId="0" fontId="73" fillId="0" borderId="0" xfId="0" applyFont="1" applyProtection="1">
      <alignment vertical="center"/>
    </xf>
    <xf numFmtId="0" fontId="73" fillId="2" borderId="2" xfId="0"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xf>
    <xf numFmtId="0" fontId="76" fillId="0" borderId="2" xfId="0" applyFont="1" applyFill="1" applyBorder="1" applyAlignment="1" applyProtection="1">
      <alignment horizontal="center" vertical="center"/>
    </xf>
    <xf numFmtId="0" fontId="55" fillId="0" borderId="0" xfId="0" applyFont="1" applyProtection="1">
      <alignment vertical="center"/>
    </xf>
    <xf numFmtId="0" fontId="157" fillId="0" borderId="2" xfId="0" applyFont="1" applyBorder="1" applyAlignment="1" applyProtection="1">
      <alignment horizontal="center" vertical="center"/>
    </xf>
    <xf numFmtId="0" fontId="152" fillId="0" borderId="2" xfId="0" applyFont="1" applyBorder="1" applyAlignment="1" applyProtection="1">
      <alignment horizontal="left" vertical="center"/>
    </xf>
    <xf numFmtId="0" fontId="152" fillId="7" borderId="5" xfId="0" applyFont="1" applyFill="1" applyBorder="1" applyAlignment="1" applyProtection="1">
      <alignment vertical="center"/>
    </xf>
    <xf numFmtId="0" fontId="152" fillId="0" borderId="8" xfId="0" applyFont="1" applyBorder="1" applyAlignment="1" applyProtection="1">
      <alignment vertical="center"/>
    </xf>
    <xf numFmtId="0" fontId="152" fillId="0" borderId="9" xfId="0" applyFont="1" applyBorder="1" applyAlignment="1" applyProtection="1">
      <alignment vertical="center"/>
    </xf>
    <xf numFmtId="0" fontId="55" fillId="0" borderId="2" xfId="0" applyFont="1" applyBorder="1" applyAlignment="1" applyProtection="1">
      <alignment horizontal="left" vertical="center"/>
    </xf>
    <xf numFmtId="0" fontId="175" fillId="0" borderId="0" xfId="0" applyFont="1" applyProtection="1">
      <alignment vertical="center"/>
    </xf>
    <xf numFmtId="0" fontId="74" fillId="0" borderId="0" xfId="0" applyFont="1" applyAlignment="1" applyProtection="1">
      <alignment horizontal="left" vertical="center"/>
    </xf>
    <xf numFmtId="0" fontId="77" fillId="0" borderId="0" xfId="0" applyFont="1" applyAlignment="1" applyProtection="1">
      <alignment horizontal="left" vertical="center"/>
    </xf>
    <xf numFmtId="176" fontId="74" fillId="0" borderId="0" xfId="0" applyNumberFormat="1" applyFont="1" applyAlignment="1" applyProtection="1">
      <alignment horizontal="left" vertical="center"/>
    </xf>
    <xf numFmtId="0" fontId="152" fillId="0" borderId="3" xfId="0" applyFont="1" applyBorder="1" applyAlignment="1" applyProtection="1">
      <alignment vertical="center"/>
    </xf>
    <xf numFmtId="0" fontId="170" fillId="0" borderId="3" xfId="0" applyFont="1" applyBorder="1" applyAlignment="1" applyProtection="1">
      <alignment vertical="center"/>
    </xf>
    <xf numFmtId="0" fontId="170" fillId="0" borderId="21" xfId="0" applyFont="1" applyBorder="1" applyAlignment="1" applyProtection="1">
      <alignment vertical="center"/>
    </xf>
    <xf numFmtId="0" fontId="152" fillId="0" borderId="0" xfId="0" applyFont="1" applyAlignment="1" applyProtection="1">
      <alignment horizontal="center" vertical="center" wrapText="1"/>
    </xf>
    <xf numFmtId="0" fontId="152" fillId="0" borderId="0" xfId="0" applyFont="1" applyBorder="1" applyAlignment="1" applyProtection="1">
      <alignment horizontal="center" vertical="center"/>
    </xf>
    <xf numFmtId="0" fontId="79" fillId="5" borderId="2" xfId="0" applyFont="1" applyFill="1" applyBorder="1" applyAlignment="1" applyProtection="1">
      <alignment horizontal="center" vertical="center" wrapText="1"/>
      <protection locked="0"/>
    </xf>
    <xf numFmtId="0" fontId="79" fillId="5" borderId="5" xfId="0" applyFont="1" applyFill="1" applyBorder="1" applyAlignment="1" applyProtection="1">
      <alignment horizontal="left" vertical="center"/>
      <protection locked="0"/>
    </xf>
    <xf numFmtId="0" fontId="79" fillId="5" borderId="5" xfId="0" applyFont="1" applyFill="1" applyBorder="1" applyAlignment="1" applyProtection="1">
      <alignment horizontal="center" vertical="center"/>
      <protection locked="0"/>
    </xf>
    <xf numFmtId="0" fontId="79" fillId="5" borderId="9" xfId="0" applyFont="1" applyFill="1" applyBorder="1" applyAlignment="1" applyProtection="1">
      <alignment horizontal="left" vertical="center"/>
      <protection locked="0"/>
    </xf>
    <xf numFmtId="0" fontId="79" fillId="5" borderId="9" xfId="0" applyFont="1" applyFill="1" applyBorder="1" applyAlignment="1" applyProtection="1">
      <alignment horizontal="center" vertical="center"/>
      <protection locked="0"/>
    </xf>
    <xf numFmtId="0" fontId="79" fillId="5" borderId="17" xfId="0" applyFont="1" applyFill="1" applyBorder="1" applyAlignment="1" applyProtection="1">
      <alignment horizontal="center" vertical="center" wrapText="1"/>
      <protection locked="0"/>
    </xf>
    <xf numFmtId="0" fontId="79" fillId="5" borderId="21" xfId="0"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wrapText="1"/>
    </xf>
    <xf numFmtId="0" fontId="82" fillId="5" borderId="17" xfId="0" applyFont="1" applyFill="1" applyBorder="1" applyAlignment="1" applyProtection="1">
      <alignment horizontal="left" vertical="center"/>
    </xf>
    <xf numFmtId="179" fontId="79" fillId="5" borderId="0" xfId="0" applyNumberFormat="1" applyFont="1" applyFill="1" applyBorder="1" applyAlignment="1" applyProtection="1">
      <alignment horizontal="center" vertical="center" wrapText="1"/>
    </xf>
    <xf numFmtId="179" fontId="82" fillId="5" borderId="0" xfId="0" applyNumberFormat="1" applyFont="1" applyFill="1" applyBorder="1" applyAlignment="1" applyProtection="1">
      <alignment horizontal="center" vertical="center" wrapText="1"/>
    </xf>
    <xf numFmtId="176" fontId="79" fillId="5" borderId="0" xfId="0" applyNumberFormat="1" applyFont="1" applyFill="1" applyAlignment="1" applyProtection="1">
      <alignment horizontal="center" vertical="center" wrapText="1"/>
    </xf>
    <xf numFmtId="0" fontId="74" fillId="5" borderId="5" xfId="0" applyFont="1" applyFill="1" applyBorder="1" applyProtection="1">
      <alignment vertical="center"/>
    </xf>
    <xf numFmtId="0" fontId="74" fillId="5" borderId="8" xfId="0" applyFont="1" applyFill="1" applyBorder="1" applyProtection="1">
      <alignment vertical="center"/>
    </xf>
    <xf numFmtId="0" fontId="78" fillId="5" borderId="9" xfId="0" applyFont="1" applyFill="1" applyBorder="1" applyAlignment="1" applyProtection="1">
      <alignment horizontal="center" vertical="center"/>
    </xf>
    <xf numFmtId="0" fontId="74" fillId="5" borderId="21" xfId="0" applyFont="1" applyFill="1" applyBorder="1" applyProtection="1">
      <alignment vertical="center"/>
    </xf>
    <xf numFmtId="0" fontId="79" fillId="5" borderId="0" xfId="0" applyFont="1" applyFill="1" applyAlignment="1" applyProtection="1">
      <alignment vertical="center"/>
    </xf>
    <xf numFmtId="0" fontId="79" fillId="0" borderId="0" xfId="0" applyFont="1" applyAlignment="1" applyProtection="1">
      <alignment vertical="center"/>
    </xf>
    <xf numFmtId="0" fontId="74" fillId="5" borderId="0" xfId="0" applyFont="1" applyFill="1" applyAlignment="1" applyProtection="1">
      <alignment vertical="center"/>
    </xf>
    <xf numFmtId="0" fontId="74" fillId="5" borderId="0" xfId="0" applyFont="1" applyFill="1" applyAlignment="1" applyProtection="1">
      <alignment horizontal="center" vertical="center"/>
    </xf>
    <xf numFmtId="0" fontId="74" fillId="0" borderId="0" xfId="0" applyFont="1" applyAlignment="1" applyProtection="1">
      <alignment vertical="center"/>
    </xf>
    <xf numFmtId="0" fontId="74" fillId="5" borderId="0" xfId="0" applyFont="1" applyFill="1" applyAlignment="1" applyProtection="1">
      <alignment vertical="center" wrapText="1"/>
    </xf>
    <xf numFmtId="179" fontId="74" fillId="5" borderId="37" xfId="0" applyNumberFormat="1" applyFont="1" applyFill="1" applyBorder="1" applyAlignment="1" applyProtection="1">
      <alignment vertical="center"/>
    </xf>
    <xf numFmtId="0" fontId="84" fillId="5" borderId="37" xfId="0" applyFont="1" applyFill="1" applyBorder="1" applyAlignment="1" applyProtection="1">
      <alignment vertical="center"/>
    </xf>
    <xf numFmtId="0" fontId="74" fillId="5" borderId="36" xfId="0" applyFont="1" applyFill="1" applyBorder="1" applyAlignment="1" applyProtection="1">
      <alignment horizontal="center" vertical="center"/>
    </xf>
    <xf numFmtId="0" fontId="74" fillId="5" borderId="37" xfId="0" applyFont="1" applyFill="1" applyBorder="1" applyAlignment="1" applyProtection="1">
      <alignment horizontal="center" vertical="center"/>
    </xf>
    <xf numFmtId="0" fontId="74" fillId="0" borderId="0" xfId="0" applyFont="1" applyAlignment="1" applyProtection="1">
      <alignment vertical="center" wrapText="1"/>
    </xf>
    <xf numFmtId="0" fontId="152" fillId="5" borderId="12" xfId="0" applyFont="1" applyFill="1" applyBorder="1" applyAlignment="1" applyProtection="1">
      <alignment horizontal="center" vertical="center"/>
    </xf>
    <xf numFmtId="0" fontId="88" fillId="5" borderId="0" xfId="0" applyFont="1" applyFill="1" applyAlignment="1" applyProtection="1">
      <alignment vertical="center" wrapText="1"/>
    </xf>
    <xf numFmtId="0" fontId="79" fillId="0" borderId="0" xfId="0" applyFont="1" applyFill="1" applyAlignment="1" applyProtection="1">
      <alignment vertical="center"/>
    </xf>
    <xf numFmtId="0" fontId="79" fillId="0" borderId="0" xfId="0" applyFont="1" applyAlignment="1" applyProtection="1">
      <alignment vertical="center" wrapText="1"/>
    </xf>
    <xf numFmtId="179" fontId="79" fillId="0" borderId="0" xfId="0" applyNumberFormat="1" applyFont="1" applyAlignment="1" applyProtection="1">
      <alignment vertical="center"/>
    </xf>
    <xf numFmtId="0" fontId="79" fillId="0" borderId="0" xfId="0" applyFont="1" applyAlignment="1" applyProtection="1">
      <alignment horizontal="center" vertical="center"/>
    </xf>
    <xf numFmtId="0" fontId="74" fillId="6" borderId="6" xfId="2"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xf>
    <xf numFmtId="0" fontId="51" fillId="5" borderId="36" xfId="0" applyFont="1" applyFill="1" applyBorder="1" applyAlignment="1" applyProtection="1">
      <alignment horizontal="center" vertical="center" wrapText="1"/>
    </xf>
    <xf numFmtId="0" fontId="51" fillId="5" borderId="49" xfId="0" applyFont="1" applyFill="1" applyBorder="1" applyAlignment="1" applyProtection="1">
      <alignment horizontal="right" vertical="center" wrapText="1"/>
    </xf>
    <xf numFmtId="0" fontId="51" fillId="5" borderId="38" xfId="0" applyFont="1" applyFill="1" applyBorder="1" applyAlignment="1" applyProtection="1">
      <alignment horizontal="center" vertical="center"/>
    </xf>
    <xf numFmtId="0" fontId="51" fillId="5" borderId="0" xfId="0" applyFont="1" applyFill="1" applyBorder="1" applyAlignment="1" applyProtection="1">
      <alignment horizontal="right" vertical="center" wrapText="1"/>
    </xf>
    <xf numFmtId="0" fontId="51" fillId="5" borderId="36" xfId="0" applyFont="1" applyFill="1" applyBorder="1" applyAlignment="1" applyProtection="1">
      <alignment horizontal="right" vertical="center" wrapText="1"/>
    </xf>
    <xf numFmtId="0" fontId="55" fillId="5" borderId="37" xfId="0" applyFont="1" applyFill="1" applyBorder="1" applyAlignment="1" applyProtection="1">
      <alignment horizontal="center" vertical="center"/>
    </xf>
    <xf numFmtId="0" fontId="51" fillId="5" borderId="53" xfId="0" applyFont="1" applyFill="1" applyBorder="1" applyAlignment="1" applyProtection="1">
      <alignment vertical="center" wrapText="1"/>
    </xf>
    <xf numFmtId="0" fontId="55" fillId="5" borderId="6" xfId="0" applyFont="1" applyFill="1" applyBorder="1" applyAlignment="1" applyProtection="1">
      <alignment horizontal="center" vertical="center" wrapText="1"/>
    </xf>
    <xf numFmtId="0" fontId="51" fillId="5" borderId="24" xfId="0" applyFont="1" applyFill="1" applyBorder="1" applyAlignment="1" applyProtection="1">
      <alignment vertical="center" wrapText="1"/>
    </xf>
    <xf numFmtId="0" fontId="55" fillId="5" borderId="20"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49" fontId="55" fillId="5" borderId="24" xfId="0" applyNumberFormat="1"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49" fontId="55" fillId="5" borderId="23" xfId="0" applyNumberFormat="1" applyFont="1" applyFill="1" applyBorder="1" applyAlignment="1" applyProtection="1">
      <alignment horizontal="center" vertical="center" wrapText="1"/>
    </xf>
    <xf numFmtId="0" fontId="55" fillId="5" borderId="47" xfId="0" applyFont="1" applyFill="1" applyBorder="1" applyAlignment="1" applyProtection="1">
      <alignment horizontal="center" vertical="center" wrapText="1"/>
    </xf>
    <xf numFmtId="0" fontId="51" fillId="5" borderId="23" xfId="0" applyFont="1" applyFill="1" applyBorder="1" applyAlignment="1" applyProtection="1">
      <alignment vertical="center" wrapText="1"/>
    </xf>
    <xf numFmtId="0" fontId="55" fillId="5" borderId="44" xfId="0" applyFont="1" applyFill="1" applyBorder="1" applyAlignment="1" applyProtection="1">
      <alignment horizontal="center" vertical="center" wrapText="1"/>
    </xf>
    <xf numFmtId="0" fontId="51" fillId="5" borderId="26" xfId="0" applyFont="1" applyFill="1" applyBorder="1" applyAlignment="1" applyProtection="1">
      <alignment horizontal="center" vertical="center" wrapText="1"/>
    </xf>
    <xf numFmtId="0" fontId="51" fillId="5" borderId="26" xfId="0" applyFont="1" applyFill="1" applyBorder="1" applyAlignment="1" applyProtection="1">
      <alignment horizontal="right" vertical="center" wrapText="1"/>
    </xf>
    <xf numFmtId="0" fontId="51" fillId="5" borderId="39" xfId="0" applyFont="1" applyFill="1" applyBorder="1" applyAlignment="1" applyProtection="1">
      <alignment horizontal="center" vertical="center" wrapText="1"/>
    </xf>
    <xf numFmtId="0" fontId="51" fillId="5" borderId="82" xfId="0" applyFont="1" applyFill="1" applyBorder="1" applyAlignment="1" applyProtection="1">
      <alignment horizontal="right" vertical="center" wrapText="1"/>
    </xf>
    <xf numFmtId="0" fontId="55" fillId="5" borderId="1" xfId="0" applyFont="1" applyFill="1" applyBorder="1" applyAlignment="1" applyProtection="1">
      <alignment horizontal="center" vertical="center" wrapText="1"/>
    </xf>
    <xf numFmtId="49" fontId="55" fillId="5" borderId="41" xfId="0" applyNumberFormat="1" applyFont="1" applyFill="1" applyBorder="1" applyAlignment="1" applyProtection="1">
      <alignment horizontal="center" vertical="center" wrapText="1"/>
    </xf>
    <xf numFmtId="0" fontId="55" fillId="5" borderId="7" xfId="0" applyNumberFormat="1"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49" fontId="55" fillId="5" borderId="12" xfId="0"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3" xfId="0" applyFont="1" applyFill="1" applyBorder="1" applyAlignment="1" applyProtection="1">
      <alignment horizontal="center" vertical="center" wrapText="1"/>
    </xf>
    <xf numFmtId="0" fontId="55" fillId="5" borderId="46" xfId="0" applyNumberFormat="1" applyFont="1" applyFill="1" applyBorder="1" applyAlignment="1" applyProtection="1">
      <alignment horizontal="center" vertical="center" wrapText="1"/>
    </xf>
    <xf numFmtId="0" fontId="79" fillId="0" borderId="0" xfId="0" applyFont="1" applyProtection="1">
      <alignment vertical="center"/>
    </xf>
    <xf numFmtId="0" fontId="79" fillId="5" borderId="16" xfId="0" applyFont="1" applyFill="1" applyBorder="1" applyProtection="1">
      <alignment vertical="center"/>
    </xf>
    <xf numFmtId="0" fontId="79" fillId="5" borderId="8" xfId="0" applyFont="1" applyFill="1" applyBorder="1" applyProtection="1">
      <alignment vertical="center"/>
    </xf>
    <xf numFmtId="0" fontId="79" fillId="5" borderId="5" xfId="0" applyFont="1" applyFill="1" applyBorder="1" applyProtection="1">
      <alignment vertical="center"/>
    </xf>
    <xf numFmtId="0" fontId="79" fillId="0" borderId="0" xfId="0" applyFont="1" applyFill="1" applyProtection="1">
      <alignment vertical="center"/>
    </xf>
    <xf numFmtId="0" fontId="174" fillId="5" borderId="59" xfId="0" applyFont="1" applyFill="1" applyBorder="1" applyAlignment="1" applyProtection="1">
      <alignment horizontal="left" vertical="center"/>
    </xf>
    <xf numFmtId="0" fontId="79" fillId="5" borderId="30" xfId="0" applyFont="1" applyFill="1" applyBorder="1" applyProtection="1">
      <alignment vertical="center"/>
    </xf>
    <xf numFmtId="0" fontId="79" fillId="5" borderId="57" xfId="0" applyFont="1" applyFill="1" applyBorder="1" applyProtection="1">
      <alignment vertical="center"/>
    </xf>
    <xf numFmtId="0" fontId="174" fillId="5" borderId="64" xfId="0" applyFont="1" applyFill="1" applyBorder="1" applyAlignment="1" applyProtection="1">
      <alignment horizontal="left" vertical="center"/>
    </xf>
    <xf numFmtId="0" fontId="79" fillId="5" borderId="38" xfId="0" applyFont="1" applyFill="1" applyBorder="1" applyProtection="1">
      <alignment vertical="center"/>
    </xf>
    <xf numFmtId="0" fontId="79" fillId="5" borderId="79" xfId="0" applyFont="1" applyFill="1" applyBorder="1" applyProtection="1">
      <alignment vertical="center"/>
    </xf>
    <xf numFmtId="0" fontId="174" fillId="5" borderId="54" xfId="0" applyFont="1" applyFill="1" applyBorder="1" applyAlignment="1" applyProtection="1">
      <alignment horizontal="left" vertical="center"/>
    </xf>
    <xf numFmtId="0" fontId="79" fillId="5" borderId="61" xfId="0" applyFont="1" applyFill="1" applyBorder="1" applyProtection="1">
      <alignment vertical="center"/>
    </xf>
    <xf numFmtId="0" fontId="79" fillId="5" borderId="66" xfId="0" applyFont="1" applyFill="1" applyBorder="1" applyProtection="1">
      <alignment vertical="center"/>
    </xf>
    <xf numFmtId="0" fontId="176" fillId="5" borderId="39" xfId="0" applyFont="1" applyFill="1" applyBorder="1" applyAlignment="1" applyProtection="1">
      <alignment horizontal="center" vertical="center" wrapText="1"/>
    </xf>
    <xf numFmtId="0" fontId="79" fillId="5" borderId="80" xfId="0" applyFont="1" applyFill="1" applyBorder="1" applyProtection="1">
      <alignment vertical="center"/>
    </xf>
    <xf numFmtId="0" fontId="176" fillId="5" borderId="65" xfId="0" applyFont="1" applyFill="1" applyBorder="1" applyAlignment="1" applyProtection="1">
      <alignment horizontal="center" vertical="center" wrapText="1"/>
    </xf>
    <xf numFmtId="0" fontId="152" fillId="5" borderId="66" xfId="0" applyFont="1" applyFill="1" applyBorder="1" applyAlignment="1" applyProtection="1">
      <alignment vertical="center" wrapText="1"/>
    </xf>
    <xf numFmtId="0" fontId="176" fillId="5" borderId="82"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79" fontId="174"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79" fontId="174" fillId="5" borderId="44" xfId="0" applyNumberFormat="1" applyFont="1" applyFill="1" applyBorder="1" applyAlignment="1" applyProtection="1">
      <alignment horizontal="center" vertical="center" wrapText="1"/>
    </xf>
    <xf numFmtId="0" fontId="79" fillId="5" borderId="55" xfId="0" applyFont="1" applyFill="1" applyBorder="1" applyProtection="1">
      <alignment vertical="center"/>
    </xf>
    <xf numFmtId="0" fontId="174" fillId="5" borderId="69" xfId="0" applyFont="1" applyFill="1" applyBorder="1" applyAlignment="1" applyProtection="1">
      <alignment horizontal="center" vertical="center" wrapText="1"/>
    </xf>
    <xf numFmtId="0" fontId="96" fillId="0" borderId="0" xfId="0" applyFont="1" applyBorder="1" applyAlignment="1" applyProtection="1">
      <alignment horizontal="left" vertical="center" wrapText="1"/>
    </xf>
    <xf numFmtId="0" fontId="153" fillId="5" borderId="0" xfId="0" applyFont="1" applyFill="1" applyBorder="1" applyAlignment="1" applyProtection="1">
      <alignment horizontal="left" vertical="center"/>
    </xf>
    <xf numFmtId="0" fontId="90" fillId="5" borderId="0" xfId="0" applyFont="1" applyFill="1" applyBorder="1" applyAlignment="1" applyProtection="1">
      <alignment horizontal="left" vertical="center"/>
    </xf>
    <xf numFmtId="0" fontId="72" fillId="5" borderId="0" xfId="0" applyFont="1" applyFill="1" applyBorder="1" applyAlignment="1" applyProtection="1">
      <alignment vertical="center"/>
    </xf>
    <xf numFmtId="0" fontId="72" fillId="5" borderId="0" xfId="0" applyFont="1" applyFill="1" applyBorder="1" applyAlignment="1" applyProtection="1">
      <alignment horizontal="center" vertical="center"/>
    </xf>
    <xf numFmtId="9" fontId="79" fillId="5" borderId="0" xfId="0" applyNumberFormat="1" applyFont="1" applyFill="1" applyAlignment="1" applyProtection="1">
      <alignment horizontal="center" vertical="center"/>
    </xf>
    <xf numFmtId="0" fontId="160" fillId="5" borderId="5" xfId="0" applyFont="1" applyFill="1" applyBorder="1" applyAlignment="1" applyProtection="1">
      <alignment horizontal="center" vertical="center" wrapText="1"/>
    </xf>
    <xf numFmtId="0" fontId="160" fillId="5" borderId="8"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10" fontId="79"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82"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9"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8" fillId="5" borderId="31" xfId="0" applyNumberFormat="1"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177" fontId="98" fillId="5" borderId="0" xfId="0" applyNumberFormat="1" applyFont="1" applyFill="1" applyBorder="1" applyAlignment="1" applyProtection="1">
      <alignment horizontal="center" vertical="center" wrapText="1"/>
    </xf>
    <xf numFmtId="10" fontId="89" fillId="5" borderId="0" xfId="0" applyNumberFormat="1" applyFont="1" applyFill="1" applyBorder="1" applyAlignment="1" applyProtection="1">
      <alignment horizontal="center" vertical="center" wrapText="1"/>
    </xf>
    <xf numFmtId="0" fontId="79" fillId="5" borderId="0" xfId="0" applyFont="1" applyFill="1" applyBorder="1" applyAlignment="1" applyProtection="1">
      <alignment horizontal="left" vertical="center"/>
    </xf>
    <xf numFmtId="0" fontId="152" fillId="0" borderId="0" xfId="0" applyFont="1" applyFill="1" applyProtection="1">
      <alignment vertical="center"/>
    </xf>
    <xf numFmtId="0" fontId="79" fillId="5" borderId="0" xfId="4" applyFont="1" applyFill="1" applyBorder="1" applyAlignment="1" applyProtection="1">
      <alignment horizontal="left" vertical="center" wrapText="1"/>
    </xf>
    <xf numFmtId="0" fontId="152" fillId="5" borderId="0" xfId="4" applyFont="1" applyFill="1" applyAlignment="1" applyProtection="1">
      <alignment vertical="center" wrapText="1"/>
    </xf>
    <xf numFmtId="0" fontId="152" fillId="5" borderId="0" xfId="4" applyFont="1" applyFill="1" applyProtection="1"/>
    <xf numFmtId="0" fontId="152" fillId="5" borderId="0" xfId="0" applyFont="1" applyFill="1" applyAlignment="1" applyProtection="1">
      <alignment vertical="center"/>
    </xf>
    <xf numFmtId="0" fontId="152" fillId="5" borderId="0" xfId="0" applyFont="1" applyFill="1" applyAlignment="1" applyProtection="1">
      <alignment horizontal="left" vertical="center"/>
    </xf>
    <xf numFmtId="0" fontId="152" fillId="5" borderId="0" xfId="4" applyFont="1" applyFill="1" applyAlignment="1" applyProtection="1">
      <alignment horizontal="left"/>
    </xf>
    <xf numFmtId="0" fontId="74" fillId="6" borderId="2" xfId="0" applyFont="1" applyFill="1" applyBorder="1" applyProtection="1">
      <alignment vertical="center"/>
      <protection locked="0"/>
    </xf>
    <xf numFmtId="0" fontId="160" fillId="5" borderId="14" xfId="0" applyFont="1" applyFill="1" applyBorder="1" applyAlignment="1" applyProtection="1">
      <alignment horizontal="left" vertical="center" wrapText="1"/>
    </xf>
    <xf numFmtId="0" fontId="160" fillId="5" borderId="14" xfId="0" applyFont="1" applyFill="1" applyBorder="1" applyAlignment="1" applyProtection="1">
      <alignment horizontal="center" vertical="center" wrapText="1"/>
    </xf>
    <xf numFmtId="0" fontId="160" fillId="5" borderId="32" xfId="0" applyFont="1" applyFill="1" applyBorder="1" applyAlignment="1" applyProtection="1">
      <alignment horizontal="center" vertical="center" wrapText="1"/>
    </xf>
    <xf numFmtId="190" fontId="181" fillId="5" borderId="21" xfId="0" applyNumberFormat="1" applyFont="1" applyFill="1" applyBorder="1" applyAlignment="1" applyProtection="1">
      <alignment horizontal="center" vertical="center" wrapText="1"/>
    </xf>
    <xf numFmtId="0" fontId="89" fillId="5" borderId="2" xfId="2" applyFont="1" applyFill="1" applyBorder="1" applyAlignment="1" applyProtection="1">
      <alignment horizontal="left"/>
    </xf>
    <xf numFmtId="0" fontId="98" fillId="5" borderId="2" xfId="2" applyFont="1" applyFill="1" applyBorder="1" applyAlignment="1" applyProtection="1">
      <alignment horizontal="left"/>
    </xf>
    <xf numFmtId="0" fontId="89" fillId="5" borderId="2" xfId="2" applyFont="1" applyFill="1" applyBorder="1" applyAlignment="1" applyProtection="1"/>
    <xf numFmtId="0" fontId="159" fillId="5" borderId="9" xfId="2" applyFont="1" applyFill="1" applyBorder="1" applyAlignment="1" applyProtection="1">
      <alignment horizontal="left"/>
    </xf>
    <xf numFmtId="0" fontId="103" fillId="5" borderId="9" xfId="0" applyFont="1" applyFill="1" applyBorder="1" applyAlignment="1" applyProtection="1">
      <alignment vertical="center" wrapText="1"/>
    </xf>
    <xf numFmtId="0" fontId="159" fillId="5" borderId="2" xfId="0" applyFont="1" applyFill="1" applyBorder="1" applyAlignment="1" applyProtection="1">
      <alignment vertical="center" wrapText="1"/>
    </xf>
    <xf numFmtId="0" fontId="159" fillId="5" borderId="0" xfId="0" applyFont="1" applyFill="1" applyBorder="1" applyAlignment="1" applyProtection="1">
      <alignment vertical="center" wrapText="1"/>
    </xf>
    <xf numFmtId="0" fontId="103" fillId="5" borderId="0" xfId="0" applyFont="1" applyFill="1" applyBorder="1" applyAlignment="1" applyProtection="1">
      <alignment vertical="center" wrapText="1"/>
    </xf>
    <xf numFmtId="0" fontId="103" fillId="5" borderId="65" xfId="0" applyFont="1" applyFill="1" applyBorder="1" applyAlignment="1" applyProtection="1">
      <alignment vertical="center" wrapText="1"/>
    </xf>
    <xf numFmtId="0" fontId="101" fillId="0" borderId="0" xfId="0" applyFont="1" applyFill="1" applyBorder="1" applyAlignment="1" applyProtection="1">
      <alignment horizontal="center" vertical="center"/>
    </xf>
    <xf numFmtId="0" fontId="101" fillId="0" borderId="0" xfId="0" applyFont="1" applyFill="1" applyAlignment="1" applyProtection="1">
      <alignment horizontal="center" vertical="center"/>
    </xf>
    <xf numFmtId="0" fontId="87"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187" fontId="87" fillId="3" borderId="9" xfId="0" applyNumberFormat="1" applyFont="1" applyFill="1" applyBorder="1" applyAlignment="1" applyProtection="1">
      <alignment horizontal="center" vertical="center"/>
    </xf>
    <xf numFmtId="187" fontId="87" fillId="3" borderId="9" xfId="0" applyNumberFormat="1" applyFont="1" applyFill="1" applyBorder="1" applyAlignment="1" applyProtection="1">
      <alignment horizontal="center" vertical="center" wrapText="1"/>
    </xf>
    <xf numFmtId="187" fontId="87" fillId="3" borderId="2" xfId="0" applyNumberFormat="1" applyFont="1" applyFill="1" applyBorder="1" applyAlignment="1" applyProtection="1">
      <alignment horizontal="center" vertical="center" wrapText="1"/>
    </xf>
    <xf numFmtId="187" fontId="87" fillId="0" borderId="0" xfId="0" applyNumberFormat="1" applyFont="1" applyFill="1" applyAlignment="1" applyProtection="1">
      <alignment horizontal="center" vertical="center"/>
    </xf>
    <xf numFmtId="181" fontId="87" fillId="0" borderId="0" xfId="0" applyNumberFormat="1" applyFont="1" applyFill="1" applyAlignment="1" applyProtection="1">
      <alignment horizontal="center" vertical="center"/>
    </xf>
    <xf numFmtId="0" fontId="108" fillId="0" borderId="0" xfId="0" applyFont="1" applyFill="1" applyAlignment="1" applyProtection="1">
      <alignment horizontal="center" vertical="center"/>
    </xf>
    <xf numFmtId="0" fontId="112" fillId="0" borderId="0" xfId="0" applyFont="1" applyFill="1" applyAlignment="1" applyProtection="1">
      <alignment horizontal="center" vertical="center"/>
    </xf>
    <xf numFmtId="49" fontId="74" fillId="0" borderId="0" xfId="0" applyNumberFormat="1" applyFont="1" applyFill="1" applyAlignment="1" applyProtection="1">
      <alignment horizontal="center" vertical="center"/>
    </xf>
    <xf numFmtId="0" fontId="102" fillId="5" borderId="11" xfId="0" applyNumberFormat="1" applyFont="1" applyFill="1" applyBorder="1" applyAlignment="1" applyProtection="1">
      <alignment horizontal="center" vertical="center" wrapText="1"/>
    </xf>
    <xf numFmtId="9" fontId="98" fillId="0" borderId="5" xfId="2" applyNumberFormat="1" applyFont="1" applyFill="1" applyBorder="1" applyAlignment="1" applyProtection="1">
      <alignment horizontal="center" vertical="center"/>
      <protection locked="0"/>
    </xf>
    <xf numFmtId="0" fontId="101" fillId="5" borderId="0" xfId="0" applyFont="1" applyFill="1" applyAlignment="1" applyProtection="1">
      <alignment vertical="center"/>
    </xf>
    <xf numFmtId="0" fontId="109" fillId="5" borderId="0" xfId="0" applyFont="1" applyFill="1" applyBorder="1" applyAlignment="1" applyProtection="1">
      <alignment vertical="center"/>
    </xf>
    <xf numFmtId="0" fontId="100" fillId="5" borderId="21" xfId="0" applyFont="1" applyFill="1" applyBorder="1" applyAlignment="1" applyProtection="1">
      <alignment vertical="center"/>
    </xf>
    <xf numFmtId="0" fontId="74" fillId="5" borderId="0" xfId="0" applyFont="1" applyFill="1" applyBorder="1" applyAlignment="1" applyProtection="1">
      <alignment horizontal="center"/>
    </xf>
    <xf numFmtId="0" fontId="74" fillId="5" borderId="0" xfId="0" applyFont="1" applyFill="1" applyBorder="1" applyAlignment="1" applyProtection="1"/>
    <xf numFmtId="0" fontId="74" fillId="5" borderId="65" xfId="0" applyFont="1" applyFill="1" applyBorder="1" applyAlignment="1" applyProtection="1"/>
    <xf numFmtId="0" fontId="74" fillId="5" borderId="10" xfId="0" applyFont="1" applyFill="1" applyBorder="1" applyAlignment="1" applyProtection="1"/>
    <xf numFmtId="0" fontId="74" fillId="5" borderId="5" xfId="0" applyFont="1" applyFill="1" applyBorder="1" applyAlignment="1" applyProtection="1">
      <alignment horizontal="center"/>
    </xf>
    <xf numFmtId="0" fontId="74" fillId="5" borderId="3" xfId="0" applyFont="1" applyFill="1" applyBorder="1" applyAlignment="1" applyProtection="1"/>
    <xf numFmtId="0" fontId="109" fillId="5" borderId="55" xfId="0" applyFont="1" applyFill="1" applyBorder="1" applyAlignment="1" applyProtection="1">
      <alignment vertical="center"/>
    </xf>
    <xf numFmtId="0" fontId="74" fillId="5" borderId="55" xfId="0" applyFont="1" applyFill="1" applyBorder="1" applyAlignment="1" applyProtection="1">
      <alignment horizontal="center"/>
    </xf>
    <xf numFmtId="0" fontId="74" fillId="5" borderId="55" xfId="0" applyFont="1" applyFill="1" applyBorder="1" applyAlignment="1" applyProtection="1"/>
    <xf numFmtId="0" fontId="109" fillId="0" borderId="0" xfId="0" applyFont="1" applyFill="1" applyAlignment="1" applyProtection="1">
      <alignment horizontal="center" vertical="center"/>
    </xf>
    <xf numFmtId="49" fontId="100"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6" fontId="86" fillId="5" borderId="57" xfId="2" applyNumberFormat="1"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9" fillId="3" borderId="12" xfId="0" applyFont="1" applyFill="1" applyBorder="1" applyProtection="1">
      <alignment vertical="center"/>
      <protection locked="0"/>
    </xf>
    <xf numFmtId="0" fontId="74" fillId="3" borderId="25" xfId="0" applyFont="1" applyFill="1" applyBorder="1" applyProtection="1">
      <alignment vertical="center"/>
      <protection locked="0"/>
    </xf>
    <xf numFmtId="0" fontId="74" fillId="5" borderId="54" xfId="0" applyFont="1" applyFill="1" applyBorder="1" applyAlignment="1" applyProtection="1">
      <alignment vertical="center"/>
    </xf>
    <xf numFmtId="0" fontId="78" fillId="5" borderId="45" xfId="0" applyFont="1" applyFill="1" applyBorder="1" applyAlignment="1" applyProtection="1">
      <alignment vertical="center"/>
    </xf>
    <xf numFmtId="179" fontId="78" fillId="5" borderId="47" xfId="0" applyNumberFormat="1" applyFont="1" applyFill="1" applyBorder="1" applyAlignment="1" applyProtection="1">
      <alignment vertical="center"/>
    </xf>
    <xf numFmtId="179" fontId="78" fillId="5" borderId="44" xfId="0" applyNumberFormat="1" applyFont="1" applyFill="1" applyBorder="1" applyAlignment="1" applyProtection="1">
      <alignment vertical="center"/>
    </xf>
    <xf numFmtId="179" fontId="78" fillId="5" borderId="46" xfId="0" applyNumberFormat="1" applyFont="1" applyFill="1" applyBorder="1" applyAlignment="1" applyProtection="1">
      <alignment vertical="center"/>
    </xf>
    <xf numFmtId="49" fontId="55" fillId="0" borderId="50" xfId="0" applyNumberFormat="1" applyFont="1" applyFill="1" applyBorder="1" applyAlignment="1" applyProtection="1">
      <alignment horizontal="center" vertical="center" wrapText="1"/>
      <protection locked="0"/>
    </xf>
    <xf numFmtId="0" fontId="55" fillId="0" borderId="74" xfId="0" applyNumberFormat="1" applyFont="1" applyFill="1" applyBorder="1" applyAlignment="1" applyProtection="1">
      <alignment horizontal="center" vertical="center" wrapText="1"/>
      <protection locked="0"/>
    </xf>
    <xf numFmtId="0" fontId="133" fillId="0" borderId="74" xfId="0" applyNumberFormat="1" applyFont="1" applyFill="1" applyBorder="1" applyAlignment="1" applyProtection="1">
      <alignment horizontal="center" vertical="center" wrapText="1"/>
      <protection locked="0"/>
    </xf>
    <xf numFmtId="0" fontId="89" fillId="0" borderId="25" xfId="2" applyNumberFormat="1" applyFont="1" applyFill="1" applyBorder="1" applyAlignment="1" applyProtection="1">
      <alignment horizontal="center" vertical="center"/>
      <protection locked="0"/>
    </xf>
    <xf numFmtId="181" fontId="79" fillId="0" borderId="7" xfId="0" applyNumberFormat="1" applyFont="1" applyFill="1" applyBorder="1" applyAlignment="1" applyProtection="1">
      <alignment horizontal="center" vertical="center"/>
      <protection locked="0"/>
    </xf>
    <xf numFmtId="0" fontId="60" fillId="5" borderId="10" xfId="2" applyFont="1" applyFill="1" applyBorder="1" applyAlignment="1" applyProtection="1">
      <alignment vertical="center"/>
    </xf>
    <xf numFmtId="0" fontId="50" fillId="5" borderId="10" xfId="2" applyFont="1" applyFill="1" applyBorder="1" applyAlignment="1" applyProtection="1">
      <alignment vertical="center"/>
    </xf>
    <xf numFmtId="0" fontId="78" fillId="5" borderId="6" xfId="0" applyFont="1" applyFill="1" applyBorder="1" applyAlignment="1" applyProtection="1">
      <alignment vertical="center"/>
    </xf>
    <xf numFmtId="0" fontId="78" fillId="5" borderId="40" xfId="0" applyFont="1" applyFill="1" applyBorder="1" applyAlignment="1" applyProtection="1">
      <alignment horizontal="right" vertical="center"/>
    </xf>
    <xf numFmtId="0" fontId="88" fillId="5" borderId="57" xfId="0" applyFont="1" applyFill="1" applyBorder="1" applyAlignment="1" applyProtection="1">
      <alignment vertical="center"/>
    </xf>
    <xf numFmtId="0" fontId="78" fillId="5" borderId="2" xfId="0" applyFont="1" applyFill="1" applyBorder="1" applyProtection="1">
      <alignment vertical="center"/>
    </xf>
    <xf numFmtId="0" fontId="88" fillId="5" borderId="16" xfId="0" applyFont="1" applyFill="1" applyBorder="1" applyAlignment="1" applyProtection="1">
      <alignment vertical="center"/>
    </xf>
    <xf numFmtId="0" fontId="78" fillId="5" borderId="10" xfId="0" applyFont="1" applyFill="1" applyBorder="1" applyProtection="1">
      <alignment vertical="center"/>
    </xf>
    <xf numFmtId="0" fontId="88" fillId="5" borderId="16" xfId="0" applyFont="1" applyFill="1" applyBorder="1" applyProtection="1">
      <alignment vertical="center"/>
    </xf>
    <xf numFmtId="0" fontId="78" fillId="5" borderId="3" xfId="0" applyFont="1" applyFill="1" applyBorder="1" applyProtection="1">
      <alignment vertical="center"/>
    </xf>
    <xf numFmtId="0" fontId="88" fillId="5" borderId="14" xfId="0" applyFont="1" applyFill="1" applyBorder="1" applyAlignment="1" applyProtection="1">
      <alignment horizontal="right" vertical="center"/>
    </xf>
    <xf numFmtId="0" fontId="88" fillId="5" borderId="15" xfId="0" applyFont="1" applyFill="1" applyBorder="1" applyAlignment="1" applyProtection="1">
      <alignment horizontal="left" vertical="center"/>
    </xf>
    <xf numFmtId="0" fontId="73" fillId="5" borderId="2" xfId="0" applyFont="1" applyFill="1" applyBorder="1" applyAlignment="1" applyProtection="1">
      <alignment horizontal="right" vertical="center"/>
    </xf>
    <xf numFmtId="0" fontId="184" fillId="5" borderId="66" xfId="0" applyFont="1" applyFill="1" applyBorder="1" applyAlignment="1" applyProtection="1">
      <alignment horizontal="center" vertical="center" wrapText="1"/>
    </xf>
    <xf numFmtId="0" fontId="162" fillId="0" borderId="2" xfId="1" applyFont="1" applyBorder="1" applyAlignment="1" applyProtection="1">
      <alignment horizontal="center" vertical="center" wrapText="1"/>
      <protection locked="0"/>
    </xf>
    <xf numFmtId="0" fontId="151" fillId="0" borderId="2" xfId="1" applyFont="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51" fillId="0" borderId="2" xfId="1" applyFont="1" applyFill="1" applyBorder="1" applyAlignment="1" applyProtection="1">
      <alignment horizontal="center" vertical="center" wrapText="1"/>
      <protection locked="0"/>
    </xf>
    <xf numFmtId="0" fontId="135" fillId="0" borderId="2" xfId="1" applyFont="1" applyFill="1" applyBorder="1" applyAlignment="1" applyProtection="1">
      <alignment horizontal="center" vertical="center" wrapText="1"/>
      <protection locked="0"/>
    </xf>
    <xf numFmtId="0" fontId="166"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50" fillId="5" borderId="30" xfId="3" applyFont="1" applyFill="1" applyBorder="1" applyAlignment="1" applyProtection="1">
      <alignment vertical="center"/>
    </xf>
    <xf numFmtId="0" fontId="43" fillId="5" borderId="0" xfId="3" applyFont="1" applyFill="1" applyAlignment="1" applyProtection="1">
      <alignment vertical="center" wrapText="1"/>
    </xf>
    <xf numFmtId="0" fontId="43" fillId="8" borderId="0" xfId="3" applyFont="1" applyFill="1" applyAlignment="1" applyProtection="1">
      <alignment vertical="center" wrapText="1"/>
    </xf>
    <xf numFmtId="0" fontId="43" fillId="8" borderId="0" xfId="3" applyFont="1" applyFill="1" applyAlignment="1" applyProtection="1">
      <alignment horizontal="center" vertical="center" wrapText="1"/>
    </xf>
    <xf numFmtId="0" fontId="43" fillId="0" borderId="0" xfId="3" applyFont="1" applyAlignment="1" applyProtection="1">
      <alignment horizontal="center" vertical="center" wrapText="1"/>
    </xf>
    <xf numFmtId="0" fontId="43" fillId="0" borderId="0" xfId="3" applyFont="1" applyAlignment="1" applyProtection="1">
      <alignment vertical="center" wrapText="1"/>
    </xf>
    <xf numFmtId="0" fontId="50" fillId="5" borderId="2" xfId="3" applyFont="1" applyFill="1" applyBorder="1" applyAlignment="1" applyProtection="1">
      <alignment vertical="center"/>
    </xf>
    <xf numFmtId="0" fontId="50" fillId="5" borderId="5" xfId="3" applyFont="1" applyFill="1" applyBorder="1" applyAlignment="1" applyProtection="1">
      <alignment vertical="center"/>
    </xf>
    <xf numFmtId="0" fontId="43" fillId="5" borderId="2" xfId="3"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center" vertical="center" wrapText="1"/>
      <protection locked="0"/>
    </xf>
    <xf numFmtId="0" fontId="43" fillId="5" borderId="0" xfId="3" applyNumberFormat="1" applyFont="1" applyFill="1" applyAlignment="1" applyProtection="1">
      <alignment vertical="center" wrapText="1"/>
    </xf>
    <xf numFmtId="0" fontId="50" fillId="5" borderId="10" xfId="3" applyFont="1" applyFill="1" applyBorder="1" applyAlignment="1" applyProtection="1">
      <alignment vertical="center"/>
    </xf>
    <xf numFmtId="0" fontId="43" fillId="6" borderId="2" xfId="3" applyNumberFormat="1" applyFont="1" applyFill="1" applyBorder="1" applyAlignment="1" applyProtection="1">
      <alignment vertical="center" wrapText="1"/>
      <protection locked="0"/>
    </xf>
    <xf numFmtId="0" fontId="43" fillId="6" borderId="2" xfId="0" applyFont="1" applyFill="1" applyBorder="1" applyAlignment="1" applyProtection="1">
      <alignment horizontal="left" vertical="center"/>
      <protection locked="0"/>
    </xf>
    <xf numFmtId="0" fontId="43" fillId="5" borderId="2" xfId="3" applyFont="1" applyFill="1" applyBorder="1" applyAlignment="1" applyProtection="1">
      <alignment horizontal="left" vertical="center" wrapText="1"/>
    </xf>
    <xf numFmtId="0" fontId="60" fillId="5" borderId="10" xfId="3" applyFont="1" applyFill="1" applyBorder="1" applyAlignment="1" applyProtection="1">
      <alignment horizontal="left" vertical="center" wrapText="1"/>
    </xf>
    <xf numFmtId="0" fontId="60" fillId="5" borderId="14" xfId="3" applyFont="1" applyFill="1" applyBorder="1" applyAlignment="1" applyProtection="1">
      <alignment vertical="center" wrapText="1"/>
    </xf>
    <xf numFmtId="0" fontId="61" fillId="5" borderId="14" xfId="3" applyFont="1" applyFill="1" applyBorder="1" applyAlignment="1" applyProtection="1">
      <alignment vertical="center" wrapText="1"/>
    </xf>
    <xf numFmtId="0" fontId="61" fillId="5" borderId="32" xfId="3" applyFont="1" applyFill="1" applyBorder="1" applyAlignment="1" applyProtection="1">
      <alignment vertical="center" wrapText="1"/>
    </xf>
    <xf numFmtId="0" fontId="61" fillId="8" borderId="0" xfId="3" applyFont="1" applyFill="1" applyAlignment="1" applyProtection="1">
      <alignment horizontal="center" vertical="center" wrapText="1"/>
    </xf>
    <xf numFmtId="0" fontId="61" fillId="0" borderId="0" xfId="3" applyFont="1" applyAlignment="1" applyProtection="1">
      <alignment horizontal="center" vertical="center" wrapText="1"/>
    </xf>
    <xf numFmtId="0" fontId="61" fillId="0" borderId="0" xfId="3" applyFont="1" applyAlignment="1" applyProtection="1">
      <alignment vertical="center" wrapText="1"/>
    </xf>
    <xf numFmtId="0" fontId="45"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5" fillId="5" borderId="37" xfId="3" applyFont="1" applyFill="1" applyBorder="1" applyAlignment="1" applyProtection="1">
      <alignment horizontal="center" vertical="center" wrapText="1"/>
    </xf>
    <xf numFmtId="0" fontId="43" fillId="5" borderId="37" xfId="3" applyFont="1" applyFill="1" applyBorder="1" applyAlignment="1" applyProtection="1">
      <alignment vertical="center" wrapText="1"/>
    </xf>
    <xf numFmtId="0" fontId="43" fillId="5" borderId="38" xfId="3" applyFont="1" applyFill="1" applyBorder="1" applyAlignment="1" applyProtection="1">
      <alignment vertical="center" wrapText="1"/>
    </xf>
    <xf numFmtId="0" fontId="45" fillId="5" borderId="6" xfId="3" applyFont="1" applyFill="1" applyBorder="1" applyAlignment="1" applyProtection="1">
      <alignment horizontal="left" vertical="center" wrapText="1"/>
    </xf>
    <xf numFmtId="0" fontId="43" fillId="5" borderId="6" xfId="3" applyFont="1" applyFill="1" applyBorder="1" applyAlignment="1" applyProtection="1">
      <alignment horizontal="center" vertical="center" wrapText="1"/>
    </xf>
    <xf numFmtId="0" fontId="43"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43" fillId="5" borderId="39" xfId="3" applyFont="1" applyFill="1" applyBorder="1" applyAlignment="1" applyProtection="1">
      <alignment vertical="center" wrapText="1"/>
    </xf>
    <xf numFmtId="0" fontId="43" fillId="5" borderId="5" xfId="3" applyFont="1" applyFill="1" applyBorder="1" applyAlignment="1" applyProtection="1">
      <alignment vertical="center"/>
    </xf>
    <xf numFmtId="0" fontId="43" fillId="5" borderId="8" xfId="3" applyFont="1" applyFill="1" applyBorder="1" applyAlignment="1" applyProtection="1">
      <alignment vertical="center" wrapText="1"/>
    </xf>
    <xf numFmtId="0" fontId="43" fillId="5" borderId="16" xfId="3" applyFont="1" applyFill="1" applyBorder="1" applyAlignment="1" applyProtection="1">
      <alignment vertical="center" wrapText="1"/>
    </xf>
    <xf numFmtId="0" fontId="43" fillId="5" borderId="10" xfId="3" applyFont="1" applyFill="1" applyBorder="1" applyAlignment="1" applyProtection="1">
      <alignment horizontal="left" vertical="center" wrapText="1"/>
    </xf>
    <xf numFmtId="0" fontId="43" fillId="5" borderId="4" xfId="3" applyFont="1" applyFill="1" applyBorder="1" applyAlignment="1" applyProtection="1">
      <alignment vertical="center"/>
    </xf>
    <xf numFmtId="0" fontId="43" fillId="5" borderId="14" xfId="3" applyFont="1" applyFill="1" applyBorder="1" applyAlignment="1" applyProtection="1">
      <alignment vertical="center" wrapText="1"/>
    </xf>
    <xf numFmtId="0" fontId="43" fillId="5" borderId="15" xfId="3" applyFont="1" applyFill="1" applyBorder="1" applyAlignment="1" applyProtection="1">
      <alignment vertical="center" wrapText="1"/>
    </xf>
    <xf numFmtId="0" fontId="45" fillId="5" borderId="27" xfId="3" applyFont="1" applyFill="1" applyBorder="1" applyAlignment="1" applyProtection="1">
      <alignment horizontal="left" vertical="center" wrapText="1"/>
    </xf>
    <xf numFmtId="0" fontId="43" fillId="5" borderId="29" xfId="3" applyFont="1" applyFill="1" applyBorder="1" applyAlignment="1" applyProtection="1">
      <alignment vertical="center"/>
    </xf>
    <xf numFmtId="0" fontId="43" fillId="5" borderId="30" xfId="3" applyFont="1" applyFill="1" applyBorder="1" applyAlignment="1" applyProtection="1">
      <alignment horizontal="center" vertical="center" wrapText="1"/>
    </xf>
    <xf numFmtId="0" fontId="43" fillId="5" borderId="30" xfId="3" applyFont="1" applyFill="1" applyBorder="1" applyAlignment="1" applyProtection="1">
      <alignment vertical="center" wrapText="1"/>
    </xf>
    <xf numFmtId="0" fontId="43" fillId="5" borderId="57" xfId="3" applyFont="1" applyFill="1" applyBorder="1" applyAlignment="1" applyProtection="1">
      <alignment vertical="center" wrapText="1"/>
    </xf>
    <xf numFmtId="0" fontId="168" fillId="5" borderId="10" xfId="3" applyFont="1" applyFill="1" applyBorder="1" applyAlignment="1" applyProtection="1">
      <alignment horizontal="left" vertical="center" wrapText="1"/>
    </xf>
    <xf numFmtId="0" fontId="168" fillId="5" borderId="9" xfId="3" applyFont="1" applyFill="1" applyBorder="1" applyAlignment="1" applyProtection="1">
      <alignment horizontal="center" vertical="center" wrapText="1"/>
    </xf>
    <xf numFmtId="0" fontId="52" fillId="5" borderId="21" xfId="3" applyFont="1" applyFill="1" applyBorder="1" applyAlignment="1" applyProtection="1">
      <alignment horizontal="center" vertical="center" wrapText="1"/>
    </xf>
    <xf numFmtId="0" fontId="43" fillId="0" borderId="2" xfId="3" applyFont="1" applyFill="1" applyBorder="1" applyAlignment="1" applyProtection="1">
      <alignment horizontal="center" vertical="center"/>
      <protection locked="0"/>
    </xf>
    <xf numFmtId="0" fontId="43" fillId="0" borderId="2" xfId="3" applyFont="1" applyBorder="1" applyAlignment="1" applyProtection="1">
      <alignment horizontal="center" vertical="center" wrapText="1"/>
      <protection locked="0"/>
    </xf>
    <xf numFmtId="0" fontId="43" fillId="0" borderId="2" xfId="3" applyFont="1" applyFill="1" applyBorder="1" applyAlignment="1" applyProtection="1">
      <alignment horizontal="center" vertical="center" wrapText="1"/>
      <protection locked="0"/>
    </xf>
    <xf numFmtId="0" fontId="43" fillId="0" borderId="12" xfId="3" applyFont="1" applyFill="1" applyBorder="1" applyAlignment="1" applyProtection="1">
      <alignment horizontal="center" vertical="center" wrapText="1"/>
      <protection locked="0"/>
    </xf>
    <xf numFmtId="0" fontId="168" fillId="5" borderId="21" xfId="3" applyFont="1" applyFill="1" applyBorder="1" applyAlignment="1" applyProtection="1">
      <alignment horizontal="left" vertical="center" wrapText="1"/>
    </xf>
    <xf numFmtId="0" fontId="168" fillId="6" borderId="9" xfId="3" applyFont="1" applyFill="1" applyBorder="1" applyAlignment="1" applyProtection="1">
      <alignment horizontal="center" vertical="center" wrapText="1"/>
      <protection locked="0"/>
    </xf>
    <xf numFmtId="0" fontId="168" fillId="6" borderId="2" xfId="3" applyFont="1" applyFill="1" applyBorder="1" applyAlignment="1" applyProtection="1">
      <alignment horizontal="center" vertical="center" wrapText="1"/>
      <protection locked="0"/>
    </xf>
    <xf numFmtId="0" fontId="168" fillId="6" borderId="21" xfId="3" applyFont="1" applyFill="1" applyBorder="1" applyAlignment="1" applyProtection="1">
      <alignment horizontal="center" vertical="center" wrapText="1"/>
      <protection locked="0"/>
    </xf>
    <xf numFmtId="0" fontId="57" fillId="5" borderId="17" xfId="3" applyFont="1" applyFill="1" applyBorder="1" applyAlignment="1" applyProtection="1">
      <alignment vertical="center"/>
    </xf>
    <xf numFmtId="0" fontId="43"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168" fillId="5" borderId="55"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3" fillId="6" borderId="27" xfId="3" applyFont="1" applyFill="1" applyBorder="1" applyAlignment="1" applyProtection="1">
      <alignment horizontal="center" vertical="center" wrapText="1"/>
      <protection locked="0"/>
    </xf>
    <xf numFmtId="0" fontId="43" fillId="6" borderId="6" xfId="3" applyFont="1" applyFill="1" applyBorder="1" applyAlignment="1" applyProtection="1">
      <alignment horizontal="right" vertical="center" wrapText="1"/>
      <protection locked="0"/>
    </xf>
    <xf numFmtId="0" fontId="43" fillId="6" borderId="6" xfId="3" applyFont="1" applyFill="1" applyBorder="1" applyAlignment="1" applyProtection="1">
      <alignment horizontal="center" vertical="center" wrapText="1"/>
      <protection locked="0"/>
    </xf>
    <xf numFmtId="0" fontId="43" fillId="5" borderId="11" xfId="3" applyFont="1" applyFill="1" applyBorder="1" applyAlignment="1" applyProtection="1">
      <alignment horizontal="center" vertical="center" wrapText="1"/>
    </xf>
    <xf numFmtId="0" fontId="43" fillId="5" borderId="10" xfId="3" applyFont="1" applyFill="1" applyBorder="1" applyAlignment="1" applyProtection="1">
      <alignment horizontal="left" vertical="center"/>
    </xf>
    <xf numFmtId="0" fontId="43" fillId="5" borderId="3" xfId="3" applyFont="1" applyFill="1" applyBorder="1" applyAlignment="1" applyProtection="1">
      <alignment horizontal="center" vertical="center" wrapText="1"/>
    </xf>
    <xf numFmtId="0" fontId="43" fillId="5" borderId="10" xfId="3" applyFont="1" applyFill="1" applyBorder="1" applyAlignment="1" applyProtection="1">
      <alignment vertical="center" wrapText="1"/>
    </xf>
    <xf numFmtId="0" fontId="43" fillId="5" borderId="10" xfId="0" applyFont="1" applyFill="1" applyBorder="1" applyAlignment="1" applyProtection="1">
      <alignment horizontal="center" vertical="center" wrapText="1"/>
    </xf>
    <xf numFmtId="9" fontId="43" fillId="5" borderId="43" xfId="3" applyNumberFormat="1" applyFont="1" applyFill="1" applyBorder="1" applyAlignment="1" applyProtection="1">
      <alignment horizontal="center" vertical="center" wrapText="1"/>
    </xf>
    <xf numFmtId="0" fontId="60" fillId="5" borderId="83" xfId="3" applyFont="1" applyFill="1" applyBorder="1" applyAlignment="1" applyProtection="1">
      <alignment horizontal="left" vertical="center" wrapText="1"/>
    </xf>
    <xf numFmtId="0" fontId="61" fillId="5" borderId="38" xfId="3" applyFont="1" applyFill="1" applyBorder="1" applyAlignment="1" applyProtection="1">
      <alignment vertical="center" wrapText="1"/>
    </xf>
    <xf numFmtId="0" fontId="61" fillId="8" borderId="0" xfId="3" applyFont="1" applyFill="1" applyAlignment="1" applyProtection="1">
      <alignment vertical="center" wrapText="1"/>
    </xf>
    <xf numFmtId="10" fontId="43" fillId="8" borderId="0" xfId="3" applyNumberFormat="1" applyFont="1" applyFill="1" applyAlignment="1" applyProtection="1">
      <alignment horizontal="center" vertical="center" wrapText="1"/>
    </xf>
    <xf numFmtId="0" fontId="61" fillId="5" borderId="83" xfId="3" applyFont="1" applyFill="1" applyBorder="1" applyAlignment="1" applyProtection="1">
      <alignment horizontal="center" vertical="center" wrapText="1"/>
    </xf>
    <xf numFmtId="0" fontId="61" fillId="6" borderId="83" xfId="3" applyFont="1" applyFill="1" applyBorder="1" applyAlignment="1" applyProtection="1">
      <alignment horizontal="center" vertical="center" wrapText="1"/>
      <protection locked="0"/>
    </xf>
    <xf numFmtId="0" fontId="43" fillId="5" borderId="7" xfId="3" applyFont="1" applyFill="1" applyBorder="1" applyAlignment="1" applyProtection="1">
      <alignment horizontal="center" vertical="center" wrapText="1"/>
    </xf>
    <xf numFmtId="10" fontId="43" fillId="0" borderId="0" xfId="3" applyNumberFormat="1" applyFont="1" applyAlignment="1" applyProtection="1">
      <alignment horizontal="center" vertical="center" wrapText="1"/>
    </xf>
    <xf numFmtId="0" fontId="61" fillId="5" borderId="11" xfId="3" applyFont="1" applyFill="1" applyBorder="1" applyAlignment="1" applyProtection="1">
      <alignment horizontal="center" vertical="center" wrapText="1"/>
    </xf>
    <xf numFmtId="0" fontId="60" fillId="5" borderId="21" xfId="3" applyFont="1" applyFill="1" applyBorder="1" applyAlignment="1" applyProtection="1">
      <alignment horizontal="center" vertical="center" wrapText="1"/>
    </xf>
    <xf numFmtId="0" fontId="60" fillId="6" borderId="21" xfId="3" applyFont="1" applyFill="1" applyBorder="1" applyAlignment="1" applyProtection="1">
      <alignment horizontal="left" vertical="center" wrapText="1"/>
      <protection locked="0"/>
    </xf>
    <xf numFmtId="0" fontId="61" fillId="5" borderId="0" xfId="3" applyFont="1" applyFill="1" applyAlignment="1" applyProtection="1">
      <alignment vertical="center" wrapText="1"/>
    </xf>
    <xf numFmtId="0" fontId="61" fillId="5" borderId="21" xfId="3" applyFont="1" applyFill="1" applyBorder="1" applyAlignment="1" applyProtection="1">
      <alignment vertical="center" wrapText="1"/>
    </xf>
    <xf numFmtId="0" fontId="61" fillId="5" borderId="2" xfId="3" applyFont="1" applyFill="1" applyBorder="1" applyAlignment="1" applyProtection="1">
      <alignment horizontal="left" vertical="center" wrapText="1"/>
    </xf>
    <xf numFmtId="0" fontId="61" fillId="5" borderId="43" xfId="3" applyFont="1" applyFill="1" applyBorder="1" applyAlignment="1" applyProtection="1">
      <alignment horizontal="center" vertical="center" wrapText="1"/>
    </xf>
    <xf numFmtId="0" fontId="60" fillId="5" borderId="53" xfId="3" applyFont="1" applyFill="1" applyBorder="1" applyAlignment="1" applyProtection="1">
      <alignment horizontal="center" vertical="center" wrapText="1"/>
    </xf>
    <xf numFmtId="0" fontId="60" fillId="5" borderId="29" xfId="3" applyFont="1" applyFill="1" applyBorder="1" applyAlignment="1" applyProtection="1">
      <alignment horizontal="left" vertical="center" wrapText="1"/>
    </xf>
    <xf numFmtId="0" fontId="45" fillId="5" borderId="30"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60" fillId="5" borderId="24" xfId="3" applyFont="1" applyFill="1" applyBorder="1" applyAlignment="1" applyProtection="1">
      <alignment horizontal="center" vertical="center" wrapText="1"/>
    </xf>
    <xf numFmtId="0" fontId="43" fillId="5" borderId="13" xfId="3" applyFont="1" applyFill="1" applyBorder="1" applyAlignment="1" applyProtection="1">
      <alignment vertical="center" wrapText="1"/>
    </xf>
    <xf numFmtId="0" fontId="45" fillId="5" borderId="0" xfId="3" applyFont="1" applyFill="1" applyBorder="1" applyAlignment="1" applyProtection="1">
      <alignment vertical="center" wrapText="1"/>
    </xf>
    <xf numFmtId="0" fontId="43" fillId="5" borderId="65" xfId="3" applyFont="1" applyFill="1" applyBorder="1" applyAlignment="1" applyProtection="1">
      <alignment vertical="center" wrapText="1"/>
    </xf>
    <xf numFmtId="0" fontId="61" fillId="5" borderId="0" xfId="3" applyFont="1" applyFill="1" applyBorder="1" applyAlignment="1" applyProtection="1">
      <alignment horizontal="left" vertical="center" wrapText="1"/>
    </xf>
    <xf numFmtId="0" fontId="43" fillId="5" borderId="68"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3" fillId="5" borderId="66" xfId="3" applyFont="1" applyFill="1" applyBorder="1" applyAlignment="1" applyProtection="1">
      <alignment vertical="center" wrapText="1"/>
    </xf>
    <xf numFmtId="0" fontId="45" fillId="5" borderId="42" xfId="3" applyFont="1" applyFill="1" applyBorder="1" applyAlignment="1" applyProtection="1">
      <alignment vertical="center" wrapText="1"/>
    </xf>
    <xf numFmtId="0" fontId="60" fillId="5" borderId="6" xfId="3" applyFont="1" applyFill="1" applyBorder="1" applyAlignment="1" applyProtection="1">
      <alignment horizontal="center" vertical="center" wrapText="1"/>
    </xf>
    <xf numFmtId="0" fontId="60" fillId="5" borderId="29" xfId="3" applyFont="1" applyFill="1" applyBorder="1" applyAlignment="1" applyProtection="1">
      <alignment horizontal="center" vertical="center" wrapText="1"/>
    </xf>
    <xf numFmtId="0" fontId="45" fillId="5" borderId="29" xfId="3" applyFont="1" applyFill="1" applyBorder="1" applyAlignment="1" applyProtection="1">
      <alignment vertical="center" wrapText="1"/>
    </xf>
    <xf numFmtId="0" fontId="43" fillId="5" borderId="24" xfId="3" applyFont="1" applyFill="1" applyBorder="1" applyAlignment="1" applyProtection="1">
      <alignment horizontal="center" vertical="center" wrapText="1"/>
    </xf>
    <xf numFmtId="0" fontId="43" fillId="5" borderId="9" xfId="3" applyFont="1" applyFill="1" applyBorder="1" applyAlignment="1" applyProtection="1">
      <alignment horizontal="left" vertical="center" wrapText="1"/>
    </xf>
    <xf numFmtId="0" fontId="43" fillId="0" borderId="2" xfId="3" applyFont="1" applyBorder="1" applyAlignment="1" applyProtection="1">
      <alignment vertical="center" wrapText="1"/>
      <protection locked="0"/>
    </xf>
    <xf numFmtId="0" fontId="168" fillId="5" borderId="5" xfId="3" applyFont="1" applyFill="1" applyBorder="1" applyAlignment="1" applyProtection="1">
      <alignment vertical="center"/>
    </xf>
    <xf numFmtId="0" fontId="168" fillId="5" borderId="8" xfId="3" applyFont="1" applyFill="1" applyBorder="1" applyAlignment="1" applyProtection="1">
      <alignment vertical="center"/>
    </xf>
    <xf numFmtId="0" fontId="168" fillId="5" borderId="16" xfId="3" applyFont="1" applyFill="1" applyBorder="1" applyAlignment="1" applyProtection="1">
      <alignment vertical="center"/>
    </xf>
    <xf numFmtId="0" fontId="45" fillId="5" borderId="23" xfId="3" applyFont="1" applyFill="1" applyBorder="1" applyAlignment="1" applyProtection="1">
      <alignment vertical="center" wrapText="1"/>
    </xf>
    <xf numFmtId="0" fontId="43" fillId="5" borderId="47" xfId="3" applyFont="1" applyFill="1" applyBorder="1" applyAlignment="1" applyProtection="1">
      <alignment horizontal="left" vertical="center" wrapText="1"/>
    </xf>
    <xf numFmtId="0" fontId="43" fillId="0" borderId="44" xfId="3" applyFont="1" applyBorder="1" applyAlignment="1" applyProtection="1">
      <alignment vertical="center" wrapText="1"/>
      <protection locked="0"/>
    </xf>
    <xf numFmtId="0" fontId="43" fillId="5" borderId="44" xfId="3" applyFont="1" applyFill="1" applyBorder="1" applyAlignment="1" applyProtection="1">
      <alignment vertical="center"/>
    </xf>
    <xf numFmtId="0" fontId="43" fillId="5" borderId="56" xfId="3" applyFont="1" applyFill="1" applyBorder="1" applyAlignment="1" applyProtection="1">
      <alignment vertical="center" wrapText="1"/>
    </xf>
    <xf numFmtId="0" fontId="43" fillId="5" borderId="48" xfId="3" applyFont="1" applyFill="1" applyBorder="1" applyAlignment="1" applyProtection="1">
      <alignment vertical="center" wrapText="1"/>
    </xf>
    <xf numFmtId="0" fontId="45" fillId="5" borderId="53" xfId="3" applyFont="1" applyFill="1" applyBorder="1" applyAlignment="1" applyProtection="1">
      <alignment vertical="center" wrapText="1"/>
    </xf>
    <xf numFmtId="0" fontId="45" fillId="5" borderId="58" xfId="3" applyFont="1" applyFill="1" applyBorder="1" applyAlignment="1" applyProtection="1">
      <alignment horizontal="left" vertical="center" wrapText="1"/>
    </xf>
    <xf numFmtId="0" fontId="43" fillId="5" borderId="30" xfId="3" applyFont="1" applyFill="1" applyBorder="1" applyAlignment="1" applyProtection="1">
      <alignment vertical="center"/>
    </xf>
    <xf numFmtId="0" fontId="43" fillId="5" borderId="42" xfId="3" applyFont="1" applyFill="1" applyBorder="1" applyAlignment="1" applyProtection="1">
      <alignment vertical="center"/>
    </xf>
    <xf numFmtId="0" fontId="45" fillId="5" borderId="20" xfId="3" applyFont="1" applyFill="1" applyBorder="1" applyAlignment="1" applyProtection="1">
      <alignment vertical="center" wrapText="1"/>
    </xf>
    <xf numFmtId="0" fontId="60" fillId="5" borderId="9" xfId="3" applyFont="1" applyFill="1" applyBorder="1" applyAlignment="1" applyProtection="1">
      <alignment horizontal="center" vertical="center" wrapText="1"/>
    </xf>
    <xf numFmtId="0" fontId="60" fillId="5" borderId="2" xfId="3" applyFont="1" applyFill="1" applyBorder="1" applyAlignment="1" applyProtection="1">
      <alignment horizontal="center" vertical="center" wrapText="1"/>
    </xf>
    <xf numFmtId="0" fontId="43" fillId="5" borderId="2" xfId="3" applyFont="1" applyFill="1" applyBorder="1" applyAlignment="1" applyProtection="1">
      <alignment vertical="center" wrapText="1"/>
    </xf>
    <xf numFmtId="0" fontId="43" fillId="5" borderId="51" xfId="3" applyFont="1" applyFill="1" applyBorder="1" applyAlignment="1" applyProtection="1">
      <alignment vertical="center"/>
    </xf>
    <xf numFmtId="0" fontId="45" fillId="5" borderId="24" xfId="3" applyFont="1" applyFill="1" applyBorder="1" applyAlignment="1" applyProtection="1">
      <alignment vertical="center" wrapText="1"/>
    </xf>
    <xf numFmtId="0" fontId="168" fillId="5" borderId="20" xfId="3" applyFont="1" applyFill="1" applyBorder="1" applyAlignment="1" applyProtection="1">
      <alignment horizontal="center" vertical="center" wrapText="1"/>
    </xf>
    <xf numFmtId="0" fontId="43" fillId="5" borderId="65" xfId="3" applyFont="1" applyFill="1" applyBorder="1" applyAlignment="1" applyProtection="1">
      <alignment horizontal="center" vertical="center" wrapText="1"/>
    </xf>
    <xf numFmtId="0" fontId="168" fillId="5" borderId="47" xfId="3" applyFont="1" applyFill="1" applyBorder="1" applyAlignment="1" applyProtection="1">
      <alignment horizontal="center" vertical="center" wrapText="1"/>
    </xf>
    <xf numFmtId="0" fontId="43" fillId="5" borderId="66" xfId="3" applyFont="1" applyFill="1" applyBorder="1" applyAlignment="1" applyProtection="1">
      <alignment horizontal="center" vertical="center" wrapText="1"/>
    </xf>
    <xf numFmtId="0" fontId="43" fillId="0" borderId="0" xfId="3" applyFont="1" applyAlignment="1" applyProtection="1">
      <alignment horizontal="left" vertical="center" wrapText="1"/>
    </xf>
    <xf numFmtId="0" fontId="89" fillId="6" borderId="2" xfId="3" applyFont="1" applyFill="1" applyBorder="1" applyAlignment="1" applyProtection="1">
      <alignment horizontal="center" vertical="center" wrapText="1"/>
      <protection locked="0"/>
    </xf>
    <xf numFmtId="0" fontId="89" fillId="5" borderId="0" xfId="3" applyFont="1" applyFill="1" applyAlignment="1" applyProtection="1">
      <alignment vertical="center" wrapText="1"/>
    </xf>
    <xf numFmtId="185" fontId="89" fillId="5" borderId="3" xfId="3" applyNumberFormat="1" applyFont="1" applyFill="1" applyBorder="1" applyAlignment="1" applyProtection="1">
      <alignment horizontal="center" vertical="center" wrapText="1"/>
    </xf>
    <xf numFmtId="185" fontId="89" fillId="5" borderId="13" xfId="3" applyNumberFormat="1" applyFont="1" applyFill="1" applyBorder="1" applyAlignment="1" applyProtection="1">
      <alignment horizontal="center" vertical="center" wrapText="1"/>
    </xf>
    <xf numFmtId="0" fontId="89" fillId="5" borderId="9" xfId="3" applyFont="1" applyFill="1" applyBorder="1" applyAlignment="1" applyProtection="1">
      <alignment vertical="center" wrapText="1"/>
    </xf>
    <xf numFmtId="0" fontId="87" fillId="5" borderId="2" xfId="3" applyFont="1" applyFill="1" applyBorder="1" applyAlignment="1" applyProtection="1">
      <alignment vertical="center" wrapText="1"/>
    </xf>
    <xf numFmtId="0" fontId="89" fillId="5" borderId="14" xfId="3" applyFont="1" applyFill="1" applyBorder="1" applyAlignment="1" applyProtection="1">
      <alignment vertical="center"/>
    </xf>
    <xf numFmtId="0" fontId="87" fillId="5" borderId="10" xfId="3" applyFont="1" applyFill="1" applyBorder="1" applyAlignment="1" applyProtection="1">
      <alignment vertical="center" wrapText="1"/>
    </xf>
    <xf numFmtId="0" fontId="89" fillId="0" borderId="2" xfId="3" applyFont="1" applyBorder="1" applyAlignment="1" applyProtection="1">
      <alignment vertical="center" wrapText="1"/>
      <protection locked="0"/>
    </xf>
    <xf numFmtId="0" fontId="89" fillId="0" borderId="44" xfId="3" applyFont="1" applyBorder="1" applyAlignment="1" applyProtection="1">
      <alignment vertical="center" wrapText="1"/>
      <protection locked="0"/>
    </xf>
    <xf numFmtId="9" fontId="89" fillId="5" borderId="12" xfId="3" applyNumberFormat="1" applyFont="1" applyFill="1" applyBorder="1" applyAlignment="1" applyProtection="1">
      <alignment horizontal="center" vertical="center" wrapText="1"/>
    </xf>
    <xf numFmtId="10" fontId="89" fillId="5" borderId="44" xfId="3" applyNumberFormat="1" applyFont="1" applyFill="1" applyBorder="1" applyAlignment="1" applyProtection="1">
      <alignment horizontal="center" vertical="center" wrapText="1"/>
    </xf>
    <xf numFmtId="10" fontId="89" fillId="5" borderId="46" xfId="3" applyNumberFormat="1" applyFont="1" applyFill="1" applyBorder="1" applyAlignment="1" applyProtection="1">
      <alignment horizontal="center" vertical="center" wrapText="1"/>
    </xf>
    <xf numFmtId="10" fontId="87" fillId="0" borderId="9" xfId="3" applyNumberFormat="1" applyFont="1" applyFill="1" applyBorder="1" applyAlignment="1" applyProtection="1">
      <alignment horizontal="center" vertical="center" wrapText="1"/>
      <protection locked="0"/>
    </xf>
    <xf numFmtId="10" fontId="87" fillId="0" borderId="47" xfId="3" applyNumberFormat="1" applyFont="1" applyFill="1" applyBorder="1" applyAlignment="1" applyProtection="1">
      <alignment horizontal="center" vertical="center" wrapText="1"/>
      <protection locked="0"/>
    </xf>
    <xf numFmtId="0" fontId="89" fillId="5" borderId="26" xfId="3" applyFont="1" applyFill="1" applyBorder="1" applyAlignment="1" applyProtection="1">
      <alignment vertical="center"/>
    </xf>
    <xf numFmtId="0" fontId="89" fillId="5" borderId="39" xfId="3" applyFont="1" applyFill="1" applyBorder="1" applyAlignment="1" applyProtection="1">
      <alignment vertical="center" wrapText="1"/>
    </xf>
    <xf numFmtId="0" fontId="89" fillId="5" borderId="11" xfId="3" applyFont="1" applyFill="1" applyBorder="1" applyAlignment="1" applyProtection="1">
      <alignment vertical="center"/>
    </xf>
    <xf numFmtId="9" fontId="89" fillId="5" borderId="12" xfId="3" applyNumberFormat="1" applyFont="1" applyFill="1" applyBorder="1" applyAlignment="1" applyProtection="1">
      <alignment horizontal="center" vertical="center"/>
    </xf>
    <xf numFmtId="0" fontId="89" fillId="5" borderId="43" xfId="3" applyFont="1" applyFill="1" applyBorder="1" applyAlignment="1" applyProtection="1">
      <alignment vertical="center" wrapText="1"/>
    </xf>
    <xf numFmtId="9" fontId="89" fillId="5" borderId="46" xfId="3" applyNumberFormat="1"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wrapText="1"/>
    </xf>
    <xf numFmtId="0" fontId="170" fillId="5" borderId="0" xfId="0" applyFont="1" applyFill="1" applyBorder="1" applyAlignment="1" applyProtection="1">
      <alignment horizontal="center" vertical="center"/>
      <protection locked="0"/>
    </xf>
    <xf numFmtId="0" fontId="170" fillId="5" borderId="0" xfId="0" applyFont="1" applyFill="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152" fillId="5" borderId="0" xfId="0" applyFont="1" applyFill="1" applyBorder="1" applyAlignment="1" applyProtection="1">
      <alignment horizontal="center" vertical="center"/>
      <protection locked="0"/>
    </xf>
    <xf numFmtId="0" fontId="162"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155" fillId="0" borderId="2" xfId="0" applyFont="1" applyFill="1" applyBorder="1" applyAlignment="1" applyProtection="1">
      <alignment horizontal="center" vertical="center"/>
      <protection locked="0"/>
    </xf>
    <xf numFmtId="0" fontId="87"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60" fillId="5" borderId="0" xfId="0" applyFont="1" applyFill="1" applyAlignment="1" applyProtection="1">
      <alignment horizontal="left" vertical="center"/>
    </xf>
    <xf numFmtId="181" fontId="104" fillId="5" borderId="14" xfId="0" applyNumberFormat="1" applyFont="1" applyFill="1" applyBorder="1" applyAlignment="1" applyProtection="1">
      <alignment vertical="center"/>
    </xf>
    <xf numFmtId="0" fontId="104" fillId="5" borderId="14"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104" fillId="5" borderId="19"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186" fontId="74" fillId="5" borderId="5" xfId="0" applyNumberFormat="1" applyFont="1" applyFill="1" applyBorder="1" applyAlignment="1" applyProtection="1">
      <alignment horizontal="center" vertical="center"/>
    </xf>
    <xf numFmtId="49" fontId="74" fillId="5" borderId="9" xfId="0" applyNumberFormat="1"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186" fontId="87" fillId="5" borderId="5" xfId="0" applyNumberFormat="1" applyFont="1" applyFill="1" applyBorder="1" applyAlignment="1" applyProtection="1">
      <alignment horizontal="center" vertical="center"/>
    </xf>
    <xf numFmtId="49" fontId="87" fillId="5" borderId="9" xfId="0" applyNumberFormat="1" applyFont="1" applyFill="1" applyBorder="1" applyAlignment="1" applyProtection="1">
      <alignment horizontal="center" vertical="center"/>
    </xf>
    <xf numFmtId="0" fontId="87" fillId="5" borderId="2" xfId="0"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7" fillId="5" borderId="21" xfId="0" applyFont="1" applyFill="1" applyBorder="1" applyAlignment="1" applyProtection="1">
      <alignment vertical="center" textRotation="255" wrapText="1"/>
    </xf>
    <xf numFmtId="181" fontId="87" fillId="5" borderId="0" xfId="0" applyNumberFormat="1" applyFont="1" applyFill="1" applyBorder="1" applyAlignment="1" applyProtection="1"/>
    <xf numFmtId="0" fontId="87" fillId="5" borderId="0" xfId="0" applyFont="1" applyFill="1" applyBorder="1" applyAlignment="1" applyProtection="1"/>
    <xf numFmtId="0" fontId="113" fillId="5" borderId="0" xfId="0" applyFont="1" applyFill="1" applyBorder="1" applyAlignment="1" applyProtection="1"/>
    <xf numFmtId="0" fontId="87" fillId="5" borderId="0" xfId="0" applyFont="1" applyFill="1" applyBorder="1" applyAlignment="1" applyProtection="1">
      <alignment horizontal="center"/>
    </xf>
    <xf numFmtId="187" fontId="87" fillId="5" borderId="0" xfId="0" applyNumberFormat="1" applyFont="1" applyFill="1" applyBorder="1" applyAlignment="1" applyProtection="1">
      <alignment horizontal="center"/>
    </xf>
    <xf numFmtId="0" fontId="87" fillId="8" borderId="0" xfId="0" applyFont="1" applyFill="1" applyAlignment="1" applyProtection="1">
      <alignment horizontal="center" vertical="center"/>
    </xf>
    <xf numFmtId="187" fontId="87" fillId="8" borderId="0" xfId="0" applyNumberFormat="1" applyFont="1" applyFill="1" applyAlignment="1" applyProtection="1">
      <alignment horizontal="center" vertical="center"/>
    </xf>
    <xf numFmtId="181" fontId="87" fillId="8" borderId="0" xfId="0" applyNumberFormat="1" applyFont="1" applyFill="1" applyAlignment="1" applyProtection="1">
      <alignment horizontal="center" vertical="center"/>
    </xf>
    <xf numFmtId="177" fontId="100" fillId="5" borderId="0" xfId="0" applyNumberFormat="1" applyFont="1" applyFill="1" applyBorder="1" applyAlignment="1" applyProtection="1"/>
    <xf numFmtId="49" fontId="100" fillId="5" borderId="0" xfId="0" applyNumberFormat="1" applyFont="1" applyFill="1" applyBorder="1" applyAlignment="1" applyProtection="1">
      <alignment horizontal="left"/>
    </xf>
    <xf numFmtId="0" fontId="109" fillId="5" borderId="0" xfId="0" applyFont="1" applyFill="1" applyAlignment="1" applyProtection="1">
      <alignment vertical="center"/>
    </xf>
    <xf numFmtId="0" fontId="119" fillId="5" borderId="0" xfId="0" applyFont="1" applyFill="1" applyAlignment="1" applyProtection="1">
      <alignment vertical="center"/>
    </xf>
    <xf numFmtId="0" fontId="61" fillId="5" borderId="0" xfId="3" applyFont="1" applyFill="1" applyAlignment="1" applyProtection="1">
      <alignment vertical="center"/>
    </xf>
    <xf numFmtId="0" fontId="43" fillId="5" borderId="0" xfId="3" applyFont="1" applyFill="1" applyAlignment="1" applyProtection="1">
      <alignment vertical="center"/>
    </xf>
    <xf numFmtId="0" fontId="89" fillId="5" borderId="0" xfId="3" applyFont="1" applyFill="1" applyAlignment="1" applyProtection="1">
      <alignment horizontal="center" vertical="center" wrapText="1"/>
    </xf>
    <xf numFmtId="10" fontId="89" fillId="5" borderId="0" xfId="3" applyNumberFormat="1" applyFont="1" applyFill="1" applyAlignment="1" applyProtection="1">
      <alignment horizontal="center" vertical="center" wrapText="1"/>
    </xf>
    <xf numFmtId="0" fontId="43" fillId="5" borderId="1" xfId="3" applyFont="1" applyFill="1" applyBorder="1" applyAlignment="1" applyProtection="1">
      <alignment horizontal="center" vertical="center" wrapText="1"/>
    </xf>
    <xf numFmtId="0" fontId="148" fillId="5" borderId="0" xfId="3" applyFill="1" applyAlignment="1" applyProtection="1">
      <alignment vertical="center"/>
    </xf>
    <xf numFmtId="0" fontId="167" fillId="5" borderId="14" xfId="3" applyFont="1" applyFill="1" applyBorder="1" applyAlignment="1" applyProtection="1">
      <alignment vertical="center"/>
    </xf>
    <xf numFmtId="0" fontId="105" fillId="5" borderId="14" xfId="0" applyFont="1" applyFill="1" applyBorder="1" applyAlignment="1" applyProtection="1">
      <alignment vertical="center"/>
    </xf>
    <xf numFmtId="0" fontId="100" fillId="5" borderId="0" xfId="0" applyFont="1" applyFill="1" applyBorder="1" applyAlignment="1" applyProtection="1">
      <alignment horizontal="center" vertical="center"/>
    </xf>
    <xf numFmtId="0" fontId="109" fillId="5" borderId="0" xfId="0" applyFont="1" applyFill="1" applyBorder="1" applyAlignment="1" applyProtection="1">
      <alignment horizontal="center" vertical="center"/>
    </xf>
    <xf numFmtId="0" fontId="109" fillId="5" borderId="0" xfId="0" applyFont="1" applyFill="1" applyAlignment="1" applyProtection="1">
      <alignment horizontal="center" vertical="center"/>
    </xf>
    <xf numFmtId="0" fontId="83" fillId="5" borderId="2" xfId="0" applyFont="1" applyFill="1" applyBorder="1" applyAlignment="1" applyProtection="1">
      <alignment horizontal="center" vertical="center" wrapText="1"/>
    </xf>
    <xf numFmtId="187" fontId="87" fillId="5" borderId="16" xfId="0" applyNumberFormat="1" applyFont="1" applyFill="1" applyBorder="1" applyAlignment="1" applyProtection="1">
      <alignment horizontal="center" vertical="center"/>
    </xf>
    <xf numFmtId="187" fontId="87" fillId="5" borderId="16" xfId="0" applyNumberFormat="1" applyFont="1" applyFill="1" applyBorder="1" applyAlignment="1" applyProtection="1">
      <alignment horizontal="center" vertical="center" wrapText="1"/>
    </xf>
    <xf numFmtId="187" fontId="87" fillId="5" borderId="46" xfId="0" applyNumberFormat="1" applyFont="1" applyFill="1" applyBorder="1" applyAlignment="1" applyProtection="1">
      <alignment horizontal="center" vertical="center" wrapText="1"/>
    </xf>
    <xf numFmtId="0" fontId="87" fillId="0" borderId="71" xfId="0" applyNumberFormat="1" applyFont="1" applyFill="1" applyBorder="1" applyAlignment="1" applyProtection="1">
      <alignment horizontal="center" vertical="center" wrapText="1"/>
    </xf>
    <xf numFmtId="0" fontId="87" fillId="0" borderId="72" xfId="0" applyNumberFormat="1" applyFont="1" applyFill="1" applyBorder="1" applyAlignment="1" applyProtection="1">
      <alignment horizontal="center" vertical="center" wrapText="1"/>
    </xf>
    <xf numFmtId="187" fontId="87" fillId="5" borderId="9" xfId="0" applyNumberFormat="1" applyFont="1" applyFill="1" applyBorder="1" applyAlignment="1" applyProtection="1">
      <alignment horizontal="center" vertical="center"/>
    </xf>
    <xf numFmtId="187" fontId="87" fillId="5" borderId="9" xfId="0" applyNumberFormat="1" applyFont="1" applyFill="1" applyBorder="1" applyAlignment="1" applyProtection="1">
      <alignment horizontal="center" vertical="center" wrapText="1"/>
    </xf>
    <xf numFmtId="187" fontId="87" fillId="5" borderId="2"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wrapText="1"/>
    </xf>
    <xf numFmtId="0" fontId="120" fillId="0" borderId="0" xfId="0" applyFont="1" applyProtection="1">
      <alignment vertical="center"/>
    </xf>
    <xf numFmtId="0" fontId="79" fillId="0" borderId="0" xfId="0" applyNumberFormat="1" applyFont="1" applyAlignment="1" applyProtection="1">
      <alignment horizontal="center" vertical="center"/>
    </xf>
    <xf numFmtId="49" fontId="137" fillId="5" borderId="11" xfId="0" applyNumberFormat="1" applyFont="1" applyFill="1" applyBorder="1" applyAlignment="1" applyProtection="1">
      <alignment vertical="center" wrapText="1"/>
    </xf>
    <xf numFmtId="49" fontId="137" fillId="5" borderId="43" xfId="0" applyNumberFormat="1" applyFont="1" applyFill="1" applyBorder="1" applyAlignment="1" applyProtection="1">
      <alignment vertical="center" wrapText="1"/>
    </xf>
    <xf numFmtId="49" fontId="85" fillId="5" borderId="11" xfId="0" applyNumberFormat="1" applyFont="1" applyFill="1" applyBorder="1" applyAlignment="1" applyProtection="1">
      <alignment vertical="center" wrapText="1"/>
    </xf>
    <xf numFmtId="0" fontId="73" fillId="5" borderId="87" xfId="0" applyFont="1" applyFill="1" applyBorder="1" applyAlignment="1" applyProtection="1"/>
    <xf numFmtId="0" fontId="73" fillId="5" borderId="19" xfId="0" applyFont="1" applyFill="1" applyBorder="1" applyAlignment="1" applyProtection="1"/>
    <xf numFmtId="0" fontId="73" fillId="5" borderId="63" xfId="0" applyFont="1" applyFill="1" applyBorder="1" applyAlignment="1" applyProtection="1"/>
    <xf numFmtId="184" fontId="78" fillId="5" borderId="29" xfId="0" applyNumberFormat="1" applyFont="1" applyFill="1" applyBorder="1" applyAlignment="1" applyProtection="1">
      <alignment horizontal="center"/>
    </xf>
    <xf numFmtId="0" fontId="79" fillId="5" borderId="45" xfId="0" applyFont="1" applyFill="1" applyBorder="1" applyAlignment="1" applyProtection="1"/>
    <xf numFmtId="184" fontId="155" fillId="0" borderId="44" xfId="0" applyNumberFormat="1" applyFont="1" applyFill="1" applyBorder="1" applyAlignment="1" applyProtection="1">
      <alignment horizontal="center"/>
      <protection locked="0"/>
    </xf>
    <xf numFmtId="184" fontId="79" fillId="0" borderId="44" xfId="0" applyNumberFormat="1" applyFont="1" applyFill="1" applyBorder="1" applyAlignment="1" applyProtection="1">
      <alignment horizontal="center"/>
      <protection locked="0"/>
    </xf>
    <xf numFmtId="184" fontId="79" fillId="0" borderId="46" xfId="0" applyNumberFormat="1" applyFont="1" applyFill="1" applyBorder="1" applyAlignment="1" applyProtection="1">
      <alignment horizontal="center"/>
      <protection locked="0"/>
    </xf>
    <xf numFmtId="177" fontId="79" fillId="5" borderId="44" xfId="0" applyNumberFormat="1" applyFont="1" applyFill="1" applyBorder="1" applyAlignment="1" applyProtection="1">
      <alignment horizontal="center" vertical="center" wrapText="1"/>
    </xf>
    <xf numFmtId="185" fontId="79" fillId="5" borderId="44" xfId="0" applyNumberFormat="1" applyFont="1" applyFill="1" applyBorder="1" applyAlignment="1" applyProtection="1">
      <alignment horizontal="center" vertical="center"/>
    </xf>
    <xf numFmtId="10" fontId="79" fillId="5" borderId="44" xfId="0" applyNumberFormat="1" applyFont="1" applyFill="1" applyBorder="1" applyAlignment="1" applyProtection="1">
      <alignment horizontal="center" vertical="center" wrapText="1"/>
    </xf>
    <xf numFmtId="49" fontId="79" fillId="5" borderId="11" xfId="0" applyNumberFormat="1" applyFont="1" applyFill="1" applyBorder="1" applyAlignment="1" applyProtection="1">
      <alignment horizontal="left"/>
    </xf>
    <xf numFmtId="49" fontId="79" fillId="5" borderId="43" xfId="0" applyNumberFormat="1" applyFont="1" applyFill="1" applyBorder="1" applyAlignment="1" applyProtection="1">
      <alignment horizontal="left"/>
    </xf>
    <xf numFmtId="49" fontId="79" fillId="5" borderId="11" xfId="2"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8" fillId="5" borderId="11" xfId="0" applyNumberFormat="1" applyFont="1" applyFill="1" applyBorder="1" applyAlignment="1" applyProtection="1">
      <alignment horizontal="left" vertical="center" wrapText="1"/>
    </xf>
    <xf numFmtId="49" fontId="79" fillId="5" borderId="43" xfId="0" applyNumberFormat="1" applyFont="1" applyFill="1" applyBorder="1" applyAlignment="1" applyProtection="1">
      <alignment horizontal="left" vertical="center" wrapText="1"/>
    </xf>
    <xf numFmtId="49" fontId="136" fillId="5" borderId="11" xfId="2" applyNumberFormat="1" applyFont="1" applyFill="1" applyBorder="1" applyAlignment="1" applyProtection="1">
      <alignment horizontal="left"/>
    </xf>
    <xf numFmtId="49" fontId="138" fillId="5" borderId="10" xfId="0" applyNumberFormat="1" applyFont="1" applyFill="1" applyBorder="1" applyAlignment="1" applyProtection="1">
      <alignment horizontal="left" vertical="center" wrapText="1"/>
    </xf>
    <xf numFmtId="49" fontId="139" fillId="5" borderId="33" xfId="0" applyNumberFormat="1" applyFont="1" applyFill="1" applyBorder="1" applyAlignment="1" applyProtection="1">
      <alignment horizontal="center" vertical="center" wrapText="1"/>
    </xf>
    <xf numFmtId="49" fontId="138" fillId="5" borderId="33" xfId="0" applyNumberFormat="1" applyFont="1" applyFill="1" applyBorder="1" applyAlignment="1" applyProtection="1">
      <alignment horizontal="left" vertical="center" wrapText="1"/>
    </xf>
    <xf numFmtId="49" fontId="138" fillId="5" borderId="53" xfId="0" applyNumberFormat="1" applyFont="1" applyFill="1" applyBorder="1" applyAlignment="1" applyProtection="1">
      <alignment horizontal="left" vertical="center" wrapText="1"/>
    </xf>
    <xf numFmtId="49" fontId="138" fillId="5" borderId="1" xfId="0" applyNumberFormat="1" applyFont="1" applyFill="1" applyBorder="1" applyAlignment="1" applyProtection="1">
      <alignment horizontal="left" vertical="center" wrapText="1"/>
    </xf>
    <xf numFmtId="49" fontId="23" fillId="5" borderId="22" xfId="0" applyNumberFormat="1" applyFont="1" applyFill="1" applyBorder="1" applyAlignment="1" applyProtection="1">
      <alignment horizontal="center" vertical="center" wrapText="1"/>
    </xf>
    <xf numFmtId="49" fontId="100" fillId="5" borderId="2" xfId="2" applyNumberFormat="1" applyFont="1" applyFill="1" applyBorder="1" applyAlignment="1" applyProtection="1">
      <alignment vertical="center"/>
    </xf>
    <xf numFmtId="49" fontId="60" fillId="5" borderId="2" xfId="2" applyNumberFormat="1" applyFont="1" applyFill="1" applyBorder="1" applyAlignment="1" applyProtection="1">
      <alignment vertical="center"/>
    </xf>
    <xf numFmtId="49" fontId="86" fillId="5" borderId="3" xfId="0" applyNumberFormat="1" applyFont="1" applyFill="1" applyBorder="1" applyAlignment="1" applyProtection="1">
      <alignment vertical="center"/>
    </xf>
    <xf numFmtId="49" fontId="100" fillId="5" borderId="0" xfId="2" applyNumberFormat="1" applyFont="1" applyFill="1" applyBorder="1" applyAlignment="1" applyProtection="1">
      <alignment vertical="center"/>
    </xf>
    <xf numFmtId="49" fontId="79" fillId="5" borderId="11" xfId="0" applyNumberFormat="1" applyFont="1" applyFill="1" applyBorder="1" applyAlignment="1" applyProtection="1">
      <alignment horizontal="right" vertical="center"/>
    </xf>
    <xf numFmtId="49" fontId="79" fillId="5" borderId="11"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center" vertical="center"/>
    </xf>
    <xf numFmtId="49" fontId="79" fillId="5" borderId="22" xfId="0" applyNumberFormat="1" applyFont="1" applyFill="1" applyBorder="1" applyAlignment="1" applyProtection="1">
      <alignment horizontal="right" vertical="center"/>
    </xf>
    <xf numFmtId="0" fontId="43" fillId="5" borderId="2" xfId="3" applyNumberFormat="1" applyFont="1" applyFill="1" applyBorder="1" applyAlignment="1" applyProtection="1">
      <alignment horizontal="center" vertical="center" wrapText="1"/>
    </xf>
    <xf numFmtId="0" fontId="89" fillId="5" borderId="2" xfId="3" applyNumberFormat="1" applyFont="1" applyFill="1" applyBorder="1" applyAlignment="1" applyProtection="1">
      <alignment horizontal="center" vertical="center" wrapText="1"/>
    </xf>
    <xf numFmtId="0" fontId="188" fillId="0" borderId="0" xfId="7" applyFont="1">
      <alignment vertical="center"/>
    </xf>
    <xf numFmtId="0" fontId="148" fillId="0" borderId="0" xfId="7">
      <alignment vertical="center"/>
    </xf>
    <xf numFmtId="0" fontId="188" fillId="0" borderId="0" xfId="7" applyFont="1" applyAlignment="1">
      <alignment vertical="top" wrapText="1"/>
    </xf>
    <xf numFmtId="14" fontId="189" fillId="0" borderId="0" xfId="7" applyNumberFormat="1" applyFont="1" applyAlignment="1">
      <alignment horizontal="left" vertical="center"/>
    </xf>
    <xf numFmtId="0" fontId="81" fillId="5" borderId="33"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2" xfId="0" applyFont="1" applyFill="1" applyBorder="1" applyAlignment="1" applyProtection="1">
      <alignment horizontal="left" vertical="center"/>
    </xf>
    <xf numFmtId="14" fontId="81" fillId="0" borderId="10" xfId="0" applyNumberFormat="1" applyFont="1" applyFill="1" applyBorder="1" applyAlignment="1" applyProtection="1">
      <alignment horizontal="left" vertical="center"/>
      <protection locked="0"/>
    </xf>
    <xf numFmtId="0" fontId="81" fillId="5" borderId="10" xfId="0" applyFont="1" applyFill="1" applyBorder="1" applyAlignment="1" applyProtection="1">
      <alignment vertical="center" wrapText="1"/>
    </xf>
    <xf numFmtId="0" fontId="81" fillId="5" borderId="71" xfId="0" applyFont="1" applyFill="1" applyBorder="1" applyAlignment="1" applyProtection="1">
      <alignment horizontal="left" vertical="center"/>
    </xf>
    <xf numFmtId="0" fontId="81" fillId="5" borderId="17" xfId="0" applyFont="1" applyFill="1" applyBorder="1" applyAlignment="1" applyProtection="1">
      <alignment vertical="center" wrapText="1"/>
    </xf>
    <xf numFmtId="0" fontId="81" fillId="8" borderId="19" xfId="0" applyFont="1" applyFill="1" applyBorder="1" applyAlignment="1" applyProtection="1">
      <alignment vertical="center" wrapText="1"/>
    </xf>
    <xf numFmtId="0" fontId="81" fillId="8" borderId="20" xfId="0" applyFont="1" applyFill="1" applyBorder="1" applyAlignment="1" applyProtection="1">
      <alignment vertical="center" wrapText="1"/>
    </xf>
    <xf numFmtId="0" fontId="81" fillId="8" borderId="32" xfId="0" applyFont="1" applyFill="1" applyBorder="1" applyAlignment="1" applyProtection="1">
      <alignment vertical="center" wrapText="1"/>
    </xf>
    <xf numFmtId="0" fontId="81" fillId="5" borderId="4" xfId="0" applyFont="1" applyFill="1" applyBorder="1" applyAlignment="1" applyProtection="1">
      <alignment vertical="center" wrapText="1"/>
    </xf>
    <xf numFmtId="0" fontId="81" fillId="6" borderId="5" xfId="0" applyFont="1" applyFill="1" applyBorder="1" applyAlignment="1" applyProtection="1">
      <alignment horizontal="left" vertical="center" wrapText="1"/>
      <protection locked="0"/>
    </xf>
    <xf numFmtId="0" fontId="81" fillId="6" borderId="8" xfId="0" applyFont="1" applyFill="1" applyBorder="1" applyAlignment="1" applyProtection="1">
      <alignment vertical="center" wrapText="1"/>
    </xf>
    <xf numFmtId="0" fontId="81" fillId="6" borderId="9" xfId="0" applyFont="1" applyFill="1" applyBorder="1" applyAlignment="1" applyProtection="1">
      <alignment vertical="center" wrapText="1"/>
    </xf>
    <xf numFmtId="0" fontId="81" fillId="5" borderId="84" xfId="0" applyFont="1" applyFill="1" applyBorder="1" applyAlignment="1" applyProtection="1">
      <alignment vertical="center" wrapText="1"/>
    </xf>
    <xf numFmtId="0" fontId="81" fillId="6" borderId="84" xfId="0" applyFont="1" applyFill="1" applyBorder="1" applyAlignment="1" applyProtection="1">
      <alignment horizontal="left" vertical="center"/>
      <protection locked="0"/>
    </xf>
    <xf numFmtId="0" fontId="81" fillId="6" borderId="85" xfId="0" applyFont="1" applyFill="1" applyBorder="1" applyAlignment="1" applyProtection="1">
      <alignment vertical="center" wrapText="1"/>
    </xf>
    <xf numFmtId="0" fontId="81" fillId="8" borderId="19" xfId="0" applyFont="1" applyFill="1" applyBorder="1" applyAlignment="1" applyProtection="1">
      <alignment vertical="center" wrapText="1"/>
      <protection locked="0"/>
    </xf>
    <xf numFmtId="49" fontId="81" fillId="5" borderId="21" xfId="0" applyNumberFormat="1" applyFont="1" applyFill="1" applyBorder="1" applyAlignment="1" applyProtection="1">
      <alignment horizontal="left" vertical="center" wrapText="1"/>
    </xf>
    <xf numFmtId="49" fontId="190" fillId="0" borderId="17" xfId="0" applyNumberFormat="1" applyFont="1" applyFill="1" applyBorder="1" applyAlignment="1" applyProtection="1">
      <alignment horizontal="left" vertical="center"/>
      <protection locked="0"/>
    </xf>
    <xf numFmtId="0" fontId="81" fillId="8" borderId="8" xfId="0" applyFont="1" applyFill="1" applyBorder="1" applyAlignment="1" applyProtection="1">
      <alignment vertical="center" wrapText="1"/>
      <protection locked="0"/>
    </xf>
    <xf numFmtId="49" fontId="81" fillId="5" borderId="10" xfId="0" applyNumberFormat="1" applyFont="1" applyFill="1" applyBorder="1" applyAlignment="1" applyProtection="1">
      <alignment horizontal="left" vertical="center" wrapText="1"/>
    </xf>
    <xf numFmtId="0" fontId="81" fillId="6" borderId="10" xfId="0" applyFont="1" applyFill="1" applyBorder="1" applyAlignment="1" applyProtection="1">
      <alignment horizontal="center" vertical="center" wrapText="1"/>
      <protection locked="0"/>
    </xf>
    <xf numFmtId="0" fontId="81" fillId="2" borderId="3" xfId="0" applyFont="1" applyFill="1" applyBorder="1" applyAlignment="1" applyProtection="1">
      <alignment horizontal="left" vertical="center" wrapText="1"/>
    </xf>
    <xf numFmtId="0" fontId="81" fillId="5" borderId="19" xfId="0" applyFont="1" applyFill="1" applyBorder="1" applyAlignment="1" applyProtection="1">
      <alignment vertical="center" wrapText="1"/>
    </xf>
    <xf numFmtId="177" fontId="81" fillId="6" borderId="2" xfId="2" applyNumberFormat="1" applyFont="1" applyFill="1" applyBorder="1" applyAlignment="1" applyProtection="1">
      <alignment horizontal="center" vertical="center"/>
      <protection locked="0"/>
    </xf>
    <xf numFmtId="179"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81" fillId="5" borderId="65" xfId="0" applyFont="1" applyFill="1" applyBorder="1" applyAlignment="1" applyProtection="1">
      <alignment vertical="center" wrapText="1"/>
    </xf>
    <xf numFmtId="0" fontId="81" fillId="5" borderId="88" xfId="0" applyFont="1" applyFill="1" applyBorder="1" applyAlignment="1" applyProtection="1">
      <alignment vertical="center" wrapText="1"/>
    </xf>
    <xf numFmtId="0" fontId="143" fillId="6" borderId="2" xfId="0" applyFont="1" applyFill="1" applyBorder="1" applyAlignment="1" applyProtection="1">
      <alignment horizontal="center" vertical="center" wrapText="1"/>
      <protection locked="0"/>
    </xf>
    <xf numFmtId="0" fontId="81" fillId="0" borderId="0" xfId="0" applyFont="1" applyAlignment="1" applyProtection="1">
      <alignment vertical="center" wrapText="1"/>
    </xf>
    <xf numFmtId="49" fontId="81" fillId="0" borderId="0" xfId="0" applyNumberFormat="1" applyFont="1" applyAlignment="1" applyProtection="1">
      <alignment horizontal="center" vertical="center" wrapText="1"/>
    </xf>
    <xf numFmtId="0" fontId="81" fillId="0" borderId="0" xfId="0" applyFont="1" applyAlignment="1" applyProtection="1">
      <alignment horizontal="center" vertical="center" wrapText="1"/>
    </xf>
    <xf numFmtId="0" fontId="81" fillId="5" borderId="0" xfId="0" applyFont="1" applyFill="1" applyAlignment="1" applyProtection="1">
      <alignment vertical="center" wrapText="1"/>
    </xf>
    <xf numFmtId="0" fontId="81" fillId="5" borderId="0" xfId="0" applyFont="1" applyFill="1" applyAlignment="1" applyProtection="1">
      <alignment horizontal="center" vertical="center" wrapText="1"/>
    </xf>
    <xf numFmtId="0" fontId="81" fillId="0" borderId="2" xfId="0" applyFont="1" applyBorder="1" applyAlignment="1" applyProtection="1">
      <alignment vertical="center" wrapText="1"/>
    </xf>
    <xf numFmtId="0" fontId="81" fillId="5" borderId="5" xfId="0" applyFont="1" applyFill="1" applyBorder="1" applyAlignment="1" applyProtection="1">
      <alignment vertical="center"/>
    </xf>
    <xf numFmtId="0" fontId="81" fillId="2" borderId="3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183" fontId="81" fillId="0" borderId="2" xfId="0" applyNumberFormat="1" applyFont="1" applyFill="1" applyBorder="1" applyAlignment="1" applyProtection="1">
      <alignment horizontal="center" vertical="center" shrinkToFit="1"/>
      <protection locked="0"/>
    </xf>
    <xf numFmtId="0" fontId="81" fillId="5" borderId="3" xfId="0" applyFont="1" applyFill="1" applyBorder="1" applyAlignment="1" applyProtection="1">
      <alignment vertical="center"/>
    </xf>
    <xf numFmtId="0" fontId="81" fillId="6" borderId="3" xfId="0" applyFont="1" applyFill="1" applyBorder="1" applyAlignment="1" applyProtection="1">
      <alignment horizontal="center" vertical="center" wrapText="1"/>
      <protection locked="0"/>
    </xf>
    <xf numFmtId="0" fontId="81" fillId="5" borderId="55" xfId="0" applyFont="1" applyFill="1" applyBorder="1" applyAlignment="1" applyProtection="1">
      <alignment horizontal="center" vertical="center" wrapText="1"/>
    </xf>
    <xf numFmtId="0" fontId="81" fillId="6" borderId="55" xfId="0" applyFont="1" applyFill="1" applyBorder="1" applyAlignment="1" applyProtection="1">
      <alignment horizontal="center" vertical="center" wrapText="1"/>
      <protection locked="0"/>
    </xf>
    <xf numFmtId="0" fontId="191" fillId="5" borderId="55" xfId="0" applyFont="1" applyFill="1" applyBorder="1" applyAlignment="1" applyProtection="1">
      <alignment vertical="center" wrapText="1"/>
    </xf>
    <xf numFmtId="0" fontId="81" fillId="6" borderId="69" xfId="0"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xf>
    <xf numFmtId="0" fontId="81" fillId="5" borderId="35" xfId="0" applyFont="1" applyFill="1" applyBorder="1" applyAlignment="1" applyProtection="1">
      <alignment vertical="center"/>
    </xf>
    <xf numFmtId="0" fontId="81" fillId="6" borderId="12" xfId="0" applyFont="1" applyFill="1" applyBorder="1" applyAlignment="1" applyProtection="1">
      <alignment horizontal="center" vertical="center" wrapText="1"/>
      <protection locked="0"/>
    </xf>
    <xf numFmtId="0" fontId="190" fillId="0" borderId="11" xfId="0" applyFont="1" applyBorder="1" applyAlignment="1" applyProtection="1">
      <alignment vertical="center" wrapText="1"/>
      <protection locked="0"/>
    </xf>
    <xf numFmtId="0" fontId="81" fillId="6" borderId="5" xfId="0" applyFont="1" applyFill="1" applyBorder="1" applyAlignment="1" applyProtection="1">
      <alignment horizontal="center" vertical="center" wrapText="1"/>
      <protection locked="0"/>
    </xf>
    <xf numFmtId="0" fontId="81" fillId="0" borderId="89" xfId="0" applyFont="1" applyBorder="1" applyAlignment="1" applyProtection="1">
      <alignment vertical="center" wrapText="1"/>
      <protection locked="0"/>
    </xf>
    <xf numFmtId="183" fontId="190" fillId="0" borderId="12" xfId="0" applyNumberFormat="1" applyFont="1" applyFill="1" applyBorder="1" applyAlignment="1" applyProtection="1">
      <alignment horizontal="left" vertical="center" shrinkToFit="1"/>
      <protection locked="0"/>
    </xf>
    <xf numFmtId="183" fontId="190" fillId="0" borderId="57" xfId="0" applyNumberFormat="1" applyFont="1" applyFill="1" applyBorder="1" applyAlignment="1" applyProtection="1">
      <alignment horizontal="left" vertical="center" shrinkToFit="1"/>
      <protection locked="0"/>
    </xf>
    <xf numFmtId="0" fontId="190" fillId="0" borderId="12" xfId="0" applyFont="1" applyFill="1" applyBorder="1" applyAlignment="1" applyProtection="1">
      <alignment horizontal="left" vertical="center" wrapText="1"/>
      <protection locked="0"/>
    </xf>
    <xf numFmtId="0" fontId="190" fillId="0" borderId="16" xfId="0" applyFont="1" applyFill="1" applyBorder="1" applyAlignment="1" applyProtection="1">
      <alignment horizontal="left" vertical="center" wrapText="1"/>
      <protection locked="0"/>
    </xf>
    <xf numFmtId="0" fontId="190" fillId="0" borderId="72" xfId="0" applyFont="1" applyFill="1" applyBorder="1" applyAlignment="1" applyProtection="1">
      <alignment horizontal="left" vertical="center" wrapText="1"/>
      <protection locked="0"/>
    </xf>
    <xf numFmtId="0" fontId="190" fillId="0" borderId="90"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0" borderId="21" xfId="0" applyFont="1" applyBorder="1" applyAlignment="1" applyProtection="1">
      <alignment horizontal="left" vertical="center" wrapText="1"/>
      <protection locked="0"/>
    </xf>
    <xf numFmtId="0" fontId="81" fillId="2" borderId="5" xfId="0" applyFont="1" applyFill="1" applyBorder="1" applyAlignment="1" applyProtection="1">
      <alignment vertical="center"/>
      <protection locked="0"/>
    </xf>
    <xf numFmtId="0" fontId="81" fillId="6" borderId="2" xfId="0" applyFont="1" applyFill="1" applyBorder="1" applyAlignment="1" applyProtection="1">
      <alignment vertical="center" wrapText="1"/>
      <protection locked="0"/>
    </xf>
    <xf numFmtId="49" fontId="81" fillId="5" borderId="0" xfId="0" applyNumberFormat="1" applyFont="1" applyFill="1" applyAlignment="1" applyProtection="1">
      <alignment horizontal="center" vertical="center" wrapText="1"/>
    </xf>
    <xf numFmtId="0" fontId="81" fillId="5" borderId="5" xfId="0" applyFont="1" applyFill="1" applyBorder="1" applyAlignment="1" applyProtection="1">
      <alignment vertical="center" wrapText="1"/>
    </xf>
    <xf numFmtId="14" fontId="81" fillId="0" borderId="17" xfId="0" applyNumberFormat="1" applyFont="1" applyBorder="1" applyAlignment="1" applyProtection="1">
      <alignment vertical="center" wrapText="1"/>
      <protection locked="0"/>
    </xf>
    <xf numFmtId="0" fontId="81" fillId="5" borderId="20" xfId="0" applyFont="1" applyFill="1" applyBorder="1" applyAlignment="1" applyProtection="1">
      <alignment vertical="center" wrapText="1"/>
    </xf>
    <xf numFmtId="0" fontId="81" fillId="5" borderId="18" xfId="0" applyFont="1" applyFill="1" applyBorder="1" applyAlignment="1" applyProtection="1">
      <alignment vertical="center"/>
    </xf>
    <xf numFmtId="0" fontId="81" fillId="5" borderId="8" xfId="0" applyFont="1" applyFill="1" applyBorder="1" applyAlignment="1" applyProtection="1">
      <alignment vertical="center"/>
    </xf>
    <xf numFmtId="0" fontId="81" fillId="5" borderId="9" xfId="0" applyFont="1" applyFill="1" applyBorder="1" applyAlignment="1" applyProtection="1">
      <alignment vertical="center" wrapText="1"/>
    </xf>
    <xf numFmtId="0" fontId="81" fillId="0" borderId="2" xfId="0" applyFont="1" applyBorder="1" applyAlignment="1" applyProtection="1">
      <alignment horizontal="center" vertical="center" wrapText="1"/>
    </xf>
    <xf numFmtId="191" fontId="81" fillId="5" borderId="2" xfId="0" applyNumberFormat="1" applyFont="1" applyFill="1" applyBorder="1" applyAlignment="1" applyProtection="1">
      <alignment vertical="center" wrapText="1"/>
    </xf>
    <xf numFmtId="0" fontId="81" fillId="5" borderId="9" xfId="0" applyNumberFormat="1" applyFont="1" applyFill="1" applyBorder="1" applyAlignment="1" applyProtection="1">
      <alignment horizontal="center" vertical="center" wrapText="1"/>
    </xf>
    <xf numFmtId="0" fontId="81" fillId="5" borderId="2" xfId="0" applyFont="1" applyFill="1" applyBorder="1" applyAlignment="1" applyProtection="1">
      <alignment vertical="center"/>
    </xf>
    <xf numFmtId="0" fontId="81" fillId="0" borderId="2" xfId="0" applyFont="1" applyBorder="1" applyAlignment="1" applyProtection="1">
      <alignment vertical="center"/>
    </xf>
    <xf numFmtId="0" fontId="81" fillId="5" borderId="3" xfId="0" applyFont="1" applyFill="1" applyBorder="1" applyAlignment="1" applyProtection="1">
      <alignment vertical="center" wrapText="1"/>
    </xf>
    <xf numFmtId="0" fontId="81" fillId="0" borderId="2" xfId="0" applyFont="1" applyBorder="1" applyAlignment="1" applyProtection="1">
      <alignment horizontal="center" vertical="center" wrapText="1"/>
      <protection locked="0"/>
    </xf>
    <xf numFmtId="0" fontId="81" fillId="5" borderId="21" xfId="0" applyFont="1" applyFill="1" applyBorder="1" applyAlignment="1" applyProtection="1">
      <alignment vertical="center" wrapText="1"/>
    </xf>
    <xf numFmtId="49" fontId="81" fillId="6" borderId="2" xfId="0" applyNumberFormat="1" applyFont="1" applyFill="1" applyBorder="1" applyAlignment="1" applyProtection="1">
      <alignment horizontal="center" vertical="center" wrapText="1"/>
      <protection locked="0"/>
    </xf>
    <xf numFmtId="49" fontId="81" fillId="0" borderId="2"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1" xfId="0" applyFont="1" applyFill="1" applyBorder="1" applyAlignment="1" applyProtection="1">
      <alignment vertical="center" wrapText="1"/>
    </xf>
    <xf numFmtId="0" fontId="81" fillId="5" borderId="91" xfId="0" applyFont="1" applyFill="1" applyBorder="1" applyAlignment="1" applyProtection="1">
      <alignment horizontal="center" vertical="center" wrapText="1"/>
    </xf>
    <xf numFmtId="0" fontId="81" fillId="5" borderId="17" xfId="0" applyFont="1" applyFill="1" applyBorder="1" applyAlignment="1" applyProtection="1">
      <alignment horizontal="left" vertical="center"/>
    </xf>
    <xf numFmtId="0" fontId="81" fillId="0" borderId="19" xfId="0" applyFont="1" applyFill="1" applyBorder="1" applyAlignment="1" applyProtection="1">
      <alignment vertical="center" wrapText="1"/>
    </xf>
    <xf numFmtId="0" fontId="81" fillId="8" borderId="19" xfId="0" applyFont="1" applyFill="1" applyBorder="1" applyAlignment="1" applyProtection="1">
      <alignment horizontal="center" vertical="center" wrapText="1"/>
    </xf>
    <xf numFmtId="0" fontId="81" fillId="6" borderId="86" xfId="0" applyFont="1" applyFill="1" applyBorder="1" applyAlignment="1" applyProtection="1">
      <alignment vertical="center" wrapText="1"/>
    </xf>
    <xf numFmtId="0" fontId="81" fillId="6" borderId="9" xfId="0" applyFont="1" applyFill="1" applyBorder="1" applyAlignment="1" applyProtection="1">
      <alignment horizontal="center" vertical="center" wrapText="1"/>
      <protection locked="0"/>
    </xf>
    <xf numFmtId="0" fontId="81" fillId="6" borderId="9" xfId="0" applyFont="1" applyFill="1" applyBorder="1" applyAlignment="1" applyProtection="1">
      <alignment horizontal="center" vertical="center" wrapText="1" shrinkToFit="1"/>
      <protection locked="0"/>
    </xf>
    <xf numFmtId="0" fontId="81" fillId="5" borderId="10" xfId="0" applyFont="1" applyFill="1" applyBorder="1" applyAlignment="1" applyProtection="1">
      <alignment horizontal="right" vertical="center" wrapText="1"/>
    </xf>
    <xf numFmtId="0" fontId="81" fillId="5" borderId="3" xfId="0" applyFont="1" applyFill="1" applyBorder="1" applyAlignment="1" applyProtection="1">
      <alignment horizontal="right" vertical="center" wrapText="1"/>
    </xf>
    <xf numFmtId="0" fontId="81" fillId="5" borderId="21"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wrapText="1"/>
    </xf>
    <xf numFmtId="0" fontId="81" fillId="5" borderId="86" xfId="0" applyFont="1" applyFill="1" applyBorder="1" applyAlignment="1" applyProtection="1">
      <alignment horizontal="right" vertical="center" wrapText="1"/>
    </xf>
    <xf numFmtId="0" fontId="81" fillId="5" borderId="22" xfId="0" applyFont="1" applyFill="1" applyBorder="1" applyAlignment="1" applyProtection="1">
      <alignment horizontal="right" vertical="center" wrapText="1"/>
    </xf>
    <xf numFmtId="0" fontId="81" fillId="5" borderId="24" xfId="0" applyFont="1" applyFill="1" applyBorder="1" applyAlignment="1" applyProtection="1">
      <alignment horizontal="left" vertical="center" wrapText="1"/>
    </xf>
    <xf numFmtId="0" fontId="81" fillId="5" borderId="92" xfId="0" applyFont="1" applyFill="1" applyBorder="1" applyAlignment="1" applyProtection="1">
      <alignment horizontal="left" vertical="center" wrapText="1"/>
    </xf>
    <xf numFmtId="179" fontId="81" fillId="5" borderId="10" xfId="0" applyNumberFormat="1"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0" fontId="81" fillId="5" borderId="21" xfId="0" applyFont="1" applyFill="1" applyBorder="1" applyAlignment="1" applyProtection="1">
      <alignment horizontal="left" vertical="center" wrapText="1"/>
    </xf>
    <xf numFmtId="0" fontId="81" fillId="8" borderId="8" xfId="0" applyFont="1" applyFill="1" applyBorder="1" applyAlignment="1" applyProtection="1">
      <alignment vertical="center" wrapText="1"/>
    </xf>
    <xf numFmtId="0" fontId="81" fillId="8" borderId="9" xfId="0" applyFont="1" applyFill="1" applyBorder="1" applyAlignment="1" applyProtection="1">
      <alignment vertical="center" wrapText="1"/>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5" borderId="10" xfId="0" applyFont="1" applyFill="1" applyBorder="1" applyAlignment="1" applyProtection="1">
      <alignment horizontal="left" vertical="center" wrapText="1"/>
    </xf>
    <xf numFmtId="49" fontId="81" fillId="5" borderId="2" xfId="0" applyNumberFormat="1" applyFont="1" applyFill="1" applyBorder="1" applyAlignment="1" applyProtection="1">
      <alignment horizontal="center" vertical="center" wrapText="1"/>
    </xf>
    <xf numFmtId="0" fontId="168" fillId="5" borderId="0" xfId="0" applyFont="1" applyFill="1" applyBorder="1" applyAlignment="1" applyProtection="1">
      <alignment horizontal="left" vertical="center"/>
    </xf>
    <xf numFmtId="0" fontId="168" fillId="5" borderId="0" xfId="0" applyFont="1" applyFill="1" applyProtection="1">
      <alignment vertical="center"/>
    </xf>
    <xf numFmtId="0" fontId="168" fillId="5" borderId="0" xfId="0" applyFont="1" applyFill="1" applyAlignment="1" applyProtection="1">
      <alignment horizontal="center" vertical="center"/>
    </xf>
    <xf numFmtId="0" fontId="168" fillId="5" borderId="0" xfId="0" applyFont="1" applyFill="1" applyBorder="1" applyAlignment="1" applyProtection="1">
      <alignment horizontal="center" vertical="center"/>
    </xf>
    <xf numFmtId="0" fontId="170" fillId="0" borderId="0" xfId="0" applyFont="1" applyBorder="1" applyAlignment="1" applyProtection="1">
      <alignment horizontal="center" vertical="center"/>
    </xf>
    <xf numFmtId="49" fontId="81" fillId="5" borderId="5" xfId="0" applyNumberFormat="1" applyFont="1" applyFill="1" applyBorder="1" applyAlignment="1" applyProtection="1">
      <alignment horizontal="center" vertical="center" wrapText="1"/>
    </xf>
    <xf numFmtId="49" fontId="81" fillId="0" borderId="13" xfId="0" applyNumberFormat="1" applyFont="1" applyBorder="1" applyAlignment="1" applyProtection="1">
      <alignment horizontal="center" vertical="center" wrapText="1"/>
    </xf>
    <xf numFmtId="49" fontId="81" fillId="5" borderId="13" xfId="0" applyNumberFormat="1" applyFont="1" applyFill="1" applyBorder="1" applyAlignment="1" applyProtection="1">
      <alignment horizontal="center" vertical="center" wrapText="1"/>
    </xf>
    <xf numFmtId="49" fontId="81" fillId="5" borderId="13" xfId="0" applyNumberFormat="1" applyFont="1" applyFill="1" applyBorder="1" applyAlignment="1" applyProtection="1">
      <alignment horizontal="left" vertical="center"/>
    </xf>
    <xf numFmtId="0" fontId="81" fillId="5" borderId="5" xfId="0" applyFont="1" applyFill="1" applyBorder="1" applyAlignment="1" applyProtection="1">
      <alignment horizontal="left" vertical="center" wrapText="1"/>
    </xf>
    <xf numFmtId="0" fontId="192" fillId="5" borderId="0" xfId="0" applyFont="1" applyFill="1" applyProtection="1">
      <alignment vertical="center"/>
    </xf>
    <xf numFmtId="0" fontId="14" fillId="5" borderId="0" xfId="0" applyFont="1" applyFill="1" applyProtection="1">
      <alignment vertical="center"/>
    </xf>
    <xf numFmtId="0" fontId="193" fillId="0" borderId="0" xfId="0" applyFont="1" applyBorder="1" applyAlignment="1" applyProtection="1">
      <alignment horizontal="center" vertical="center"/>
    </xf>
    <xf numFmtId="0" fontId="163" fillId="0" borderId="0" xfId="0" applyFont="1" applyProtection="1">
      <alignment vertical="center"/>
    </xf>
    <xf numFmtId="0" fontId="163" fillId="0" borderId="0" xfId="0" applyFont="1" applyBorder="1" applyProtection="1">
      <alignment vertical="center"/>
    </xf>
    <xf numFmtId="183" fontId="194" fillId="0" borderId="0" xfId="0" applyNumberFormat="1" applyFont="1" applyAlignment="1" applyProtection="1">
      <alignment horizontal="left" vertical="center"/>
    </xf>
    <xf numFmtId="0" fontId="163" fillId="0" borderId="0" xfId="0" applyFont="1" applyAlignment="1" applyProtection="1">
      <alignment vertical="center" wrapText="1"/>
    </xf>
    <xf numFmtId="0" fontId="163" fillId="0" borderId="0" xfId="0" applyFont="1" applyAlignment="1" applyProtection="1">
      <alignment vertical="center" wrapText="1" shrinkToFit="1"/>
    </xf>
    <xf numFmtId="0" fontId="81" fillId="5" borderId="4" xfId="0" applyFont="1" applyFill="1" applyBorder="1" applyAlignment="1" applyProtection="1">
      <alignment vertical="center"/>
    </xf>
    <xf numFmtId="0" fontId="81" fillId="5" borderId="5" xfId="0" applyFont="1" applyFill="1" applyBorder="1" applyAlignment="1" applyProtection="1">
      <alignment horizontal="right" vertical="center" wrapText="1"/>
    </xf>
    <xf numFmtId="0" fontId="81" fillId="5" borderId="8" xfId="0" applyFont="1" applyFill="1" applyBorder="1" applyAlignment="1" applyProtection="1">
      <alignment horizontal="right" vertical="center" wrapText="1"/>
    </xf>
    <xf numFmtId="0" fontId="81" fillId="5" borderId="9" xfId="0" applyFont="1" applyFill="1" applyBorder="1" applyAlignment="1" applyProtection="1">
      <alignment horizontal="right" vertical="center"/>
    </xf>
    <xf numFmtId="0" fontId="81" fillId="8" borderId="5" xfId="0" applyFont="1" applyFill="1" applyBorder="1" applyAlignment="1" applyProtection="1">
      <alignment vertical="center"/>
      <protection locked="0"/>
    </xf>
    <xf numFmtId="0" fontId="81" fillId="6" borderId="2" xfId="0" applyFont="1" applyFill="1" applyBorder="1" applyAlignment="1" applyProtection="1">
      <alignment horizontal="center" vertical="center"/>
      <protection locked="0"/>
    </xf>
    <xf numFmtId="178" fontId="81" fillId="5" borderId="0" xfId="0" applyNumberFormat="1" applyFont="1" applyFill="1" applyBorder="1" applyAlignment="1" applyProtection="1">
      <alignment vertical="center" wrapText="1"/>
    </xf>
    <xf numFmtId="0" fontId="81" fillId="6" borderId="2" xfId="0" applyFont="1" applyFill="1" applyBorder="1" applyAlignment="1" applyProtection="1">
      <alignment horizontal="center" vertical="center" wrapText="1"/>
      <protection locked="0"/>
    </xf>
    <xf numFmtId="0" fontId="194"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0" fontId="197" fillId="0" borderId="0" xfId="0" applyFont="1" applyAlignment="1" applyProtection="1">
      <alignment horizontal="left" vertical="center"/>
    </xf>
    <xf numFmtId="0" fontId="163"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198" fillId="0" borderId="0" xfId="0" applyFont="1" applyAlignment="1">
      <alignment horizontal="right" vertical="center" wrapText="1"/>
    </xf>
    <xf numFmtId="0" fontId="0" fillId="0" borderId="0" xfId="0" applyFont="1" applyAlignment="1">
      <alignment vertical="center" wrapText="1"/>
    </xf>
    <xf numFmtId="0" fontId="198" fillId="0" borderId="0" xfId="0" applyFont="1" applyAlignment="1">
      <alignment vertical="center" wrapText="1"/>
    </xf>
    <xf numFmtId="0" fontId="78"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199"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181" fontId="74" fillId="0" borderId="5" xfId="0" applyNumberFormat="1" applyFont="1" applyFill="1" applyBorder="1" applyAlignment="1" applyProtection="1">
      <alignment horizontal="center" vertical="center"/>
      <protection locked="0"/>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8" fillId="5" borderId="17" xfId="0" applyFont="1" applyFill="1" applyBorder="1" applyAlignment="1" applyProtection="1">
      <alignment horizontal="center" vertical="center"/>
    </xf>
    <xf numFmtId="0" fontId="79" fillId="5" borderId="27" xfId="0" applyFont="1" applyFill="1" applyBorder="1" applyAlignment="1" applyProtection="1">
      <alignment horizontal="center" vertical="center"/>
    </xf>
    <xf numFmtId="0" fontId="79" fillId="5" borderId="17" xfId="0" applyFont="1" applyFill="1" applyBorder="1" applyAlignment="1" applyProtection="1">
      <alignment horizontal="left" vertical="center"/>
    </xf>
    <xf numFmtId="0" fontId="79" fillId="5" borderId="32" xfId="0" applyFont="1" applyFill="1" applyBorder="1" applyAlignment="1" applyProtection="1">
      <alignment vertical="center"/>
    </xf>
    <xf numFmtId="0" fontId="79" fillId="5" borderId="18" xfId="0" applyFont="1" applyFill="1" applyBorder="1" applyAlignment="1" applyProtection="1">
      <alignment vertical="center"/>
    </xf>
    <xf numFmtId="0" fontId="79" fillId="5" borderId="20" xfId="0" applyFont="1" applyFill="1" applyBorder="1" applyAlignment="1" applyProtection="1">
      <alignment vertical="center"/>
    </xf>
    <xf numFmtId="0" fontId="88" fillId="5" borderId="32" xfId="0" applyFont="1" applyFill="1" applyBorder="1" applyAlignment="1" applyProtection="1">
      <alignment horizontal="center" vertical="center"/>
    </xf>
    <xf numFmtId="0" fontId="88" fillId="5" borderId="18" xfId="0" applyFont="1" applyFill="1" applyBorder="1" applyAlignment="1" applyProtection="1">
      <alignment horizontal="center" vertical="center"/>
    </xf>
    <xf numFmtId="0" fontId="88" fillId="5" borderId="21" xfId="0" applyFont="1" applyFill="1" applyBorder="1" applyAlignment="1" applyProtection="1">
      <alignment horizontal="left" vertical="center"/>
    </xf>
    <xf numFmtId="49" fontId="79" fillId="5" borderId="53" xfId="0" applyNumberFormat="1" applyFont="1" applyFill="1" applyBorder="1" applyAlignment="1" applyProtection="1">
      <alignment horizontal="center" vertical="center"/>
    </xf>
    <xf numFmtId="49" fontId="88" fillId="5" borderId="50"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left" vertical="center"/>
    </xf>
    <xf numFmtId="49" fontId="79" fillId="5" borderId="50" xfId="0" applyNumberFormat="1" applyFont="1" applyFill="1" applyBorder="1" applyAlignment="1" applyProtection="1">
      <alignment horizontal="left" vertical="center"/>
    </xf>
    <xf numFmtId="49" fontId="79" fillId="5" borderId="10" xfId="0" applyNumberFormat="1" applyFont="1" applyFill="1" applyBorder="1" applyAlignment="1" applyProtection="1">
      <alignment horizontal="left" vertical="center"/>
    </xf>
    <xf numFmtId="49" fontId="79" fillId="5" borderId="21" xfId="0" applyNumberFormat="1" applyFont="1" applyFill="1" applyBorder="1" applyAlignment="1" applyProtection="1">
      <alignment vertical="center"/>
    </xf>
    <xf numFmtId="0" fontId="79" fillId="5" borderId="3" xfId="0" applyFont="1" applyFill="1" applyBorder="1" applyAlignment="1" applyProtection="1">
      <alignment horizontal="left" vertical="center"/>
    </xf>
    <xf numFmtId="0" fontId="81" fillId="5" borderId="9" xfId="0" applyFont="1" applyFill="1" applyBorder="1" applyAlignment="1" applyProtection="1">
      <alignment vertical="center"/>
    </xf>
    <xf numFmtId="0" fontId="81" fillId="2" borderId="9" xfId="0" applyFont="1" applyFill="1" applyBorder="1" applyAlignment="1" applyProtection="1">
      <alignment vertical="center"/>
    </xf>
    <xf numFmtId="0" fontId="81" fillId="0" borderId="5" xfId="0" applyFont="1" applyBorder="1" applyAlignment="1" applyProtection="1">
      <alignment horizontal="center" vertical="center" wrapText="1"/>
    </xf>
    <xf numFmtId="49" fontId="81" fillId="0" borderId="2" xfId="0" applyNumberFormat="1" applyFont="1" applyBorder="1" applyAlignment="1" applyProtection="1">
      <alignment horizontal="center" vertical="center" wrapText="1"/>
    </xf>
    <xf numFmtId="49" fontId="81" fillId="0" borderId="5" xfId="0" applyNumberFormat="1" applyFont="1" applyBorder="1" applyAlignment="1" applyProtection="1">
      <alignment vertical="center" wrapText="1"/>
    </xf>
    <xf numFmtId="0" fontId="81" fillId="0" borderId="0" xfId="0" applyFont="1" applyAlignment="1" applyProtection="1">
      <alignment vertical="center"/>
      <protection locked="0"/>
    </xf>
    <xf numFmtId="0" fontId="81" fillId="6" borderId="71" xfId="0" applyFont="1" applyFill="1" applyBorder="1" applyAlignment="1" applyProtection="1">
      <alignment vertical="center" wrapText="1"/>
      <protection locked="0"/>
    </xf>
    <xf numFmtId="0" fontId="81" fillId="6" borderId="5" xfId="0" applyFont="1" applyFill="1" applyBorder="1" applyAlignment="1" applyProtection="1">
      <alignment vertical="center" wrapText="1"/>
      <protection locked="0"/>
    </xf>
    <xf numFmtId="0" fontId="81" fillId="6" borderId="8" xfId="0" applyFont="1" applyFill="1" applyBorder="1" applyAlignment="1" applyProtection="1">
      <alignment horizontal="center" vertical="center" wrapText="1"/>
      <protection locked="0"/>
    </xf>
    <xf numFmtId="0" fontId="81" fillId="5" borderId="7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49" fontId="60" fillId="5" borderId="59" xfId="0" applyNumberFormat="1" applyFont="1" applyFill="1" applyBorder="1" applyAlignment="1" applyProtection="1">
      <alignment vertical="center"/>
    </xf>
    <xf numFmtId="49" fontId="60" fillId="6" borderId="30" xfId="0" applyNumberFormat="1" applyFont="1" applyFill="1" applyBorder="1" applyAlignment="1" applyProtection="1">
      <alignment vertical="center"/>
      <protection locked="0"/>
    </xf>
    <xf numFmtId="0" fontId="50" fillId="5" borderId="10" xfId="0" applyFont="1" applyFill="1" applyBorder="1" applyAlignment="1" applyProtection="1">
      <alignment horizontal="center" vertical="center"/>
    </xf>
    <xf numFmtId="0" fontId="155" fillId="5" borderId="2" xfId="3" applyFont="1" applyFill="1" applyBorder="1" applyAlignment="1" applyProtection="1">
      <alignment horizontal="center" vertical="center"/>
    </xf>
    <xf numFmtId="0" fontId="167" fillId="0" borderId="44" xfId="3" applyNumberFormat="1" applyFont="1" applyFill="1" applyBorder="1" applyAlignment="1" applyProtection="1">
      <alignment horizontal="center" vertical="center" wrapText="1"/>
      <protection locked="0"/>
    </xf>
    <xf numFmtId="0" fontId="203" fillId="5" borderId="0" xfId="0" applyFont="1" applyFill="1" applyAlignment="1" applyProtection="1">
      <alignment horizontal="center" vertical="center"/>
    </xf>
    <xf numFmtId="0" fontId="169" fillId="5" borderId="40" xfId="0" applyFont="1" applyFill="1" applyBorder="1" applyAlignment="1" applyProtection="1">
      <alignment horizontal="center" vertical="center"/>
    </xf>
    <xf numFmtId="0" fontId="169" fillId="5" borderId="53" xfId="0" applyFont="1" applyFill="1" applyBorder="1" applyAlignment="1" applyProtection="1">
      <alignment vertical="center" wrapText="1"/>
    </xf>
    <xf numFmtId="0" fontId="169" fillId="5" borderId="1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6" xfId="0" applyFont="1" applyFill="1" applyBorder="1" applyAlignment="1" applyProtection="1">
      <alignment horizontal="center" vertical="center" wrapText="1"/>
    </xf>
    <xf numFmtId="10" fontId="155" fillId="0" borderId="6" xfId="0" applyNumberFormat="1" applyFont="1" applyBorder="1" applyAlignment="1">
      <alignment horizontal="center" vertical="center" wrapText="1"/>
    </xf>
    <xf numFmtId="10" fontId="155" fillId="0" borderId="7" xfId="0" applyNumberFormat="1" applyFont="1" applyBorder="1" applyAlignment="1">
      <alignment horizontal="center" vertical="center" wrapText="1"/>
    </xf>
    <xf numFmtId="0" fontId="168" fillId="5" borderId="2" xfId="0" applyFont="1" applyFill="1" applyBorder="1" applyAlignment="1" applyProtection="1">
      <alignment horizontal="center" vertical="center" wrapText="1"/>
    </xf>
    <xf numFmtId="10" fontId="155" fillId="0" borderId="2" xfId="0" applyNumberFormat="1" applyFont="1" applyBorder="1" applyAlignment="1">
      <alignment horizontal="center" vertical="center" wrapText="1"/>
    </xf>
    <xf numFmtId="10" fontId="155" fillId="0" borderId="12" xfId="0" applyNumberFormat="1" applyFont="1" applyBorder="1" applyAlignment="1">
      <alignment horizontal="center" vertical="center" wrapText="1"/>
    </xf>
    <xf numFmtId="0" fontId="168" fillId="5" borderId="21" xfId="0" applyFont="1" applyFill="1" applyBorder="1" applyAlignment="1" applyProtection="1">
      <alignment horizontal="center" vertical="center" wrapText="1"/>
    </xf>
    <xf numFmtId="0" fontId="168" fillId="5" borderId="33" xfId="0" applyFont="1" applyFill="1" applyBorder="1" applyAlignment="1" applyProtection="1">
      <alignment vertical="center" wrapText="1"/>
    </xf>
    <xf numFmtId="0" fontId="168" fillId="5" borderId="55" xfId="0" applyFont="1" applyFill="1" applyBorder="1" applyAlignment="1" applyProtection="1">
      <alignment horizontal="center" vertical="center" wrapText="1"/>
    </xf>
    <xf numFmtId="10" fontId="15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8" fillId="5" borderId="44" xfId="0" applyFont="1" applyFill="1" applyBorder="1" applyAlignment="1" applyProtection="1">
      <alignment horizontal="center" vertical="center" wrapText="1"/>
    </xf>
    <xf numFmtId="10" fontId="155" fillId="0" borderId="46" xfId="0" applyNumberFormat="1" applyFont="1" applyBorder="1" applyAlignment="1">
      <alignment horizontal="center" vertical="center" wrapText="1"/>
    </xf>
    <xf numFmtId="0" fontId="168" fillId="5" borderId="10" xfId="0" applyFont="1" applyFill="1" applyBorder="1" applyAlignment="1" applyProtection="1">
      <alignment horizontal="center" vertical="center" wrapText="1"/>
    </xf>
    <xf numFmtId="10" fontId="155" fillId="0" borderId="10" xfId="0" applyNumberFormat="1" applyFont="1" applyBorder="1" applyAlignment="1">
      <alignment horizontal="center" vertical="center" wrapText="1"/>
    </xf>
    <xf numFmtId="0" fontId="168" fillId="5" borderId="83" xfId="0" applyFont="1" applyFill="1" applyBorder="1" applyAlignment="1" applyProtection="1">
      <alignment horizontal="center" vertical="center" wrapText="1"/>
    </xf>
    <xf numFmtId="10" fontId="0" fillId="0" borderId="37" xfId="0" applyNumberFormat="1" applyBorder="1">
      <alignment vertical="center"/>
    </xf>
    <xf numFmtId="10" fontId="155" fillId="0" borderId="34" xfId="0" applyNumberFormat="1" applyFont="1" applyBorder="1" applyAlignment="1">
      <alignment horizontal="center" vertical="center" wrapText="1"/>
    </xf>
    <xf numFmtId="0" fontId="168" fillId="5" borderId="24" xfId="0" applyFont="1" applyFill="1" applyBorder="1" applyAlignment="1" applyProtection="1">
      <alignment vertical="center" wrapText="1"/>
    </xf>
    <xf numFmtId="10" fontId="15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2" fillId="5" borderId="1" xfId="0" applyNumberFormat="1" applyFont="1" applyFill="1" applyBorder="1" applyAlignment="1" applyProtection="1">
      <alignment horizontal="center" vertical="center"/>
    </xf>
    <xf numFmtId="0" fontId="152" fillId="5" borderId="29" xfId="0" applyNumberFormat="1" applyFont="1" applyFill="1" applyBorder="1" applyProtection="1">
      <alignment vertical="center"/>
    </xf>
    <xf numFmtId="10" fontId="89" fillId="5" borderId="7" xfId="3" applyNumberFormat="1" applyFont="1" applyFill="1" applyBorder="1" applyAlignment="1" applyProtection="1">
      <alignment vertical="center" wrapText="1"/>
    </xf>
    <xf numFmtId="0" fontId="152" fillId="5" borderId="11" xfId="0" applyNumberFormat="1" applyFont="1" applyFill="1" applyBorder="1" applyAlignment="1" applyProtection="1">
      <alignment horizontal="center" vertical="center"/>
    </xf>
    <xf numFmtId="0" fontId="152" fillId="5" borderId="5" xfId="0" applyNumberFormat="1" applyFont="1" applyFill="1" applyBorder="1" applyProtection="1">
      <alignment vertical="center"/>
    </xf>
    <xf numFmtId="10" fontId="89" fillId="5" borderId="12" xfId="3" applyNumberFormat="1" applyFont="1" applyFill="1" applyBorder="1" applyAlignment="1" applyProtection="1">
      <alignment vertical="center" wrapText="1"/>
    </xf>
    <xf numFmtId="0" fontId="152" fillId="5" borderId="43" xfId="0" applyNumberFormat="1" applyFont="1" applyFill="1" applyBorder="1" applyAlignment="1" applyProtection="1">
      <alignment horizontal="center" vertical="center"/>
    </xf>
    <xf numFmtId="0" fontId="152" fillId="5" borderId="45" xfId="0" applyNumberFormat="1" applyFont="1" applyFill="1" applyBorder="1" applyProtection="1">
      <alignment vertical="center"/>
    </xf>
    <xf numFmtId="10" fontId="89" fillId="5" borderId="46" xfId="3" applyNumberFormat="1" applyFont="1" applyFill="1" applyBorder="1" applyAlignment="1" applyProtection="1">
      <alignment vertical="center" wrapText="1"/>
    </xf>
    <xf numFmtId="0" fontId="50" fillId="5" borderId="5" xfId="3" applyFont="1" applyFill="1" applyBorder="1" applyAlignment="1" applyProtection="1">
      <alignment vertical="center" wrapText="1"/>
    </xf>
    <xf numFmtId="0" fontId="50" fillId="5" borderId="8" xfId="3" applyFont="1" applyFill="1" applyBorder="1" applyAlignment="1" applyProtection="1">
      <alignment vertical="center" wrapText="1"/>
    </xf>
    <xf numFmtId="0" fontId="50" fillId="5" borderId="9" xfId="3" applyFont="1" applyFill="1" applyBorder="1" applyAlignment="1" applyProtection="1">
      <alignment vertical="center" wrapText="1"/>
    </xf>
    <xf numFmtId="0" fontId="50" fillId="5" borderId="2" xfId="3" applyFont="1" applyFill="1" applyBorder="1" applyAlignment="1" applyProtection="1">
      <alignment vertical="center" wrapText="1"/>
    </xf>
    <xf numFmtId="0" fontId="55" fillId="5" borderId="5" xfId="0" applyFont="1" applyFill="1" applyBorder="1" applyAlignment="1" applyProtection="1">
      <alignment horizontal="center" vertical="center" wrapText="1"/>
    </xf>
    <xf numFmtId="0" fontId="55" fillId="5" borderId="73" xfId="0" applyNumberFormat="1" applyFont="1" applyFill="1" applyBorder="1" applyAlignment="1" applyProtection="1">
      <alignment horizontal="center" vertical="center" wrapText="1"/>
    </xf>
    <xf numFmtId="0" fontId="109" fillId="5" borderId="50" xfId="0" applyFont="1" applyFill="1" applyBorder="1" applyAlignment="1" applyProtection="1">
      <alignment horizontal="center" vertical="center"/>
    </xf>
    <xf numFmtId="0" fontId="109" fillId="0" borderId="21" xfId="0" applyFont="1" applyBorder="1" applyAlignment="1" applyProtection="1">
      <alignment horizontal="center" vertical="center"/>
      <protection locked="0"/>
    </xf>
    <xf numFmtId="0" fontId="109" fillId="0" borderId="17" xfId="0" applyFont="1" applyBorder="1" applyAlignment="1" applyProtection="1">
      <alignment horizontal="center" vertical="center"/>
      <protection locked="0"/>
    </xf>
    <xf numFmtId="0" fontId="109" fillId="0" borderId="93" xfId="0" applyFont="1" applyFill="1" applyBorder="1" applyAlignment="1" applyProtection="1">
      <alignment horizontal="center" vertical="center"/>
      <protection locked="0"/>
    </xf>
    <xf numFmtId="0" fontId="109" fillId="0" borderId="51" xfId="0" applyFont="1" applyBorder="1" applyAlignment="1" applyProtection="1">
      <alignment horizontal="center" vertical="center"/>
      <protection locked="0"/>
    </xf>
    <xf numFmtId="185" fontId="109" fillId="5" borderId="51" xfId="0" applyNumberFormat="1" applyFont="1" applyFill="1" applyBorder="1" applyAlignment="1" applyProtection="1">
      <alignment horizontal="center" vertical="center"/>
    </xf>
    <xf numFmtId="0" fontId="109" fillId="5" borderId="11" xfId="0" applyFont="1" applyFill="1" applyBorder="1" applyAlignment="1" applyProtection="1">
      <alignment horizontal="center" vertical="center"/>
    </xf>
    <xf numFmtId="0" fontId="109" fillId="0" borderId="2"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109" fillId="0" borderId="94" xfId="0" applyFont="1" applyFill="1" applyBorder="1" applyAlignment="1" applyProtection="1">
      <alignment horizontal="center" vertical="center"/>
      <protection locked="0"/>
    </xf>
    <xf numFmtId="0" fontId="109" fillId="0" borderId="12" xfId="0" applyFont="1" applyBorder="1" applyAlignment="1" applyProtection="1">
      <alignment horizontal="center" vertical="center"/>
      <protection locked="0"/>
    </xf>
    <xf numFmtId="0" fontId="109" fillId="5" borderId="12" xfId="0" applyFont="1" applyFill="1" applyBorder="1" applyAlignment="1" applyProtection="1">
      <alignment horizontal="center" vertical="center"/>
    </xf>
    <xf numFmtId="178" fontId="109" fillId="5" borderId="12" xfId="0" applyNumberFormat="1" applyFont="1" applyFill="1" applyBorder="1" applyAlignment="1" applyProtection="1">
      <alignment horizontal="center" vertical="center"/>
    </xf>
    <xf numFmtId="178" fontId="109" fillId="0" borderId="12" xfId="0" applyNumberFormat="1" applyFont="1" applyBorder="1" applyAlignment="1" applyProtection="1">
      <alignment horizontal="center" vertical="center"/>
      <protection locked="0"/>
    </xf>
    <xf numFmtId="0" fontId="152" fillId="0" borderId="94" xfId="0" applyFont="1" applyFill="1" applyBorder="1" applyAlignment="1" applyProtection="1">
      <alignment horizontal="center" vertical="center"/>
      <protection locked="0"/>
    </xf>
    <xf numFmtId="0" fontId="109" fillId="5" borderId="44" xfId="0" applyFont="1" applyFill="1" applyBorder="1" applyAlignment="1" applyProtection="1">
      <alignment horizontal="center" vertical="center"/>
    </xf>
    <xf numFmtId="0" fontId="109" fillId="0" borderId="44" xfId="0" applyFont="1" applyBorder="1" applyAlignment="1" applyProtection="1">
      <alignment horizontal="center" vertical="center"/>
      <protection locked="0"/>
    </xf>
    <xf numFmtId="178" fontId="109"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61" fillId="0" borderId="0" xfId="0" applyFont="1" applyFill="1" applyAlignment="1" applyProtection="1">
      <alignment horizontal="center" vertical="center"/>
      <protection locked="0"/>
    </xf>
    <xf numFmtId="187" fontId="61" fillId="0" borderId="0" xfId="0" applyNumberFormat="1" applyFont="1" applyFill="1" applyAlignment="1" applyProtection="1">
      <alignment horizontal="center" vertical="center"/>
      <protection locked="0"/>
    </xf>
    <xf numFmtId="0" fontId="163" fillId="5" borderId="26" xfId="0" applyFont="1" applyFill="1" applyBorder="1" applyAlignment="1" applyProtection="1">
      <alignment horizontal="center" vertical="center"/>
    </xf>
    <xf numFmtId="0" fontId="143" fillId="5" borderId="28"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9" xfId="0" applyFont="1" applyFill="1" applyBorder="1" applyAlignment="1" applyProtection="1">
      <alignment horizontal="center" vertical="center"/>
    </xf>
    <xf numFmtId="0" fontId="163" fillId="5" borderId="28" xfId="0" applyFont="1" applyFill="1" applyBorder="1" applyAlignment="1" applyProtection="1">
      <alignment horizontal="center" vertical="center"/>
    </xf>
    <xf numFmtId="0" fontId="143" fillId="5" borderId="39" xfId="0" applyFont="1" applyFill="1" applyBorder="1" applyAlignment="1" applyProtection="1">
      <alignment horizontal="center" vertical="center"/>
    </xf>
    <xf numFmtId="0" fontId="143" fillId="5" borderId="87" xfId="0" applyFont="1" applyFill="1" applyBorder="1" applyProtection="1">
      <alignment vertical="center"/>
    </xf>
    <xf numFmtId="0" fontId="163" fillId="5" borderId="2" xfId="0" applyFont="1" applyFill="1" applyBorder="1" applyAlignment="1" applyProtection="1">
      <alignment horizontal="center" vertical="center"/>
    </xf>
    <xf numFmtId="0" fontId="163" fillId="5" borderId="5" xfId="0" applyFont="1" applyFill="1" applyBorder="1" applyAlignment="1" applyProtection="1">
      <alignment horizontal="center" vertical="center"/>
    </xf>
    <xf numFmtId="0" fontId="163" fillId="5" borderId="94" xfId="0" applyFont="1" applyFill="1" applyBorder="1" applyAlignment="1" applyProtection="1">
      <alignment horizontal="center" vertical="center"/>
    </xf>
    <xf numFmtId="0" fontId="163" fillId="5" borderId="12" xfId="0" applyFont="1" applyFill="1" applyBorder="1" applyAlignment="1" applyProtection="1">
      <alignment horizontal="center" vertical="center"/>
    </xf>
    <xf numFmtId="0" fontId="143" fillId="5" borderId="19" xfId="0" applyFont="1" applyFill="1" applyBorder="1" applyAlignment="1" applyProtection="1">
      <alignment horizontal="center" vertical="center"/>
    </xf>
    <xf numFmtId="0" fontId="163" fillId="0" borderId="21" xfId="0" applyFont="1" applyBorder="1" applyAlignment="1" applyProtection="1">
      <alignment horizontal="center" vertical="center"/>
      <protection locked="0"/>
    </xf>
    <xf numFmtId="0" fontId="163" fillId="5" borderId="20" xfId="0" applyFont="1" applyFill="1" applyBorder="1" applyAlignment="1" applyProtection="1">
      <alignment horizontal="center" vertical="center"/>
    </xf>
    <xf numFmtId="0" fontId="143" fillId="0" borderId="2" xfId="0" applyFont="1" applyBorder="1" applyAlignment="1" applyProtection="1">
      <alignment horizontal="center" vertical="center"/>
      <protection locked="0"/>
    </xf>
    <xf numFmtId="0" fontId="163" fillId="5" borderId="9" xfId="0" applyFont="1"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163" fillId="5" borderId="43" xfId="0" applyFont="1" applyFill="1" applyBorder="1" applyAlignment="1" applyProtection="1">
      <alignment horizontal="center" vertical="center"/>
    </xf>
    <xf numFmtId="0" fontId="143" fillId="5" borderId="61" xfId="0" applyFont="1" applyFill="1" applyBorder="1" applyAlignment="1" applyProtection="1">
      <alignment horizontal="center" vertical="center"/>
    </xf>
    <xf numFmtId="0" fontId="143" fillId="5" borderId="95" xfId="0" applyFont="1" applyFill="1" applyBorder="1" applyAlignment="1" applyProtection="1">
      <alignment horizontal="left" vertical="center"/>
    </xf>
    <xf numFmtId="0" fontId="61" fillId="5" borderId="61" xfId="0" applyFont="1" applyFill="1" applyBorder="1" applyAlignment="1" applyProtection="1">
      <alignment horizontal="center" vertical="center"/>
    </xf>
    <xf numFmtId="0" fontId="61" fillId="5" borderId="66" xfId="0" applyFont="1" applyFill="1" applyBorder="1" applyAlignment="1" applyProtection="1">
      <alignment horizontal="center" vertical="center"/>
    </xf>
    <xf numFmtId="0" fontId="163"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62" fillId="0" borderId="11" xfId="0" applyFont="1" applyFill="1" applyBorder="1" applyProtection="1">
      <alignment vertical="center"/>
      <protection locked="0"/>
    </xf>
    <xf numFmtId="0" fontId="199" fillId="0" borderId="2" xfId="0" applyFont="1" applyBorder="1" applyAlignment="1">
      <alignment horizontal="left" vertical="center" wrapText="1"/>
    </xf>
    <xf numFmtId="0" fontId="112" fillId="5" borderId="2" xfId="0" applyFont="1" applyFill="1" applyBorder="1" applyAlignment="1" applyProtection="1">
      <alignment horizontal="center" vertical="center"/>
    </xf>
    <xf numFmtId="0" fontId="204" fillId="5" borderId="11" xfId="0" applyFont="1" applyFill="1" applyBorder="1" applyAlignment="1" applyProtection="1">
      <alignment horizontal="center" vertical="center"/>
    </xf>
    <xf numFmtId="0" fontId="112" fillId="6" borderId="11" xfId="0" applyFont="1" applyFill="1" applyBorder="1" applyAlignment="1" applyProtection="1">
      <alignment horizontal="center" vertical="center"/>
      <protection locked="0"/>
    </xf>
    <xf numFmtId="0" fontId="204" fillId="5" borderId="43" xfId="0" applyFont="1" applyFill="1" applyBorder="1" applyAlignment="1" applyProtection="1">
      <alignment horizontal="center" vertical="center"/>
    </xf>
    <xf numFmtId="49" fontId="112" fillId="5" borderId="2" xfId="0" applyNumberFormat="1" applyFont="1" applyFill="1" applyBorder="1" applyAlignment="1" applyProtection="1">
      <alignment horizontal="center" vertical="center"/>
    </xf>
    <xf numFmtId="49" fontId="112" fillId="5" borderId="44" xfId="0" applyNumberFormat="1" applyFont="1" applyFill="1" applyBorder="1" applyAlignment="1" applyProtection="1">
      <alignment horizontal="center" vertical="center"/>
    </xf>
    <xf numFmtId="177" fontId="89" fillId="5" borderId="5" xfId="2" applyNumberFormat="1" applyFont="1" applyFill="1" applyBorder="1" applyAlignment="1" applyProtection="1">
      <alignment horizontal="center"/>
    </xf>
    <xf numFmtId="0" fontId="87" fillId="5" borderId="29" xfId="0" applyFont="1" applyFill="1" applyBorder="1" applyAlignment="1" applyProtection="1">
      <alignment horizontal="center" vertical="center"/>
    </xf>
    <xf numFmtId="0" fontId="162" fillId="5" borderId="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55" fillId="5" borderId="12" xfId="0" applyNumberFormat="1" applyFont="1" applyFill="1" applyBorder="1" applyAlignment="1" applyProtection="1">
      <alignment horizontal="center" vertical="center"/>
    </xf>
    <xf numFmtId="49" fontId="155" fillId="5" borderId="12" xfId="0" applyNumberFormat="1" applyFont="1" applyFill="1" applyBorder="1" applyAlignment="1" applyProtection="1">
      <alignment horizontal="center" vertical="center"/>
    </xf>
    <xf numFmtId="0" fontId="155" fillId="5" borderId="11" xfId="0" applyFont="1" applyFill="1" applyBorder="1" applyAlignment="1" applyProtection="1">
      <alignment horizontal="center" vertical="center"/>
    </xf>
    <xf numFmtId="0" fontId="155" fillId="5" borderId="43" xfId="0" applyFont="1" applyFill="1" applyBorder="1" applyAlignment="1" applyProtection="1">
      <alignment horizontal="center" vertical="center"/>
    </xf>
    <xf numFmtId="49" fontId="155" fillId="5" borderId="46" xfId="0" applyNumberFormat="1" applyFont="1" applyFill="1" applyBorder="1" applyAlignment="1" applyProtection="1">
      <alignment horizontal="center" vertical="center"/>
    </xf>
    <xf numFmtId="0" fontId="205" fillId="0" borderId="0" xfId="0" applyFont="1" applyFill="1" applyAlignment="1" applyProtection="1">
      <alignment horizontal="left" vertical="center"/>
      <protection locked="0"/>
    </xf>
    <xf numFmtId="0" fontId="45" fillId="5" borderId="2" xfId="2" applyFont="1" applyFill="1" applyBorder="1" applyAlignment="1" applyProtection="1">
      <alignment horizontal="left"/>
    </xf>
    <xf numFmtId="0" fontId="79" fillId="0" borderId="50"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5" borderId="96" xfId="0" applyNumberFormat="1" applyFont="1" applyFill="1" applyBorder="1" applyAlignment="1" applyProtection="1">
      <alignment horizontal="center" vertical="center" wrapText="1"/>
    </xf>
    <xf numFmtId="0" fontId="79" fillId="0" borderId="97" xfId="0" applyNumberFormat="1" applyFont="1" applyFill="1" applyBorder="1" applyAlignment="1" applyProtection="1">
      <alignment horizontal="center" vertical="center" wrapText="1"/>
      <protection locked="0"/>
    </xf>
    <xf numFmtId="0" fontId="89" fillId="0" borderId="98" xfId="0" applyNumberFormat="1" applyFont="1" applyFill="1" applyBorder="1" applyAlignment="1" applyProtection="1">
      <alignment horizontal="center" vertical="center" wrapText="1"/>
      <protection locked="0"/>
    </xf>
    <xf numFmtId="0" fontId="89" fillId="5" borderId="99" xfId="0" applyNumberFormat="1" applyFont="1" applyFill="1" applyBorder="1" applyAlignment="1" applyProtection="1">
      <alignment horizontal="center" vertical="center" wrapText="1"/>
    </xf>
    <xf numFmtId="0" fontId="79" fillId="5" borderId="97" xfId="0" applyNumberFormat="1" applyFont="1" applyFill="1" applyBorder="1" applyAlignment="1" applyProtection="1">
      <alignment horizontal="center" vertical="center" wrapText="1"/>
    </xf>
    <xf numFmtId="0" fontId="89" fillId="5" borderId="98"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120" fillId="0" borderId="0" xfId="0" applyFont="1" applyProtection="1">
      <alignment vertical="center"/>
      <protection locked="0"/>
    </xf>
    <xf numFmtId="0" fontId="78" fillId="5" borderId="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155"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0" fontId="74" fillId="5" borderId="0" xfId="0" applyFont="1" applyFill="1" applyProtection="1">
      <alignment vertical="center"/>
      <protection locked="0"/>
    </xf>
    <xf numFmtId="0" fontId="74" fillId="0" borderId="0" xfId="0" applyFont="1" applyProtection="1">
      <alignment vertical="center"/>
      <protection locked="0"/>
    </xf>
    <xf numFmtId="0" fontId="74" fillId="5" borderId="0" xfId="0" applyFont="1" applyFill="1" applyBorder="1" applyProtection="1">
      <alignment vertical="center"/>
      <protection locked="0"/>
    </xf>
    <xf numFmtId="0" fontId="74" fillId="5" borderId="0" xfId="0" applyFont="1" applyFill="1" applyBorder="1" applyAlignment="1" applyProtection="1">
      <alignment vertical="center"/>
      <protection locked="0"/>
    </xf>
    <xf numFmtId="176" fontId="74" fillId="0" borderId="0" xfId="0" applyNumberFormat="1" applyFont="1" applyProtection="1">
      <alignment vertical="center"/>
      <protection locked="0"/>
    </xf>
    <xf numFmtId="0" fontId="79" fillId="5" borderId="0" xfId="0" applyFont="1" applyFill="1" applyAlignment="1" applyProtection="1">
      <alignment vertical="center"/>
      <protection locked="0"/>
    </xf>
    <xf numFmtId="179" fontId="79" fillId="5" borderId="0" xfId="0" applyNumberFormat="1" applyFont="1" applyFill="1" applyAlignment="1" applyProtection="1">
      <alignment vertical="center"/>
      <protection locked="0"/>
    </xf>
    <xf numFmtId="0" fontId="79" fillId="5" borderId="0" xfId="0" applyFont="1" applyFill="1" applyAlignment="1" applyProtection="1">
      <alignment horizontal="center" vertical="center"/>
      <protection locked="0"/>
    </xf>
    <xf numFmtId="0" fontId="74" fillId="5" borderId="0" xfId="0" applyFont="1" applyFill="1" applyAlignment="1" applyProtection="1">
      <alignment vertical="center"/>
      <protection locked="0"/>
    </xf>
    <xf numFmtId="179"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74" fillId="5" borderId="34" xfId="0" applyFont="1" applyFill="1" applyBorder="1" applyAlignment="1" applyProtection="1">
      <alignment horizontal="center" vertical="center"/>
      <protection locked="0"/>
    </xf>
    <xf numFmtId="179" fontId="74" fillId="5" borderId="0" xfId="0" applyNumberFormat="1" applyFont="1" applyFill="1" applyAlignment="1" applyProtection="1">
      <alignment horizontal="center"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179" fontId="79" fillId="0" borderId="0" xfId="0" applyNumberFormat="1" applyFont="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131" fillId="0" borderId="100" xfId="0" applyFont="1" applyBorder="1" applyAlignment="1" applyProtection="1">
      <alignment horizontal="center" vertical="center" wrapText="1"/>
      <protection locked="0"/>
    </xf>
    <xf numFmtId="0" fontId="131" fillId="0" borderId="100" xfId="0" applyNumberFormat="1" applyFont="1" applyFill="1" applyBorder="1" applyAlignment="1" applyProtection="1">
      <alignment horizontal="center" vertical="center" wrapText="1"/>
      <protection locked="0"/>
    </xf>
    <xf numFmtId="0" fontId="131" fillId="0" borderId="100" xfId="0" applyFont="1" applyFill="1" applyBorder="1" applyAlignment="1" applyProtection="1">
      <alignment horizontal="center" vertical="center" wrapText="1"/>
      <protection locked="0"/>
    </xf>
    <xf numFmtId="0" fontId="131" fillId="0" borderId="101" xfId="0" applyFont="1" applyBorder="1" applyAlignment="1" applyProtection="1">
      <alignment horizontal="center" vertical="center" wrapText="1"/>
      <protection locked="0"/>
    </xf>
    <xf numFmtId="0" fontId="132" fillId="0" borderId="0" xfId="0" applyNumberFormat="1" applyFont="1" applyAlignment="1" applyProtection="1">
      <alignment horizontal="center" vertical="center"/>
      <protection locked="0"/>
    </xf>
    <xf numFmtId="0" fontId="13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49" fontId="55" fillId="5" borderId="0" xfId="0" applyNumberFormat="1" applyFont="1" applyFill="1" applyBorder="1" applyAlignment="1" applyProtection="1">
      <alignment horizontal="center" vertical="center" wrapText="1"/>
      <protection locked="0"/>
    </xf>
    <xf numFmtId="0" fontId="55" fillId="5" borderId="0" xfId="0"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49" fontId="55" fillId="0"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0" fontId="131" fillId="0" borderId="0" xfId="0" applyFont="1" applyBorder="1" applyAlignment="1" applyProtection="1">
      <alignment horizontal="center" vertical="center" wrapText="1"/>
      <protection locked="0"/>
    </xf>
    <xf numFmtId="0" fontId="131" fillId="0" borderId="0" xfId="0" applyNumberFormat="1" applyFont="1" applyBorder="1" applyAlignment="1" applyProtection="1">
      <alignment horizontal="center" vertical="center" wrapText="1"/>
      <protection locked="0"/>
    </xf>
    <xf numFmtId="0" fontId="131" fillId="0" borderId="18" xfId="0" applyNumberFormat="1" applyFont="1" applyBorder="1" applyAlignment="1" applyProtection="1">
      <alignment horizontal="center" vertical="center" wrapText="1"/>
      <protection locked="0"/>
    </xf>
    <xf numFmtId="0" fontId="132" fillId="0" borderId="0" xfId="0" applyFont="1" applyAlignment="1" applyProtection="1">
      <alignment horizontal="center" vertical="center" wrapText="1"/>
      <protection locked="0"/>
    </xf>
    <xf numFmtId="0" fontId="132" fillId="0" borderId="0" xfId="0" applyNumberFormat="1" applyFont="1" applyFill="1" applyAlignment="1" applyProtection="1">
      <alignment horizontal="center" vertical="center" wrapText="1"/>
      <protection locked="0"/>
    </xf>
    <xf numFmtId="0" fontId="132" fillId="0" borderId="0" xfId="0" applyFont="1" applyFill="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Alignment="1" applyProtection="1">
      <alignment horizontal="center" vertical="center"/>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79" fillId="5" borderId="0" xfId="0" applyFont="1" applyFill="1" applyProtection="1">
      <alignment vertical="center"/>
      <protection locked="0"/>
    </xf>
    <xf numFmtId="0" fontId="156" fillId="5" borderId="0" xfId="0" applyFont="1" applyFill="1" applyAlignment="1" applyProtection="1">
      <alignment horizontal="center" vertical="center"/>
      <protection locked="0"/>
    </xf>
    <xf numFmtId="0" fontId="161" fillId="5" borderId="0" xfId="0" applyFont="1" applyFill="1" applyBorder="1" applyAlignment="1" applyProtection="1">
      <alignment horizontal="center" vertical="center"/>
      <protection locked="0"/>
    </xf>
    <xf numFmtId="0" fontId="161" fillId="5" borderId="0" xfId="0" applyFont="1" applyFill="1" applyProtection="1">
      <alignment vertical="center"/>
      <protection locked="0"/>
    </xf>
    <xf numFmtId="0" fontId="72" fillId="5" borderId="0" xfId="0" applyFont="1" applyFill="1" applyBorder="1" applyAlignment="1" applyProtection="1">
      <alignment horizontal="center" vertical="center"/>
      <protection locked="0"/>
    </xf>
    <xf numFmtId="0" fontId="152" fillId="5" borderId="0" xfId="0" applyFont="1" applyFill="1" applyProtection="1">
      <alignment vertical="center"/>
      <protection locked="0"/>
    </xf>
    <xf numFmtId="9" fontId="79" fillId="5" borderId="0" xfId="0" applyNumberFormat="1" applyFont="1" applyFill="1" applyAlignment="1" applyProtection="1">
      <alignment horizontal="center" vertical="center"/>
      <protection locked="0"/>
    </xf>
    <xf numFmtId="10" fontId="79" fillId="5" borderId="0" xfId="0" applyNumberFormat="1" applyFont="1" applyFill="1" applyAlignment="1" applyProtection="1">
      <alignment horizontal="center" vertical="center"/>
      <protection locked="0"/>
    </xf>
    <xf numFmtId="0" fontId="79" fillId="5" borderId="0" xfId="4" applyFont="1" applyFill="1" applyBorder="1" applyAlignment="1" applyProtection="1">
      <alignment horizontal="left" vertical="center" wrapText="1"/>
      <protection locked="0"/>
    </xf>
    <xf numFmtId="0" fontId="152" fillId="0" borderId="0" xfId="0" applyFont="1" applyFill="1" applyProtection="1">
      <alignment vertical="center"/>
      <protection locked="0"/>
    </xf>
    <xf numFmtId="0" fontId="152" fillId="5" borderId="0" xfId="4" applyFont="1" applyFill="1" applyAlignment="1" applyProtection="1">
      <alignment vertical="center" wrapText="1"/>
      <protection locked="0"/>
    </xf>
    <xf numFmtId="0" fontId="152" fillId="5" borderId="0" xfId="4" applyFont="1" applyFill="1" applyProtection="1">
      <protection locked="0"/>
    </xf>
    <xf numFmtId="0" fontId="79" fillId="8" borderId="0" xfId="0" applyFont="1" applyFill="1" applyBorder="1" applyProtection="1">
      <alignment vertical="center"/>
      <protection locked="0"/>
    </xf>
    <xf numFmtId="0" fontId="79" fillId="8" borderId="0" xfId="0" applyFont="1" applyFill="1" applyProtection="1">
      <alignment vertical="center"/>
      <protection locked="0"/>
    </xf>
    <xf numFmtId="0" fontId="79" fillId="8" borderId="0" xfId="0" applyFont="1" applyFill="1" applyBorder="1" applyAlignment="1" applyProtection="1">
      <alignment horizontal="right" vertical="center"/>
      <protection locked="0"/>
    </xf>
    <xf numFmtId="0" fontId="88" fillId="8" borderId="0" xfId="0" applyFont="1" applyFill="1" applyAlignment="1" applyProtection="1">
      <alignment horizontal="left" vertical="center"/>
      <protection locked="0"/>
    </xf>
    <xf numFmtId="2" fontId="79" fillId="8" borderId="0" xfId="0" applyNumberFormat="1" applyFont="1" applyFill="1" applyAlignment="1" applyProtection="1">
      <alignment vertical="center" wrapText="1"/>
      <protection locked="0"/>
    </xf>
    <xf numFmtId="0" fontId="88"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101" fillId="5" borderId="0" xfId="0" applyFont="1" applyFill="1" applyAlignment="1" applyProtection="1">
      <alignment vertical="center"/>
      <protection locked="0"/>
    </xf>
    <xf numFmtId="49" fontId="104" fillId="5" borderId="0" xfId="0" applyNumberFormat="1" applyFont="1" applyFill="1" applyBorder="1" applyAlignment="1" applyProtection="1">
      <alignment horizontal="center"/>
      <protection locked="0"/>
    </xf>
    <xf numFmtId="49" fontId="104" fillId="5" borderId="0" xfId="0" applyNumberFormat="1" applyFont="1" applyFill="1" applyBorder="1" applyAlignment="1" applyProtection="1">
      <alignment horizontal="left"/>
      <protection locked="0"/>
    </xf>
    <xf numFmtId="0" fontId="101" fillId="8"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109" fillId="5" borderId="0" xfId="0" applyFont="1" applyFill="1" applyBorder="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109" fillId="8" borderId="0" xfId="0" applyFont="1" applyFill="1" applyAlignment="1" applyProtection="1">
      <alignment vertical="center"/>
      <protection locked="0"/>
    </xf>
    <xf numFmtId="0" fontId="109" fillId="0" borderId="0" xfId="0" applyFont="1" applyFill="1" applyAlignment="1" applyProtection="1">
      <alignment vertical="center"/>
      <protection locked="0"/>
    </xf>
    <xf numFmtId="0" fontId="101" fillId="5" borderId="0" xfId="0" applyFont="1" applyFill="1" applyAlignment="1" applyProtection="1">
      <alignment horizontal="center" vertical="center"/>
      <protection locked="0"/>
    </xf>
    <xf numFmtId="0" fontId="109" fillId="5" borderId="0" xfId="0" applyFont="1" applyFill="1" applyAlignment="1" applyProtection="1">
      <alignment vertical="center"/>
      <protection locked="0"/>
    </xf>
    <xf numFmtId="0" fontId="119" fillId="8" borderId="0" xfId="0" applyFont="1" applyFill="1" applyAlignment="1" applyProtection="1">
      <alignment vertical="center"/>
      <protection locked="0"/>
    </xf>
    <xf numFmtId="0" fontId="119" fillId="0" borderId="0" xfId="0" applyFont="1" applyFill="1" applyAlignment="1" applyProtection="1">
      <alignment vertical="center"/>
      <protection locked="0"/>
    </xf>
    <xf numFmtId="49" fontId="98" fillId="5" borderId="0" xfId="0" applyNumberFormat="1" applyFont="1" applyFill="1" applyBorder="1" applyAlignment="1" applyProtection="1">
      <alignment horizontal="left" vertical="center"/>
      <protection locked="0"/>
    </xf>
    <xf numFmtId="0" fontId="98"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9"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49" fontId="121" fillId="5" borderId="0" xfId="0" applyNumberFormat="1" applyFont="1" applyFill="1" applyBorder="1" applyAlignment="1" applyProtection="1">
      <alignment horizontal="left" vertical="center"/>
      <protection locked="0"/>
    </xf>
    <xf numFmtId="0" fontId="121"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123" fillId="5" borderId="0" xfId="0" applyFont="1" applyFill="1" applyBorder="1" applyAlignment="1" applyProtection="1">
      <alignment vertical="center"/>
      <protection locked="0"/>
    </xf>
    <xf numFmtId="0" fontId="124" fillId="5" borderId="0" xfId="0" applyFont="1" applyFill="1" applyBorder="1" applyAlignment="1" applyProtection="1">
      <alignment horizontal="left" vertical="center"/>
      <protection locked="0"/>
    </xf>
    <xf numFmtId="179" fontId="122" fillId="5" borderId="0" xfId="0" applyNumberFormat="1" applyFont="1" applyFill="1" applyBorder="1" applyAlignment="1" applyProtection="1">
      <alignment horizontal="center" vertical="center"/>
      <protection locked="0"/>
    </xf>
    <xf numFmtId="0" fontId="152" fillId="5" borderId="0" xfId="0" applyFont="1" applyFill="1" applyAlignment="1" applyProtection="1">
      <protection locked="0"/>
    </xf>
    <xf numFmtId="0" fontId="152" fillId="5" borderId="0" xfId="0" applyFont="1" applyFill="1" applyAlignment="1" applyProtection="1">
      <alignment horizontal="left"/>
      <protection locked="0"/>
    </xf>
    <xf numFmtId="0" fontId="78" fillId="5" borderId="0" xfId="0" applyFont="1" applyFill="1" applyAlignment="1" applyProtection="1">
      <protection locked="0"/>
    </xf>
    <xf numFmtId="0" fontId="78" fillId="5" borderId="0" xfId="0" applyFont="1" applyFill="1" applyAlignment="1" applyProtection="1">
      <alignment horizontal="left"/>
      <protection locked="0"/>
    </xf>
    <xf numFmtId="0" fontId="125" fillId="5" borderId="0" xfId="0" applyFont="1" applyFill="1" applyAlignment="1" applyProtection="1">
      <alignment horizontal="left" vertical="center"/>
      <protection locked="0"/>
    </xf>
    <xf numFmtId="0" fontId="79" fillId="5" borderId="0" xfId="0" applyFont="1" applyFill="1" applyAlignment="1" applyProtection="1">
      <alignment horizontal="left" vertical="center"/>
      <protection locked="0"/>
    </xf>
    <xf numFmtId="0" fontId="109" fillId="5" borderId="0" xfId="0" applyFont="1" applyFill="1" applyAlignment="1" applyProtection="1">
      <alignment horizontal="left" vertical="center"/>
      <protection locked="0"/>
    </xf>
    <xf numFmtId="49" fontId="74" fillId="8" borderId="0" xfId="0" applyNumberFormat="1" applyFont="1" applyFill="1" applyAlignment="1" applyProtection="1">
      <protection locked="0"/>
    </xf>
    <xf numFmtId="0" fontId="74" fillId="8" borderId="0" xfId="0" applyFont="1" applyFill="1" applyAlignment="1" applyProtection="1">
      <protection locked="0"/>
    </xf>
    <xf numFmtId="0" fontId="109" fillId="8" borderId="0" xfId="0" applyFont="1" applyFill="1" applyAlignment="1" applyProtection="1">
      <alignment horizontal="left" vertical="center"/>
      <protection locked="0"/>
    </xf>
    <xf numFmtId="8" fontId="74" fillId="8" borderId="0" xfId="0" applyNumberFormat="1" applyFont="1" applyFill="1" applyAlignment="1" applyProtection="1">
      <alignment horizontal="center"/>
      <protection locked="0"/>
    </xf>
    <xf numFmtId="0" fontId="74" fillId="8" borderId="0" xfId="0" applyFont="1" applyFill="1" applyBorder="1" applyAlignment="1" applyProtection="1">
      <protection locked="0"/>
    </xf>
    <xf numFmtId="0" fontId="89" fillId="8" borderId="0" xfId="0" applyFont="1" applyFill="1" applyBorder="1" applyAlignment="1" applyProtection="1">
      <alignment horizontal="left" vertical="center"/>
      <protection locked="0"/>
    </xf>
    <xf numFmtId="179" fontId="89" fillId="8" borderId="0" xfId="0" applyNumberFormat="1" applyFont="1" applyFill="1" applyBorder="1" applyAlignment="1" applyProtection="1">
      <alignment horizontal="center" vertical="center"/>
      <protection locked="0"/>
    </xf>
    <xf numFmtId="0" fontId="89" fillId="8" borderId="0" xfId="0" applyFont="1" applyFill="1" applyBorder="1" applyAlignment="1" applyProtection="1">
      <alignment vertical="center" wrapText="1"/>
      <protection locked="0"/>
    </xf>
    <xf numFmtId="10" fontId="89" fillId="8" borderId="0" xfId="0" applyNumberFormat="1" applyFont="1" applyFill="1" applyBorder="1" applyAlignment="1" applyProtection="1">
      <alignment horizontal="center"/>
      <protection locked="0"/>
    </xf>
    <xf numFmtId="49" fontId="98" fillId="8" borderId="0" xfId="0" applyNumberFormat="1" applyFont="1" applyFill="1" applyBorder="1" applyAlignment="1" applyProtection="1">
      <alignment horizontal="left" vertical="center"/>
      <protection locked="0"/>
    </xf>
    <xf numFmtId="0" fontId="120" fillId="8" borderId="0" xfId="0" applyFont="1" applyFill="1" applyBorder="1" applyAlignment="1" applyProtection="1">
      <alignment horizontal="center"/>
      <protection locked="0"/>
    </xf>
    <xf numFmtId="0" fontId="109" fillId="8" borderId="0" xfId="0" applyFont="1" applyFill="1" applyBorder="1" applyAlignment="1" applyProtection="1">
      <alignment vertical="center"/>
      <protection locked="0"/>
    </xf>
    <xf numFmtId="49" fontId="109" fillId="8" borderId="0" xfId="0" applyNumberFormat="1" applyFont="1" applyFill="1" applyAlignment="1" applyProtection="1">
      <alignment vertical="center"/>
      <protection locked="0"/>
    </xf>
    <xf numFmtId="0" fontId="109" fillId="8" borderId="0" xfId="0" applyFont="1" applyFill="1" applyAlignment="1" applyProtection="1">
      <alignment horizontal="center" vertical="center"/>
      <protection locked="0"/>
    </xf>
    <xf numFmtId="49" fontId="109" fillId="0" borderId="0" xfId="0" applyNumberFormat="1" applyFont="1" applyFill="1" applyAlignment="1" applyProtection="1">
      <alignment vertical="center"/>
      <protection locked="0"/>
    </xf>
    <xf numFmtId="0" fontId="109" fillId="0"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100" fillId="5" borderId="2" xfId="2" applyFont="1" applyFill="1" applyBorder="1" applyAlignment="1" applyProtection="1">
      <alignment vertical="center"/>
      <protection locked="0"/>
    </xf>
    <xf numFmtId="0" fontId="74" fillId="8" borderId="0" xfId="0" applyFont="1" applyFill="1" applyAlignment="1" applyProtection="1">
      <alignment horizontal="center"/>
      <protection locked="0"/>
    </xf>
    <xf numFmtId="0" fontId="154" fillId="5" borderId="59" xfId="2" applyFont="1" applyFill="1" applyBorder="1" applyAlignment="1" applyProtection="1">
      <alignment vertical="center"/>
      <protection locked="0"/>
    </xf>
    <xf numFmtId="0" fontId="73" fillId="5" borderId="0" xfId="2" applyFont="1" applyFill="1" applyBorder="1" applyAlignment="1" applyProtection="1">
      <alignment vertical="center"/>
      <protection locked="0"/>
    </xf>
    <xf numFmtId="177" fontId="100" fillId="5" borderId="2" xfId="2" applyNumberFormat="1" applyFont="1" applyFill="1" applyBorder="1" applyAlignment="1" applyProtection="1">
      <alignment horizontal="right" vertical="center"/>
      <protection locked="0"/>
    </xf>
    <xf numFmtId="0" fontId="60" fillId="5" borderId="10" xfId="2" applyFont="1" applyFill="1" applyBorder="1" applyAlignment="1" applyProtection="1">
      <alignment vertical="center"/>
      <protection locked="0"/>
    </xf>
    <xf numFmtId="0" fontId="100" fillId="5" borderId="10" xfId="2" applyFont="1" applyFill="1" applyBorder="1" applyAlignment="1" applyProtection="1">
      <alignment horizontal="right" vertical="center"/>
      <protection locked="0"/>
    </xf>
    <xf numFmtId="0" fontId="100" fillId="5" borderId="0" xfId="2" applyFont="1" applyFill="1" applyBorder="1" applyAlignment="1" applyProtection="1">
      <alignment vertical="center"/>
      <protection locked="0"/>
    </xf>
    <xf numFmtId="0" fontId="73" fillId="5" borderId="30" xfId="0" applyFont="1" applyFill="1" applyBorder="1" applyAlignment="1" applyProtection="1">
      <protection locked="0"/>
    </xf>
    <xf numFmtId="0" fontId="73" fillId="5" borderId="57" xfId="0" applyFont="1" applyFill="1" applyBorder="1" applyAlignment="1" applyProtection="1">
      <protection locked="0"/>
    </xf>
    <xf numFmtId="0" fontId="102" fillId="8"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79" fillId="8" borderId="0" xfId="0" applyFont="1" applyFill="1" applyAlignment="1" applyProtection="1">
      <protection locked="0"/>
    </xf>
    <xf numFmtId="0" fontId="79" fillId="0" borderId="0" xfId="0" applyFont="1" applyFill="1" applyAlignment="1" applyProtection="1">
      <protection locked="0"/>
    </xf>
    <xf numFmtId="0" fontId="83" fillId="8" borderId="0" xfId="0" applyFont="1" applyFill="1" applyProtection="1">
      <alignment vertical="center"/>
      <protection locked="0"/>
    </xf>
    <xf numFmtId="0" fontId="83" fillId="0" borderId="0" xfId="0" applyFont="1" applyFill="1" applyProtection="1">
      <alignment vertical="center"/>
      <protection locked="0"/>
    </xf>
    <xf numFmtId="0" fontId="83" fillId="8" borderId="0" xfId="0" applyFont="1" applyFill="1" applyAlignment="1" applyProtection="1">
      <protection locked="0"/>
    </xf>
    <xf numFmtId="0" fontId="103" fillId="8" borderId="0" xfId="0" applyFont="1" applyFill="1" applyProtection="1">
      <alignment vertical="center"/>
      <protection locked="0"/>
    </xf>
    <xf numFmtId="0" fontId="82" fillId="8" borderId="0" xfId="0" applyFont="1" applyFill="1" applyAlignment="1" applyProtection="1">
      <protection locked="0"/>
    </xf>
    <xf numFmtId="0" fontId="103" fillId="8" borderId="0" xfId="0" applyFont="1" applyFill="1" applyAlignment="1" applyProtection="1">
      <protection locked="0"/>
    </xf>
    <xf numFmtId="0" fontId="83" fillId="8" borderId="0" xfId="0"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9" fillId="3" borderId="0" xfId="0" applyFont="1" applyFill="1" applyAlignment="1" applyProtection="1">
      <alignment horizontal="center"/>
      <protection locked="0"/>
    </xf>
    <xf numFmtId="184" fontId="79" fillId="3" borderId="0" xfId="0" applyNumberFormat="1" applyFont="1" applyFill="1" applyAlignment="1" applyProtection="1">
      <alignment horizontal="center"/>
      <protection locked="0"/>
    </xf>
    <xf numFmtId="0" fontId="103" fillId="8" borderId="0" xfId="0" applyFont="1" applyFill="1" applyAlignment="1" applyProtection="1">
      <alignment vertical="center" wrapText="1"/>
      <protection locked="0"/>
    </xf>
    <xf numFmtId="0" fontId="100"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0" fontId="105" fillId="5" borderId="0" xfId="0" applyFont="1" applyFill="1" applyBorder="1" applyAlignment="1" applyProtection="1">
      <alignment vertical="center"/>
      <protection locked="0"/>
    </xf>
    <xf numFmtId="187" fontId="104" fillId="5" borderId="0" xfId="0" applyNumberFormat="1" applyFont="1" applyFill="1" applyBorder="1" applyAlignment="1" applyProtection="1">
      <alignment horizontal="center" vertical="center"/>
      <protection locked="0"/>
    </xf>
    <xf numFmtId="181" fontId="104" fillId="5" borderId="0" xfId="0" applyNumberFormat="1" applyFont="1" applyFill="1" applyBorder="1" applyAlignment="1" applyProtection="1">
      <alignment vertical="center"/>
      <protection locked="0"/>
    </xf>
    <xf numFmtId="0" fontId="104" fillId="5" borderId="0" xfId="0" applyFont="1" applyFill="1" applyBorder="1" applyAlignment="1" applyProtection="1">
      <alignment horizontal="center" vertical="center"/>
      <protection locked="0"/>
    </xf>
    <xf numFmtId="181" fontId="74" fillId="5" borderId="0" xfId="0" applyNumberFormat="1" applyFont="1" applyFill="1" applyBorder="1" applyAlignment="1" applyProtection="1">
      <alignment vertical="center" wrapText="1"/>
      <protection locked="0"/>
    </xf>
    <xf numFmtId="0" fontId="87" fillId="5" borderId="0" xfId="0" applyFont="1" applyFill="1" applyBorder="1" applyAlignment="1" applyProtection="1">
      <alignment horizontal="center" vertical="center"/>
      <protection locked="0"/>
    </xf>
    <xf numFmtId="181"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107"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horizontal="center" vertical="center" wrapText="1"/>
      <protection locked="0"/>
    </xf>
    <xf numFmtId="0" fontId="87" fillId="5" borderId="18" xfId="0" applyFont="1" applyFill="1" applyBorder="1" applyAlignment="1" applyProtection="1">
      <alignment horizontal="center" vertical="center"/>
      <protection locked="0"/>
    </xf>
    <xf numFmtId="181" fontId="108"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87" fillId="5" borderId="0" xfId="0" applyNumberFormat="1" applyFont="1" applyFill="1" applyBorder="1" applyAlignment="1" applyProtection="1">
      <alignment vertical="center" wrapText="1"/>
      <protection locked="0"/>
    </xf>
    <xf numFmtId="0" fontId="87" fillId="5" borderId="0" xfId="0" applyFont="1" applyFill="1" applyAlignment="1" applyProtection="1">
      <alignment horizontal="center" vertical="center"/>
      <protection locked="0"/>
    </xf>
    <xf numFmtId="0" fontId="108" fillId="5" borderId="0" xfId="0" applyFont="1" applyFill="1" applyAlignment="1" applyProtection="1">
      <alignment horizontal="center" vertical="center"/>
      <protection locked="0"/>
    </xf>
    <xf numFmtId="14" fontId="87" fillId="5" borderId="0" xfId="0" applyNumberFormat="1" applyFont="1" applyFill="1" applyAlignment="1" applyProtection="1">
      <alignment horizontal="center" vertical="center"/>
      <protection locked="0"/>
    </xf>
    <xf numFmtId="9" fontId="87" fillId="5" borderId="0" xfId="0" applyNumberFormat="1" applyFont="1" applyFill="1" applyAlignment="1" applyProtection="1">
      <alignment horizontal="center" vertical="center"/>
      <protection locked="0"/>
    </xf>
    <xf numFmtId="187" fontId="87" fillId="5" borderId="0" xfId="0" applyNumberFormat="1" applyFont="1" applyFill="1" applyAlignment="1" applyProtection="1">
      <alignment horizontal="center" vertical="center"/>
      <protection locked="0"/>
    </xf>
    <xf numFmtId="181" fontId="87" fillId="5" borderId="0" xfId="0" applyNumberFormat="1" applyFont="1" applyFill="1" applyAlignment="1" applyProtection="1">
      <alignment horizontal="center" vertical="center"/>
      <protection locked="0"/>
    </xf>
    <xf numFmtId="176" fontId="87" fillId="5" borderId="0" xfId="0" applyNumberFormat="1" applyFont="1" applyFill="1" applyAlignment="1" applyProtection="1">
      <alignment horizontal="center" vertical="center"/>
      <protection locked="0"/>
    </xf>
    <xf numFmtId="187" fontId="108" fillId="5" borderId="0" xfId="0" applyNumberFormat="1" applyFont="1" applyFill="1" applyAlignment="1" applyProtection="1">
      <alignment horizontal="center" vertical="center"/>
      <protection locked="0"/>
    </xf>
    <xf numFmtId="181" fontId="108" fillId="5" borderId="0" xfId="0" applyNumberFormat="1" applyFont="1" applyFill="1" applyAlignment="1" applyProtection="1">
      <alignment horizontal="center" vertical="center"/>
      <protection locked="0"/>
    </xf>
    <xf numFmtId="0" fontId="206" fillId="5" borderId="0" xfId="0" applyFont="1" applyFill="1" applyAlignment="1" applyProtection="1">
      <alignment horizontal="left" vertical="center"/>
      <protection locked="0"/>
    </xf>
    <xf numFmtId="0" fontId="112" fillId="5" borderId="0" xfId="0" applyFont="1" applyFill="1" applyAlignment="1" applyProtection="1">
      <alignment horizontal="center" vertical="center"/>
      <protection locked="0"/>
    </xf>
    <xf numFmtId="0" fontId="89" fillId="5" borderId="0" xfId="0" applyFont="1" applyFill="1" applyAlignment="1" applyProtection="1">
      <protection locked="0"/>
    </xf>
    <xf numFmtId="0" fontId="87" fillId="5" borderId="0" xfId="0" applyFont="1" applyFill="1" applyBorder="1" applyAlignment="1" applyProtection="1">
      <protection locked="0"/>
    </xf>
    <xf numFmtId="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wrapText="1"/>
      <protection locked="0"/>
    </xf>
    <xf numFmtId="49" fontId="74" fillId="5" borderId="0" xfId="0" applyNumberFormat="1" applyFont="1" applyFill="1" applyBorder="1" applyAlignment="1" applyProtection="1">
      <alignment horizontal="center" vertical="center"/>
      <protection locked="0"/>
    </xf>
    <xf numFmtId="49" fontId="74" fillId="5" borderId="0" xfId="0" applyNumberFormat="1" applyFont="1" applyFill="1" applyAlignment="1" applyProtection="1">
      <alignment horizontal="center" vertical="center"/>
      <protection locked="0"/>
    </xf>
    <xf numFmtId="0" fontId="74" fillId="5" borderId="0" xfId="0" applyNumberFormat="1" applyFont="1" applyFill="1" applyBorder="1" applyAlignment="1" applyProtection="1">
      <alignment horizontal="center" vertical="center" wrapText="1"/>
      <protection locked="0"/>
    </xf>
    <xf numFmtId="0" fontId="152" fillId="5" borderId="0" xfId="0" applyFont="1" applyFill="1" applyBorder="1" applyAlignment="1" applyProtection="1">
      <alignment vertical="center"/>
      <protection locked="0"/>
    </xf>
    <xf numFmtId="0" fontId="108"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0" xfId="0" applyFont="1" applyFill="1" applyAlignment="1" applyProtection="1">
      <alignment horizontal="center" vertical="center"/>
      <protection locked="0"/>
    </xf>
    <xf numFmtId="0" fontId="83" fillId="5" borderId="0" xfId="0" applyFont="1" applyFill="1" applyBorder="1" applyAlignment="1" applyProtection="1">
      <alignment horizontal="center" vertical="center"/>
      <protection locked="0"/>
    </xf>
    <xf numFmtId="9" fontId="83" fillId="5" borderId="0" xfId="0" applyNumberFormat="1" applyFont="1" applyFill="1" applyBorder="1" applyAlignment="1" applyProtection="1">
      <alignment horizontal="center" vertical="center"/>
      <protection locked="0"/>
    </xf>
    <xf numFmtId="0" fontId="83" fillId="5" borderId="0" xfId="0" applyFont="1" applyFill="1" applyBorder="1" applyAlignment="1" applyProtection="1">
      <alignment vertical="center" wrapText="1"/>
      <protection locked="0"/>
    </xf>
    <xf numFmtId="0" fontId="74" fillId="5" borderId="0" xfId="0" applyFont="1" applyFill="1" applyBorder="1" applyAlignment="1" applyProtection="1">
      <alignment vertical="center" wrapText="1"/>
      <protection locked="0"/>
    </xf>
    <xf numFmtId="0" fontId="87" fillId="8" borderId="0" xfId="0" applyFont="1" applyFill="1" applyAlignment="1" applyProtection="1">
      <alignment horizontal="center" vertical="center"/>
      <protection locked="0"/>
    </xf>
    <xf numFmtId="187" fontId="87" fillId="8" borderId="0" xfId="0" applyNumberFormat="1" applyFont="1" applyFill="1" applyAlignment="1" applyProtection="1">
      <alignment horizontal="center" vertical="center"/>
      <protection locked="0"/>
    </xf>
    <xf numFmtId="181" fontId="87" fillId="8" borderId="0" xfId="0" applyNumberFormat="1"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187" fontId="87" fillId="0" borderId="0" xfId="0" applyNumberFormat="1" applyFont="1" applyFill="1" applyAlignment="1" applyProtection="1">
      <alignment horizontal="center" vertical="center"/>
      <protection locked="0"/>
    </xf>
    <xf numFmtId="181" fontId="87" fillId="0" borderId="0" xfId="0" applyNumberFormat="1" applyFont="1" applyFill="1" applyAlignment="1" applyProtection="1">
      <alignment horizontal="center" vertical="center"/>
      <protection locked="0"/>
    </xf>
    <xf numFmtId="0" fontId="100" fillId="5" borderId="28" xfId="2" applyFont="1" applyFill="1" applyBorder="1" applyAlignment="1" applyProtection="1">
      <alignment vertical="center"/>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89" fillId="3" borderId="0" xfId="0" applyFont="1" applyFill="1" applyAlignment="1" applyProtection="1">
      <alignment horizontal="left" vertical="center"/>
      <protection locked="0"/>
    </xf>
    <xf numFmtId="0" fontId="89" fillId="3" borderId="0" xfId="0" applyFont="1" applyFill="1" applyAlignment="1" applyProtection="1">
      <alignment vertical="center"/>
      <protection locked="0"/>
    </xf>
    <xf numFmtId="0" fontId="89" fillId="3" borderId="0" xfId="0" applyFont="1" applyFill="1" applyAlignment="1" applyProtection="1">
      <alignment horizontal="center" vertical="center"/>
      <protection locked="0"/>
    </xf>
    <xf numFmtId="0" fontId="89" fillId="8" borderId="0" xfId="0" applyFont="1" applyFill="1" applyAlignment="1" applyProtection="1">
      <alignment vertical="center"/>
      <protection locked="0"/>
    </xf>
    <xf numFmtId="0" fontId="43" fillId="5" borderId="0" xfId="3" applyFont="1" applyFill="1" applyAlignment="1" applyProtection="1">
      <alignment vertical="center" wrapText="1"/>
      <protection locked="0"/>
    </xf>
    <xf numFmtId="0" fontId="43" fillId="5" borderId="0" xfId="3" applyFont="1" applyFill="1" applyAlignment="1" applyProtection="1">
      <alignment horizontal="center" vertical="center" wrapText="1"/>
      <protection locked="0"/>
    </xf>
    <xf numFmtId="0" fontId="61" fillId="5" borderId="0" xfId="3"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89" fillId="5" borderId="0" xfId="3" applyFont="1" applyFill="1" applyAlignment="1" applyProtection="1">
      <alignment horizontal="center" vertical="center" wrapText="1"/>
      <protection locked="0"/>
    </xf>
    <xf numFmtId="10" fontId="89" fillId="5" borderId="0" xfId="3" applyNumberFormat="1"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43" fillId="8" borderId="0" xfId="3" applyFont="1" applyFill="1" applyAlignment="1" applyProtection="1">
      <alignment vertical="center" wrapText="1"/>
      <protection locked="0"/>
    </xf>
    <xf numFmtId="0" fontId="43" fillId="8" borderId="0" xfId="3" applyFont="1" applyFill="1" applyAlignment="1" applyProtection="1">
      <alignment horizontal="center" vertical="center" wrapText="1"/>
      <protection locked="0"/>
    </xf>
    <xf numFmtId="0" fontId="43" fillId="8" borderId="0" xfId="3" applyFont="1" applyFill="1" applyAlignment="1" applyProtection="1">
      <alignment horizontal="left" vertical="center" wrapText="1"/>
      <protection locked="0"/>
    </xf>
    <xf numFmtId="0" fontId="43" fillId="0" borderId="0" xfId="3" applyFont="1" applyAlignment="1" applyProtection="1">
      <alignment vertical="center" wrapText="1"/>
      <protection locked="0"/>
    </xf>
    <xf numFmtId="0" fontId="43" fillId="0" borderId="0" xfId="3" applyFont="1" applyAlignment="1" applyProtection="1">
      <alignment horizontal="center" vertical="center" wrapText="1"/>
      <protection locked="0"/>
    </xf>
    <xf numFmtId="0" fontId="76"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0" fontId="87" fillId="5" borderId="0" xfId="0" applyFont="1" applyFill="1" applyBorder="1" applyAlignment="1" applyProtection="1">
      <alignment horizontal="center" vertical="center" wrapText="1"/>
      <protection locked="0"/>
    </xf>
    <xf numFmtId="9" fontId="87" fillId="5" borderId="0" xfId="0" applyNumberFormat="1" applyFont="1" applyFill="1" applyBorder="1" applyAlignment="1" applyProtection="1">
      <alignment horizontal="center" vertical="center" wrapText="1"/>
      <protection locked="0"/>
    </xf>
    <xf numFmtId="0" fontId="104" fillId="5" borderId="13" xfId="0" applyFont="1" applyFill="1" applyBorder="1" applyAlignment="1" applyProtection="1">
      <alignment horizontal="center" vertical="center"/>
    </xf>
    <xf numFmtId="0" fontId="87" fillId="5" borderId="13" xfId="0" applyFont="1" applyFill="1" applyBorder="1" applyAlignment="1" applyProtection="1">
      <alignment horizontal="center" vertical="center"/>
      <protection locked="0"/>
    </xf>
    <xf numFmtId="0" fontId="108" fillId="5" borderId="13" xfId="0" applyFont="1" applyFill="1" applyBorder="1" applyAlignment="1" applyProtection="1">
      <alignment horizontal="center" vertical="center"/>
      <protection locked="0"/>
    </xf>
    <xf numFmtId="0" fontId="87" fillId="5" borderId="13" xfId="0" applyFont="1" applyFill="1" applyBorder="1" applyAlignment="1" applyProtection="1">
      <protection locked="0"/>
    </xf>
    <xf numFmtId="49" fontId="74" fillId="5" borderId="13" xfId="0" applyNumberFormat="1" applyFont="1" applyFill="1" applyBorder="1" applyAlignment="1" applyProtection="1">
      <alignment horizontal="center" vertical="center"/>
      <protection locked="0"/>
    </xf>
    <xf numFmtId="9" fontId="74" fillId="5" borderId="13" xfId="0" applyNumberFormat="1" applyFont="1" applyFill="1" applyBorder="1" applyAlignment="1" applyProtection="1">
      <alignment horizontal="center" vertical="center" wrapText="1"/>
      <protection locked="0"/>
    </xf>
    <xf numFmtId="0" fontId="152" fillId="5" borderId="13" xfId="0" applyFont="1" applyFill="1" applyBorder="1" applyAlignment="1" applyProtection="1">
      <alignment vertical="center"/>
      <protection locked="0"/>
    </xf>
    <xf numFmtId="0" fontId="74"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83" fillId="5" borderId="13"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0" fontId="87" fillId="5" borderId="13"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protection locked="0"/>
    </xf>
    <xf numFmtId="0" fontId="87" fillId="0" borderId="13" xfId="0" applyFont="1" applyFill="1" applyBorder="1" applyAlignment="1" applyProtection="1">
      <alignment horizontal="center" vertical="center"/>
    </xf>
    <xf numFmtId="0" fontId="87" fillId="5" borderId="0" xfId="0" applyFont="1" applyFill="1" applyBorder="1" applyAlignment="1" applyProtection="1">
      <alignment horizontal="center"/>
      <protection locked="0"/>
    </xf>
    <xf numFmtId="187" fontId="87" fillId="5" borderId="0" xfId="0" applyNumberFormat="1" applyFont="1" applyFill="1" applyBorder="1" applyAlignment="1" applyProtection="1">
      <alignment horizontal="center"/>
      <protection locked="0"/>
    </xf>
    <xf numFmtId="181" fontId="87" fillId="5" borderId="0" xfId="0" applyNumberFormat="1" applyFont="1" applyFill="1" applyBorder="1" applyAlignment="1" applyProtection="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Alignment="1" applyProtection="1">
      <alignment horizontal="center" vertical="center"/>
      <protection locked="0"/>
    </xf>
    <xf numFmtId="0" fontId="147" fillId="5" borderId="28" xfId="0" applyFont="1" applyFill="1" applyBorder="1" applyAlignment="1" applyProtection="1">
      <alignment horizontal="center" vertical="center" wrapText="1"/>
      <protection locked="0"/>
    </xf>
    <xf numFmtId="0" fontId="112" fillId="5" borderId="2" xfId="0" applyFont="1" applyFill="1" applyBorder="1" applyAlignment="1" applyProtection="1">
      <alignment horizontal="center" vertical="center"/>
      <protection locked="0"/>
    </xf>
    <xf numFmtId="9" fontId="112" fillId="6" borderId="2" xfId="0" applyNumberFormat="1" applyFont="1" applyFill="1" applyBorder="1" applyAlignment="1" applyProtection="1">
      <alignment horizontal="center" vertical="center"/>
      <protection locked="0"/>
    </xf>
    <xf numFmtId="0" fontId="211" fillId="8" borderId="0" xfId="0" applyFont="1" applyFill="1" applyAlignment="1" applyProtection="1">
      <protection locked="0"/>
    </xf>
    <xf numFmtId="0" fontId="52" fillId="5" borderId="2" xfId="0" applyFont="1" applyFill="1" applyBorder="1" applyAlignment="1" applyProtection="1">
      <alignment horizontal="left" vertical="center"/>
    </xf>
    <xf numFmtId="0" fontId="48" fillId="5" borderId="10" xfId="0" applyFont="1" applyFill="1" applyBorder="1" applyAlignment="1" applyProtection="1">
      <alignment vertical="center" wrapText="1"/>
    </xf>
    <xf numFmtId="0" fontId="74" fillId="0" borderId="12" xfId="2" applyNumberFormat="1" applyFont="1" applyFill="1" applyBorder="1" applyAlignment="1" applyProtection="1">
      <alignment horizontal="center" vertical="center"/>
      <protection locked="0"/>
    </xf>
    <xf numFmtId="0" fontId="79" fillId="5" borderId="44" xfId="0" applyFont="1" applyFill="1" applyBorder="1" applyAlignment="1" applyProtection="1">
      <alignment horizontal="center" vertical="center"/>
    </xf>
    <xf numFmtId="0" fontId="98" fillId="5" borderId="4" xfId="0" applyNumberFormat="1" applyFont="1" applyFill="1" applyBorder="1" applyAlignment="1" applyProtection="1">
      <alignment vertical="center" wrapText="1"/>
      <protection locked="0"/>
    </xf>
    <xf numFmtId="0" fontId="79" fillId="5" borderId="57" xfId="0" applyNumberFormat="1" applyFont="1" applyFill="1" applyBorder="1" applyAlignment="1" applyProtection="1">
      <alignment horizontal="center" vertical="center" wrapText="1"/>
    </xf>
    <xf numFmtId="0" fontId="89"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textRotation="255" wrapText="1"/>
      <protection locked="0"/>
    </xf>
    <xf numFmtId="0" fontId="82" fillId="0" borderId="5" xfId="0" applyNumberFormat="1" applyFont="1" applyFill="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120" fillId="5" borderId="13" xfId="0" applyNumberFormat="1" applyFont="1" applyFill="1" applyBorder="1" applyAlignment="1" applyProtection="1">
      <alignment vertical="center" wrapText="1"/>
      <protection locked="0"/>
    </xf>
    <xf numFmtId="0" fontId="79" fillId="5" borderId="31" xfId="0" applyNumberFormat="1" applyFont="1" applyFill="1" applyBorder="1" applyAlignment="1" applyProtection="1">
      <alignment horizontal="center" vertical="center" wrapText="1"/>
    </xf>
    <xf numFmtId="0" fontId="79" fillId="0" borderId="2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9" fillId="0" borderId="15" xfId="0" applyNumberFormat="1" applyFont="1" applyFill="1" applyBorder="1" applyAlignment="1" applyProtection="1">
      <alignment horizontal="center" vertical="center" wrapText="1"/>
      <protection locked="0"/>
    </xf>
    <xf numFmtId="0" fontId="89" fillId="5" borderId="65" xfId="0" applyNumberFormat="1" applyFont="1" applyFill="1" applyBorder="1" applyAlignment="1" applyProtection="1">
      <alignment horizontal="center" vertical="center" wrapText="1"/>
    </xf>
    <xf numFmtId="0" fontId="88" fillId="5" borderId="13" xfId="0" applyNumberFormat="1" applyFont="1" applyFill="1" applyBorder="1" applyAlignment="1" applyProtection="1">
      <alignment vertical="center" wrapText="1"/>
      <protection locked="0"/>
    </xf>
    <xf numFmtId="0" fontId="79" fillId="0" borderId="106"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left" vertical="center" wrapText="1"/>
      <protection locked="0"/>
    </xf>
    <xf numFmtId="0" fontId="79"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0" borderId="17"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wrapText="1"/>
      <protection locked="0"/>
    </xf>
    <xf numFmtId="9" fontId="79" fillId="0" borderId="3" xfId="0" applyNumberFormat="1" applyFont="1" applyFill="1" applyBorder="1" applyAlignment="1" applyProtection="1">
      <alignment horizontal="center" vertical="center" wrapText="1"/>
      <protection locked="0"/>
    </xf>
    <xf numFmtId="0" fontId="79" fillId="0" borderId="3" xfId="0" applyFont="1" applyFill="1" applyBorder="1" applyAlignment="1" applyProtection="1">
      <alignment horizontal="center" vertical="center"/>
      <protection locked="0"/>
    </xf>
    <xf numFmtId="0" fontId="79" fillId="0" borderId="65" xfId="0" applyFont="1" applyFill="1" applyBorder="1" applyAlignment="1" applyProtection="1">
      <alignment horizontal="center" vertical="center"/>
      <protection locked="0"/>
    </xf>
    <xf numFmtId="0" fontId="79" fillId="5" borderId="22" xfId="0" applyNumberFormat="1" applyFont="1" applyFill="1" applyBorder="1" applyAlignment="1" applyProtection="1">
      <alignment horizontal="center" vertical="center" wrapText="1"/>
    </xf>
    <xf numFmtId="0" fontId="89" fillId="5" borderId="10" xfId="0" applyNumberFormat="1" applyFont="1" applyFill="1" applyBorder="1" applyAlignment="1" applyProtection="1">
      <alignment horizontal="center" vertical="center" wrapText="1"/>
    </xf>
    <xf numFmtId="0" fontId="79" fillId="0" borderId="113" xfId="0" applyFont="1" applyFill="1" applyBorder="1" applyAlignment="1" applyProtection="1">
      <alignment horizontal="center" vertical="center"/>
      <protection locked="0"/>
    </xf>
    <xf numFmtId="0"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wrapText="1"/>
      <protection locked="0"/>
    </xf>
    <xf numFmtId="9" fontId="79" fillId="0" borderId="114" xfId="0" applyNumberFormat="1" applyFont="1" applyFill="1" applyBorder="1" applyAlignment="1" applyProtection="1">
      <alignment horizontal="center" vertical="center" wrapText="1"/>
      <protection locked="0"/>
    </xf>
    <xf numFmtId="0" fontId="79" fillId="0" borderId="114" xfId="0" applyFont="1" applyFill="1" applyBorder="1" applyAlignment="1" applyProtection="1">
      <alignment horizontal="center" vertical="center"/>
      <protection locked="0"/>
    </xf>
    <xf numFmtId="0" fontId="79" fillId="0" borderId="110" xfId="0" applyFont="1" applyFill="1" applyBorder="1" applyAlignment="1" applyProtection="1">
      <alignment horizontal="center" vertical="center"/>
      <protection locked="0"/>
    </xf>
    <xf numFmtId="0" fontId="79" fillId="5" borderId="110" xfId="0" applyNumberFormat="1" applyFont="1" applyFill="1" applyBorder="1" applyAlignment="1" applyProtection="1">
      <alignment horizontal="center" vertical="center" wrapText="1"/>
    </xf>
    <xf numFmtId="0" fontId="89" fillId="0" borderId="1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137"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left" vertical="center" wrapText="1"/>
      <protection locked="0"/>
    </xf>
    <xf numFmtId="0" fontId="79" fillId="10" borderId="29" xfId="0" applyNumberFormat="1" applyFont="1" applyFill="1" applyBorder="1" applyAlignment="1" applyProtection="1">
      <alignment horizontal="center" vertical="center" wrapText="1"/>
      <protection locked="0"/>
    </xf>
    <xf numFmtId="0" fontId="79" fillId="10" borderId="40" xfId="0" applyFont="1" applyFill="1" applyBorder="1" applyAlignment="1" applyProtection="1">
      <alignment horizontal="center" vertical="center"/>
      <protection locked="0"/>
    </xf>
    <xf numFmtId="0"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wrapText="1"/>
      <protection locked="0"/>
    </xf>
    <xf numFmtId="9" fontId="79" fillId="10" borderId="27" xfId="0" applyNumberFormat="1" applyFont="1" applyFill="1" applyBorder="1" applyAlignment="1" applyProtection="1">
      <alignment horizontal="center" vertical="center" wrapText="1"/>
      <protection locked="0"/>
    </xf>
    <xf numFmtId="0" fontId="79" fillId="10" borderId="27" xfId="0" applyFont="1" applyFill="1" applyBorder="1" applyAlignment="1" applyProtection="1">
      <alignment horizontal="center" vertical="center"/>
      <protection locked="0"/>
    </xf>
    <xf numFmtId="0" fontId="79" fillId="10" borderId="39" xfId="0" applyFont="1" applyFill="1" applyBorder="1" applyAlignment="1" applyProtection="1">
      <alignment horizontal="center" vertical="center"/>
      <protection locked="0"/>
    </xf>
    <xf numFmtId="0" fontId="88" fillId="10" borderId="116" xfId="0" applyNumberFormat="1" applyFont="1" applyFill="1" applyBorder="1" applyAlignment="1" applyProtection="1">
      <alignment vertical="center" wrapText="1"/>
      <protection locked="0"/>
    </xf>
    <xf numFmtId="0" fontId="79" fillId="10" borderId="54" xfId="0" applyNumberFormat="1" applyFont="1" applyFill="1" applyBorder="1" applyAlignment="1" applyProtection="1">
      <alignment horizontal="center" vertical="center" wrapText="1"/>
    </xf>
    <xf numFmtId="0" fontId="79" fillId="10" borderId="43" xfId="0" applyNumberFormat="1" applyFont="1" applyFill="1" applyBorder="1" applyAlignment="1" applyProtection="1">
      <alignment horizontal="center" vertical="center" wrapText="1"/>
      <protection locked="0"/>
    </xf>
    <xf numFmtId="0" fontId="89" fillId="10" borderId="44" xfId="0" applyNumberFormat="1" applyFont="1" applyFill="1" applyBorder="1" applyAlignment="1" applyProtection="1">
      <alignment horizontal="center" vertical="center" wrapText="1"/>
      <protection locked="0"/>
    </xf>
    <xf numFmtId="0" fontId="89" fillId="10" borderId="45" xfId="0" applyNumberFormat="1" applyFont="1" applyFill="1" applyBorder="1" applyAlignment="1" applyProtection="1">
      <alignment horizontal="center" vertical="center" wrapText="1"/>
      <protection locked="0"/>
    </xf>
    <xf numFmtId="0" fontId="89" fillId="10"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55" fillId="5" borderId="28" xfId="0" applyFont="1" applyFill="1" applyBorder="1" applyAlignment="1" applyProtection="1">
      <alignment vertical="center"/>
    </xf>
    <xf numFmtId="0" fontId="84" fillId="5" borderId="5" xfId="0" applyFont="1" applyFill="1" applyBorder="1" applyProtection="1">
      <alignment vertical="center"/>
    </xf>
    <xf numFmtId="0" fontId="84" fillId="5" borderId="2" xfId="0" applyFont="1" applyFill="1" applyBorder="1" applyProtection="1">
      <alignment vertical="center"/>
    </xf>
    <xf numFmtId="176" fontId="74" fillId="5" borderId="2" xfId="0" applyNumberFormat="1" applyFont="1" applyFill="1" applyBorder="1" applyProtection="1">
      <alignment vertical="center"/>
    </xf>
    <xf numFmtId="177" fontId="133" fillId="5" borderId="11" xfId="2" applyNumberFormat="1" applyFont="1" applyFill="1" applyBorder="1" applyAlignment="1" applyProtection="1">
      <alignment horizontal="left" vertical="center"/>
    </xf>
    <xf numFmtId="177" fontId="74" fillId="5" borderId="11" xfId="2" applyNumberFormat="1" applyFont="1" applyFill="1" applyBorder="1" applyAlignment="1" applyProtection="1">
      <alignment horizontal="left" vertical="center" wrapText="1"/>
    </xf>
    <xf numFmtId="0" fontId="20" fillId="5" borderId="1" xfId="2" applyFont="1" applyFill="1" applyBorder="1" applyAlignment="1" applyProtection="1">
      <alignment vertical="center" wrapText="1"/>
    </xf>
    <xf numFmtId="0" fontId="74" fillId="5" borderId="2" xfId="0" applyFont="1" applyFill="1" applyBorder="1" applyAlignment="1" applyProtection="1">
      <alignment horizontal="right" vertical="center" wrapText="1"/>
    </xf>
    <xf numFmtId="177" fontId="74" fillId="5" borderId="2" xfId="2" applyNumberFormat="1" applyFont="1" applyFill="1" applyBorder="1" applyAlignment="1" applyProtection="1">
      <alignment vertical="center"/>
    </xf>
    <xf numFmtId="177" fontId="74" fillId="5" borderId="5" xfId="2" applyNumberFormat="1" applyFont="1" applyFill="1" applyBorder="1" applyAlignment="1" applyProtection="1">
      <alignment vertical="center"/>
    </xf>
    <xf numFmtId="177" fontId="74" fillId="5" borderId="11" xfId="2" applyNumberFormat="1" applyFont="1" applyFill="1" applyBorder="1" applyAlignment="1" applyProtection="1">
      <alignment horizontal="center" vertical="center"/>
    </xf>
    <xf numFmtId="183" fontId="74" fillId="5" borderId="2" xfId="0" applyNumberFormat="1" applyFont="1" applyFill="1" applyBorder="1" applyAlignment="1" applyProtection="1">
      <alignment horizontal="center" vertical="center"/>
    </xf>
    <xf numFmtId="181" fontId="83" fillId="5" borderId="2" xfId="0" applyNumberFormat="1" applyFont="1" applyFill="1" applyBorder="1" applyAlignment="1" applyProtection="1">
      <alignment horizontal="center" vertical="center"/>
    </xf>
    <xf numFmtId="179" fontId="74" fillId="5" borderId="43" xfId="2" applyNumberFormat="1" applyFont="1" applyFill="1" applyBorder="1" applyAlignment="1" applyProtection="1">
      <alignment horizontal="center" vertical="center"/>
    </xf>
    <xf numFmtId="177" fontId="84" fillId="5" borderId="11" xfId="2"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xf>
    <xf numFmtId="0" fontId="52" fillId="5" borderId="5" xfId="0" applyFont="1" applyFill="1" applyBorder="1" applyAlignment="1" applyProtection="1">
      <alignment horizontal="left" vertical="center"/>
    </xf>
    <xf numFmtId="0" fontId="85" fillId="5" borderId="9" xfId="0" applyFont="1" applyFill="1" applyBorder="1" applyAlignment="1" applyProtection="1">
      <alignment horizontal="center" vertical="center"/>
    </xf>
    <xf numFmtId="177" fontId="74" fillId="5" borderId="2" xfId="2" applyNumberFormat="1" applyFont="1" applyFill="1" applyBorder="1" applyAlignment="1" applyProtection="1">
      <alignment horizontal="center" vertical="center"/>
    </xf>
    <xf numFmtId="0" fontId="74" fillId="0" borderId="12" xfId="2" applyNumberFormat="1" applyFont="1" applyFill="1" applyBorder="1" applyAlignment="1" applyProtection="1">
      <alignment horizontal="center" vertical="center"/>
    </xf>
    <xf numFmtId="9" fontId="74" fillId="5" borderId="5" xfId="0"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81" fontId="74" fillId="5" borderId="2" xfId="0" applyNumberFormat="1" applyFont="1" applyFill="1" applyBorder="1" applyAlignment="1" applyProtection="1">
      <alignment vertical="center"/>
    </xf>
    <xf numFmtId="181" fontId="74" fillId="5" borderId="5" xfId="0" applyNumberFormat="1" applyFont="1" applyFill="1" applyBorder="1" applyAlignment="1" applyProtection="1">
      <alignment vertical="center"/>
    </xf>
    <xf numFmtId="181" fontId="74" fillId="5" borderId="12" xfId="0" applyNumberFormat="1" applyFont="1" applyFill="1" applyBorder="1" applyAlignment="1" applyProtection="1">
      <alignment vertical="center"/>
    </xf>
    <xf numFmtId="181" fontId="74" fillId="5" borderId="2" xfId="0" applyNumberFormat="1" applyFont="1" applyFill="1" applyBorder="1" applyAlignment="1" applyProtection="1">
      <alignment horizontal="center" vertical="center"/>
    </xf>
    <xf numFmtId="181" fontId="74" fillId="5" borderId="5" xfId="0" applyNumberFormat="1" applyFont="1" applyFill="1" applyBorder="1" applyAlignment="1" applyProtection="1">
      <alignment horizontal="center" vertical="center"/>
    </xf>
    <xf numFmtId="10" fontId="74" fillId="5" borderId="2" xfId="0" applyNumberFormat="1" applyFont="1" applyFill="1" applyBorder="1" applyAlignment="1" applyProtection="1">
      <alignment horizontal="center" vertical="center"/>
    </xf>
    <xf numFmtId="182" fontId="74" fillId="5" borderId="2" xfId="0" applyNumberFormat="1" applyFont="1" applyFill="1" applyBorder="1" applyAlignment="1" applyProtection="1">
      <alignment horizontal="center" vertical="center"/>
    </xf>
    <xf numFmtId="181" fontId="74" fillId="5" borderId="12" xfId="0" applyNumberFormat="1"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9" fillId="5" borderId="20" xfId="0" applyFont="1" applyFill="1" applyBorder="1" applyAlignment="1" applyProtection="1">
      <alignment horizontal="left" vertical="center"/>
      <protection locked="0"/>
    </xf>
    <xf numFmtId="0" fontId="136" fillId="5" borderId="47" xfId="0" applyFont="1" applyFill="1" applyBorder="1" applyAlignment="1" applyProtection="1">
      <alignment vertical="center"/>
    </xf>
    <xf numFmtId="0" fontId="55" fillId="5" borderId="2" xfId="0" applyFont="1" applyFill="1" applyBorder="1" applyAlignment="1" applyProtection="1">
      <alignment vertical="center"/>
    </xf>
    <xf numFmtId="0" fontId="43" fillId="5" borderId="11" xfId="2" applyFont="1" applyFill="1" applyBorder="1" applyAlignment="1" applyProtection="1"/>
    <xf numFmtId="0" fontId="213" fillId="5" borderId="9" xfId="0" applyFont="1" applyFill="1" applyBorder="1" applyAlignment="1" applyProtection="1">
      <alignment horizontal="right" vertical="center"/>
    </xf>
    <xf numFmtId="0" fontId="214" fillId="5" borderId="5" xfId="0" applyFont="1" applyFill="1" applyBorder="1" applyAlignment="1" applyProtection="1">
      <alignment horizontal="left" vertical="center"/>
    </xf>
    <xf numFmtId="0" fontId="215" fillId="5" borderId="9" xfId="0" applyFont="1" applyFill="1" applyBorder="1" applyAlignment="1" applyProtection="1">
      <alignment horizontal="right" vertical="center"/>
    </xf>
    <xf numFmtId="0" fontId="85" fillId="5" borderId="9" xfId="0" applyFont="1" applyFill="1" applyBorder="1" applyAlignment="1" applyProtection="1">
      <alignment horizontal="right" vertical="center"/>
    </xf>
    <xf numFmtId="177" fontId="55" fillId="5" borderId="2" xfId="2" applyNumberFormat="1" applyFont="1" applyFill="1" applyBorder="1" applyAlignment="1" applyProtection="1">
      <alignment vertical="center"/>
    </xf>
    <xf numFmtId="14" fontId="78" fillId="5" borderId="34" xfId="0" applyNumberFormat="1" applyFont="1" applyFill="1" applyBorder="1" applyAlignment="1" applyProtection="1">
      <alignment horizontal="center" vertical="center"/>
    </xf>
    <xf numFmtId="0" fontId="189" fillId="0" borderId="0" xfId="7" applyFont="1" applyAlignment="1">
      <alignment horizontal="center" vertical="center"/>
    </xf>
    <xf numFmtId="0" fontId="216" fillId="0" borderId="0" xfId="7" applyFont="1" applyAlignment="1">
      <alignment horizontal="center" vertical="center"/>
    </xf>
    <xf numFmtId="0" fontId="216" fillId="0" borderId="0" xfId="7" applyFont="1">
      <alignment vertical="center"/>
    </xf>
    <xf numFmtId="0" fontId="183" fillId="0" borderId="0" xfId="7" applyFont="1">
      <alignment vertical="center"/>
    </xf>
    <xf numFmtId="0" fontId="217" fillId="0" borderId="10" xfId="7" applyFont="1" applyFill="1" applyBorder="1" applyAlignment="1">
      <alignment vertical="center"/>
    </xf>
    <xf numFmtId="0" fontId="217" fillId="0" borderId="2" xfId="7" applyFont="1" applyFill="1" applyBorder="1" applyAlignment="1">
      <alignment horizontal="center" vertical="center"/>
    </xf>
    <xf numFmtId="0" fontId="217" fillId="0" borderId="5" xfId="7" applyFont="1" applyFill="1" applyBorder="1" applyAlignment="1">
      <alignment horizontal="center" vertical="center"/>
    </xf>
    <xf numFmtId="0" fontId="217" fillId="0" borderId="10" xfId="7" applyFont="1" applyFill="1" applyBorder="1" applyAlignment="1">
      <alignment horizontal="center" vertical="center"/>
    </xf>
    <xf numFmtId="183" fontId="217" fillId="0" borderId="10" xfId="7" applyNumberFormat="1" applyFont="1" applyFill="1" applyBorder="1" applyAlignment="1">
      <alignment horizontal="center" vertical="center"/>
    </xf>
    <xf numFmtId="0" fontId="183" fillId="0" borderId="0" xfId="7" applyFont="1" applyFill="1">
      <alignment vertical="center"/>
    </xf>
    <xf numFmtId="0" fontId="218" fillId="0" borderId="2" xfId="7" applyFont="1" applyFill="1" applyBorder="1" applyAlignment="1">
      <alignment vertical="center"/>
    </xf>
    <xf numFmtId="0" fontId="217" fillId="0" borderId="2" xfId="7" applyFont="1" applyBorder="1" applyAlignment="1">
      <alignment horizontal="right" vertical="center"/>
    </xf>
    <xf numFmtId="0" fontId="217" fillId="0" borderId="2" xfId="7" applyFont="1" applyFill="1" applyBorder="1" applyAlignment="1">
      <alignment horizontal="right" vertical="center"/>
    </xf>
    <xf numFmtId="0" fontId="189" fillId="0" borderId="0" xfId="7" applyFont="1">
      <alignment vertical="center"/>
    </xf>
    <xf numFmtId="0" fontId="189" fillId="0" borderId="2" xfId="7" applyFont="1" applyBorder="1">
      <alignment vertical="center"/>
    </xf>
    <xf numFmtId="183" fontId="217" fillId="0" borderId="2" xfId="7" applyNumberFormat="1" applyFont="1" applyFill="1" applyBorder="1" applyAlignment="1">
      <alignment horizontal="right" vertical="center"/>
    </xf>
    <xf numFmtId="183" fontId="217" fillId="0" borderId="2" xfId="0" applyNumberFormat="1" applyFont="1" applyFill="1" applyBorder="1" applyAlignment="1">
      <alignment horizontal="right" vertical="center"/>
    </xf>
    <xf numFmtId="14" fontId="189" fillId="0" borderId="2" xfId="7" applyNumberFormat="1" applyFont="1" applyBorder="1">
      <alignment vertical="center"/>
    </xf>
    <xf numFmtId="0" fontId="219" fillId="0" borderId="2" xfId="7" applyFont="1" applyBorder="1">
      <alignment vertical="center"/>
    </xf>
    <xf numFmtId="183" fontId="219" fillId="0" borderId="2" xfId="0" applyNumberFormat="1" applyFont="1" applyFill="1" applyBorder="1" applyAlignment="1">
      <alignment horizontal="right" vertical="center"/>
    </xf>
    <xf numFmtId="14" fontId="183" fillId="0" borderId="0" xfId="7" applyNumberFormat="1" applyFont="1">
      <alignment vertical="center"/>
    </xf>
    <xf numFmtId="0" fontId="155" fillId="5" borderId="2" xfId="0" applyFont="1" applyFill="1" applyBorder="1" applyAlignment="1" applyProtection="1">
      <alignment horizontal="left" vertical="center" wrapText="1"/>
      <protection locked="0"/>
    </xf>
    <xf numFmtId="0" fontId="85" fillId="5" borderId="2" xfId="0" applyFont="1" applyFill="1" applyBorder="1" applyAlignment="1" applyProtection="1">
      <alignment horizontal="center" vertical="center" wrapText="1"/>
    </xf>
    <xf numFmtId="176" fontId="79" fillId="0" borderId="2" xfId="0" applyNumberFormat="1" applyFont="1" applyFill="1" applyBorder="1" applyAlignment="1" applyProtection="1">
      <alignment horizontal="center" vertical="center" wrapText="1"/>
      <protection locked="0"/>
    </xf>
    <xf numFmtId="0" fontId="84" fillId="5" borderId="21" xfId="0" applyFont="1" applyFill="1" applyBorder="1" applyProtection="1">
      <alignment vertical="center"/>
    </xf>
    <xf numFmtId="0" fontId="84" fillId="5" borderId="0" xfId="0" applyFont="1" applyFill="1" applyAlignment="1" applyProtection="1">
      <alignment vertical="center"/>
      <protection locked="0"/>
    </xf>
    <xf numFmtId="0" fontId="155" fillId="5" borderId="0" xfId="0" applyFont="1" applyFill="1" applyAlignment="1" applyProtection="1">
      <alignment vertical="center"/>
      <protection locked="0"/>
    </xf>
    <xf numFmtId="0" fontId="152" fillId="5" borderId="0" xfId="0" applyFont="1" applyFill="1" applyAlignment="1" applyProtection="1">
      <alignment horizontal="center" vertical="center"/>
      <protection locked="0"/>
    </xf>
    <xf numFmtId="0" fontId="152" fillId="5" borderId="0" xfId="0" applyFont="1" applyFill="1" applyAlignment="1" applyProtection="1">
      <alignment horizontal="left" vertical="center"/>
      <protection locked="0"/>
    </xf>
    <xf numFmtId="0" fontId="152" fillId="0" borderId="2" xfId="0"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left" vertical="center" wrapText="1"/>
      <protection locked="0"/>
    </xf>
    <xf numFmtId="0" fontId="152" fillId="0" borderId="12" xfId="0" applyNumberFormat="1" applyFont="1" applyFill="1" applyBorder="1" applyAlignment="1" applyProtection="1">
      <alignment horizontal="center" vertical="center" wrapText="1"/>
      <protection locked="0"/>
    </xf>
    <xf numFmtId="0" fontId="220" fillId="2" borderId="14" xfId="0" applyFont="1" applyFill="1" applyBorder="1" applyAlignment="1" applyProtection="1">
      <alignment vertical="center"/>
      <protection locked="0"/>
    </xf>
    <xf numFmtId="181" fontId="88" fillId="0" borderId="12" xfId="0" applyNumberFormat="1" applyFont="1" applyFill="1" applyBorder="1" applyAlignment="1" applyProtection="1">
      <alignment horizontal="center" vertical="center"/>
      <protection locked="0"/>
    </xf>
    <xf numFmtId="49" fontId="88" fillId="5" borderId="53" xfId="0" applyNumberFormat="1" applyFont="1" applyFill="1" applyBorder="1" applyAlignment="1" applyProtection="1">
      <alignment vertical="center"/>
    </xf>
    <xf numFmtId="0" fontId="88" fillId="5" borderId="27" xfId="0" applyFont="1" applyFill="1" applyBorder="1" applyAlignment="1" applyProtection="1">
      <alignment vertical="center" wrapText="1"/>
    </xf>
    <xf numFmtId="0" fontId="88" fillId="5" borderId="27" xfId="0" applyFont="1" applyFill="1" applyBorder="1" applyAlignment="1" applyProtection="1">
      <alignment horizontal="center" vertical="center"/>
    </xf>
    <xf numFmtId="0" fontId="79" fillId="5" borderId="27" xfId="0" applyFont="1" applyFill="1" applyBorder="1" applyAlignment="1" applyProtection="1">
      <alignment vertical="center"/>
    </xf>
    <xf numFmtId="0" fontId="52" fillId="5" borderId="6" xfId="0" applyFont="1" applyFill="1" applyBorder="1" applyAlignment="1" applyProtection="1">
      <alignment horizontal="left" vertical="center"/>
    </xf>
    <xf numFmtId="0" fontId="88" fillId="0" borderId="7" xfId="0" applyFont="1" applyFill="1" applyBorder="1" applyAlignment="1" applyProtection="1">
      <alignment horizontal="center" vertical="center"/>
      <protection locked="0"/>
    </xf>
    <xf numFmtId="0" fontId="221" fillId="8" borderId="36" xfId="0" applyFont="1" applyFill="1" applyBorder="1" applyAlignment="1" applyProtection="1">
      <alignment vertical="center"/>
      <protection locked="0"/>
    </xf>
    <xf numFmtId="0" fontId="109" fillId="8" borderId="37" xfId="0" applyFont="1" applyFill="1" applyBorder="1" applyAlignment="1" applyProtection="1">
      <alignment vertical="center"/>
      <protection locked="0"/>
    </xf>
    <xf numFmtId="0" fontId="109" fillId="8" borderId="38" xfId="0" applyFont="1" applyFill="1" applyBorder="1" applyAlignment="1" applyProtection="1">
      <alignment horizontal="left" vertical="center"/>
      <protection locked="0"/>
    </xf>
    <xf numFmtId="0" fontId="157" fillId="5" borderId="82" xfId="0" applyFont="1" applyFill="1" applyBorder="1" applyAlignment="1" applyProtection="1">
      <alignment horizontal="center" vertical="center"/>
      <protection locked="0"/>
    </xf>
    <xf numFmtId="0" fontId="135" fillId="5" borderId="1" xfId="0" applyFont="1" applyFill="1" applyBorder="1" applyAlignment="1" applyProtection="1">
      <alignment vertical="center"/>
      <protection locked="0"/>
    </xf>
    <xf numFmtId="0" fontId="135" fillId="5" borderId="11" xfId="0" applyFont="1" applyFill="1" applyBorder="1" applyAlignment="1" applyProtection="1">
      <alignment vertical="center"/>
      <protection locked="0"/>
    </xf>
    <xf numFmtId="49" fontId="135" fillId="5" borderId="11" xfId="0" applyNumberFormat="1" applyFont="1" applyFill="1" applyBorder="1" applyAlignment="1" applyProtection="1">
      <alignment horizontal="left" vertical="center"/>
      <protection locked="0"/>
    </xf>
    <xf numFmtId="0" fontId="135" fillId="5" borderId="43" xfId="0" applyFont="1" applyFill="1" applyBorder="1" applyAlignment="1" applyProtection="1">
      <alignment vertical="center"/>
      <protection locked="0"/>
    </xf>
    <xf numFmtId="0" fontId="135" fillId="5" borderId="33" xfId="0" applyFont="1" applyFill="1" applyBorder="1" applyAlignment="1" applyProtection="1">
      <alignment vertical="center" wrapText="1"/>
      <protection locked="0"/>
    </xf>
    <xf numFmtId="0" fontId="135" fillId="6" borderId="7" xfId="0" applyFont="1" applyFill="1" applyBorder="1" applyAlignment="1" applyProtection="1">
      <alignment horizontal="center" vertical="center"/>
      <protection locked="0"/>
    </xf>
    <xf numFmtId="0" fontId="135" fillId="5" borderId="1" xfId="0" applyFont="1" applyFill="1" applyBorder="1" applyAlignment="1" applyProtection="1">
      <alignment horizontal="left" vertical="center"/>
      <protection locked="0"/>
    </xf>
    <xf numFmtId="0" fontId="109" fillId="5" borderId="7" xfId="0" applyFont="1" applyFill="1" applyBorder="1" applyAlignment="1" applyProtection="1">
      <alignment horizontal="center" vertical="center"/>
      <protection locked="0"/>
    </xf>
    <xf numFmtId="0" fontId="151" fillId="6" borderId="12" xfId="0" applyFont="1" applyFill="1" applyBorder="1" applyAlignment="1" applyProtection="1">
      <alignment horizontal="center"/>
      <protection locked="0"/>
    </xf>
    <xf numFmtId="0" fontId="151" fillId="5" borderId="11" xfId="0" applyFont="1" applyFill="1" applyBorder="1" applyAlignment="1" applyProtection="1">
      <alignment horizontal="left"/>
      <protection locked="0"/>
    </xf>
    <xf numFmtId="0" fontId="109" fillId="5" borderId="12" xfId="0" applyFont="1" applyFill="1" applyBorder="1" applyAlignment="1" applyProtection="1">
      <alignment horizontal="center" vertical="center"/>
      <protection locked="0"/>
    </xf>
    <xf numFmtId="0" fontId="109" fillId="8" borderId="12" xfId="0" applyFont="1" applyFill="1" applyBorder="1" applyAlignment="1" applyProtection="1">
      <alignment horizontal="center" vertical="center"/>
      <protection locked="0"/>
    </xf>
    <xf numFmtId="0" fontId="162" fillId="5" borderId="11" xfId="0" applyFont="1" applyFill="1" applyBorder="1" applyAlignment="1" applyProtection="1">
      <alignment horizontal="left"/>
      <protection locked="0"/>
    </xf>
    <xf numFmtId="0" fontId="109" fillId="0" borderId="12" xfId="0" applyFont="1" applyFill="1" applyBorder="1" applyAlignment="1" applyProtection="1">
      <alignment horizontal="center" vertical="center"/>
      <protection locked="0"/>
    </xf>
    <xf numFmtId="0" fontId="179" fillId="5" borderId="12" xfId="0" applyFont="1" applyFill="1" applyBorder="1" applyAlignment="1" applyProtection="1">
      <alignment horizontal="center"/>
      <protection locked="0"/>
    </xf>
    <xf numFmtId="0" fontId="109" fillId="5" borderId="12" xfId="0" applyNumberFormat="1" applyFont="1" applyFill="1" applyBorder="1" applyAlignment="1" applyProtection="1">
      <alignment horizontal="center" vertical="center"/>
      <protection locked="0"/>
    </xf>
    <xf numFmtId="192" fontId="109" fillId="5" borderId="12" xfId="0" applyNumberFormat="1" applyFont="1" applyFill="1" applyBorder="1" applyAlignment="1" applyProtection="1">
      <alignment horizontal="center" vertical="center"/>
      <protection locked="0"/>
    </xf>
    <xf numFmtId="10" fontId="109" fillId="0" borderId="46" xfId="0" applyNumberFormat="1" applyFont="1" applyFill="1" applyBorder="1" applyAlignment="1" applyProtection="1">
      <alignment horizontal="center" vertical="center"/>
      <protection locked="0"/>
    </xf>
    <xf numFmtId="0" fontId="109" fillId="5" borderId="83" xfId="0" applyFont="1" applyFill="1" applyBorder="1" applyAlignment="1" applyProtection="1">
      <alignment horizontal="center" vertical="center"/>
      <protection locked="0"/>
    </xf>
    <xf numFmtId="0" fontId="222" fillId="5" borderId="26" xfId="0" applyFont="1" applyFill="1" applyBorder="1" applyAlignment="1" applyProtection="1">
      <alignment horizontal="center" vertical="center"/>
      <protection locked="0"/>
    </xf>
    <xf numFmtId="0" fontId="109" fillId="6" borderId="57" xfId="0" applyFont="1" applyFill="1" applyBorder="1" applyAlignment="1" applyProtection="1">
      <alignment horizontal="center" vertical="center"/>
      <protection locked="0"/>
    </xf>
    <xf numFmtId="0" fontId="135" fillId="5" borderId="50" xfId="0" applyFont="1" applyFill="1" applyBorder="1" applyAlignment="1" applyProtection="1">
      <alignment vertical="center" wrapText="1"/>
      <protection locked="0"/>
    </xf>
    <xf numFmtId="0" fontId="135" fillId="5" borderId="11" xfId="0" applyFont="1" applyFill="1" applyBorder="1" applyAlignment="1" applyProtection="1">
      <alignment vertical="center" wrapText="1"/>
      <protection locked="0"/>
    </xf>
    <xf numFmtId="49" fontId="222" fillId="5" borderId="43" xfId="0" applyNumberFormat="1" applyFont="1" applyFill="1" applyBorder="1" applyAlignment="1" applyProtection="1">
      <alignment horizontal="left" vertical="center"/>
      <protection locked="0"/>
    </xf>
    <xf numFmtId="0" fontId="109" fillId="5" borderId="5" xfId="0" applyFont="1" applyFill="1" applyBorder="1" applyAlignment="1" applyProtection="1">
      <alignment horizontal="center" vertical="center"/>
      <protection locked="0"/>
    </xf>
    <xf numFmtId="0" fontId="109" fillId="5" borderId="46" xfId="0" applyFont="1" applyFill="1" applyBorder="1" applyAlignment="1" applyProtection="1">
      <alignment horizontal="center" vertical="center"/>
      <protection locked="0"/>
    </xf>
    <xf numFmtId="0" fontId="222" fillId="5" borderId="43" xfId="0" applyFont="1" applyFill="1" applyBorder="1" applyAlignment="1" applyProtection="1">
      <alignment horizontal="center" vertical="center"/>
      <protection locked="0"/>
    </xf>
    <xf numFmtId="0" fontId="135" fillId="5" borderId="2" xfId="0" applyFont="1" applyFill="1" applyBorder="1" applyAlignment="1" applyProtection="1">
      <protection locked="0"/>
    </xf>
    <xf numFmtId="0" fontId="135" fillId="5" borderId="2" xfId="0" applyFont="1" applyFill="1" applyBorder="1" applyAlignment="1" applyProtection="1">
      <alignment horizontal="center"/>
      <protection locked="0"/>
    </xf>
    <xf numFmtId="49" fontId="35" fillId="5" borderId="0" xfId="0" applyNumberFormat="1" applyFont="1" applyFill="1" applyBorder="1" applyAlignment="1" applyProtection="1">
      <alignment horizontal="center"/>
    </xf>
    <xf numFmtId="0" fontId="109" fillId="5" borderId="0" xfId="0" applyNumberFormat="1" applyFont="1" applyFill="1" applyBorder="1" applyAlignment="1" applyProtection="1">
      <alignment horizontal="center"/>
    </xf>
    <xf numFmtId="181" fontId="74" fillId="0" borderId="5" xfId="0" applyNumberFormat="1" applyFont="1" applyBorder="1" applyAlignment="1" applyProtection="1">
      <alignment horizontal="center" vertical="center"/>
      <protection locked="0"/>
    </xf>
    <xf numFmtId="0" fontId="20" fillId="5" borderId="2" xfId="0" applyFont="1" applyFill="1" applyBorder="1" applyAlignment="1" applyProtection="1">
      <alignment horizontal="center" vertical="center" wrapText="1"/>
      <protection locked="0"/>
    </xf>
    <xf numFmtId="0" fontId="74" fillId="6" borderId="2" xfId="0" applyFont="1" applyFill="1" applyBorder="1" applyAlignment="1" applyProtection="1">
      <alignment vertical="center"/>
      <protection locked="0"/>
    </xf>
    <xf numFmtId="0" fontId="101"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223" fillId="5" borderId="0" xfId="0" applyFont="1" applyFill="1" applyAlignment="1" applyProtection="1">
      <alignment vertical="center"/>
    </xf>
    <xf numFmtId="0" fontId="151" fillId="5" borderId="82" xfId="0" applyFont="1" applyFill="1" applyBorder="1" applyAlignment="1" applyProtection="1">
      <alignment vertical="center" wrapText="1"/>
    </xf>
    <xf numFmtId="0" fontId="151" fillId="5" borderId="38" xfId="0" applyFont="1" applyFill="1" applyBorder="1" applyAlignment="1" applyProtection="1">
      <alignment vertical="center"/>
    </xf>
    <xf numFmtId="0" fontId="151"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1"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5" fillId="5" borderId="0" xfId="0" applyFont="1" applyFill="1" applyAlignment="1" applyProtection="1">
      <alignment vertical="center"/>
    </xf>
    <xf numFmtId="192" fontId="179"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228" fillId="5" borderId="66" xfId="0" applyFont="1" applyFill="1" applyBorder="1" applyAlignment="1" applyProtection="1">
      <alignment vertical="center"/>
    </xf>
    <xf numFmtId="0" fontId="167" fillId="5" borderId="2" xfId="3" applyNumberFormat="1" applyFont="1" applyFill="1" applyBorder="1" applyAlignment="1" applyProtection="1">
      <alignment horizontal="center" vertical="center" wrapText="1"/>
    </xf>
    <xf numFmtId="0" fontId="167" fillId="5" borderId="10" xfId="3" applyNumberFormat="1" applyFont="1" applyFill="1" applyBorder="1" applyAlignment="1" applyProtection="1">
      <alignment horizontal="center" vertical="center" wrapText="1"/>
    </xf>
    <xf numFmtId="0" fontId="167" fillId="5" borderId="44" xfId="3" applyNumberFormat="1" applyFont="1" applyFill="1" applyBorder="1" applyAlignment="1" applyProtection="1">
      <alignment horizontal="center" vertical="center" wrapText="1"/>
    </xf>
    <xf numFmtId="49" fontId="167" fillId="5" borderId="2" xfId="3" applyNumberFormat="1" applyFont="1" applyFill="1" applyBorder="1" applyAlignment="1" applyProtection="1">
      <alignment horizontal="center" vertical="center" wrapText="1"/>
    </xf>
    <xf numFmtId="49" fontId="167" fillId="5" borderId="55" xfId="3" applyNumberFormat="1" applyFont="1" applyFill="1" applyBorder="1" applyAlignment="1" applyProtection="1">
      <alignment horizontal="center" vertical="center" wrapText="1"/>
    </xf>
    <xf numFmtId="49" fontId="167" fillId="5" borderId="44" xfId="3" applyNumberFormat="1" applyFont="1" applyFill="1" applyBorder="1" applyAlignment="1" applyProtection="1">
      <alignment horizontal="center" vertical="center" wrapText="1"/>
    </xf>
    <xf numFmtId="0" fontId="214" fillId="5" borderId="2" xfId="0" applyFont="1" applyFill="1" applyBorder="1" applyAlignment="1" applyProtection="1">
      <alignment horizontal="center" vertical="center" wrapText="1"/>
    </xf>
    <xf numFmtId="10" fontId="152" fillId="0" borderId="2" xfId="3" applyNumberFormat="1" applyFont="1" applyBorder="1" applyAlignment="1" applyProtection="1">
      <alignment horizontal="center" vertical="center"/>
      <protection locked="0"/>
    </xf>
    <xf numFmtId="182" fontId="152" fillId="5" borderId="2" xfId="3" applyNumberFormat="1" applyFont="1" applyFill="1" applyBorder="1" applyAlignment="1" applyProtection="1">
      <alignment horizontal="center" vertical="center"/>
    </xf>
    <xf numFmtId="10" fontId="155" fillId="5" borderId="2" xfId="3" applyNumberFormat="1" applyFont="1" applyFill="1" applyBorder="1" applyAlignment="1" applyProtection="1">
      <alignment horizontal="center" vertical="center" wrapText="1"/>
    </xf>
    <xf numFmtId="10" fontId="152" fillId="0" borderId="2" xfId="0" applyNumberFormat="1" applyFont="1" applyBorder="1" applyAlignment="1" applyProtection="1">
      <alignment horizontal="center" vertical="center"/>
      <protection locked="0"/>
    </xf>
    <xf numFmtId="0" fontId="207" fillId="5" borderId="0" xfId="3" applyFont="1" applyFill="1" applyProtection="1">
      <alignment vertical="center"/>
    </xf>
    <xf numFmtId="0" fontId="148" fillId="5" borderId="0" xfId="3" applyNumberFormat="1" applyFill="1" applyAlignment="1" applyProtection="1">
      <alignment horizontal="center" vertical="center" wrapText="1"/>
    </xf>
    <xf numFmtId="0" fontId="162" fillId="5" borderId="0" xfId="3" applyFont="1" applyFill="1" applyProtection="1">
      <alignment vertical="center"/>
    </xf>
    <xf numFmtId="0" fontId="152" fillId="5" borderId="0" xfId="3" applyFont="1" applyFill="1" applyProtection="1">
      <alignment vertical="center"/>
    </xf>
    <xf numFmtId="0" fontId="152" fillId="5" borderId="0" xfId="3" applyFont="1" applyFill="1" applyAlignment="1" applyProtection="1">
      <alignment horizontal="center" vertical="center"/>
    </xf>
    <xf numFmtId="0" fontId="207" fillId="5" borderId="59" xfId="3" applyFont="1" applyFill="1" applyBorder="1" applyAlignment="1" applyProtection="1">
      <alignment vertical="center"/>
    </xf>
    <xf numFmtId="0" fontId="149" fillId="5" borderId="28" xfId="3" applyNumberFormat="1" applyFont="1" applyFill="1" applyBorder="1" applyAlignment="1" applyProtection="1">
      <alignment horizontal="center" vertical="center" wrapText="1"/>
    </xf>
    <xf numFmtId="0" fontId="162" fillId="5" borderId="28" xfId="3" applyFont="1" applyFill="1" applyBorder="1" applyProtection="1">
      <alignment vertical="center"/>
    </xf>
    <xf numFmtId="0" fontId="208" fillId="5" borderId="30" xfId="3" applyFont="1" applyFill="1" applyBorder="1" applyAlignment="1" applyProtection="1">
      <alignment vertical="center"/>
    </xf>
    <xf numFmtId="0" fontId="208" fillId="5" borderId="57" xfId="3" applyFont="1" applyFill="1" applyBorder="1" applyAlignment="1" applyProtection="1">
      <alignment horizontal="center" vertical="center"/>
    </xf>
    <xf numFmtId="0" fontId="207" fillId="5" borderId="0" xfId="3" applyFont="1" applyFill="1" applyBorder="1" applyAlignment="1" applyProtection="1">
      <alignment vertical="center"/>
    </xf>
    <xf numFmtId="0" fontId="166" fillId="5" borderId="2" xfId="3" applyFont="1" applyFill="1" applyBorder="1" applyAlignment="1" applyProtection="1">
      <alignment horizontal="center" vertical="center" wrapText="1"/>
    </xf>
    <xf numFmtId="0" fontId="155" fillId="5" borderId="2" xfId="3" applyFont="1" applyFill="1" applyBorder="1" applyAlignment="1" applyProtection="1">
      <alignment horizontal="center" vertical="center" wrapText="1"/>
    </xf>
    <xf numFmtId="0" fontId="89" fillId="5" borderId="12" xfId="3" applyFont="1" applyFill="1" applyBorder="1" applyAlignment="1" applyProtection="1">
      <alignment horizontal="center" vertical="center" wrapText="1"/>
    </xf>
    <xf numFmtId="0" fontId="214" fillId="5" borderId="13" xfId="0" applyFont="1" applyFill="1" applyBorder="1" applyAlignment="1" applyProtection="1">
      <alignment horizontal="center" vertical="center" wrapText="1"/>
    </xf>
    <xf numFmtId="0" fontId="74" fillId="5" borderId="2" xfId="3" applyNumberFormat="1" applyFont="1" applyFill="1" applyBorder="1" applyAlignment="1" applyProtection="1">
      <alignment horizontal="center" vertical="center" wrapText="1"/>
    </xf>
    <xf numFmtId="9" fontId="155" fillId="5" borderId="2" xfId="3" applyNumberFormat="1" applyFont="1" applyFill="1" applyBorder="1" applyAlignment="1" applyProtection="1">
      <alignment horizontal="center" vertical="center" wrapText="1"/>
    </xf>
    <xf numFmtId="10" fontId="89" fillId="5" borderId="25"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horizontal="center" vertical="center" wrapText="1"/>
    </xf>
    <xf numFmtId="10" fontId="87" fillId="5" borderId="2" xfId="3" applyNumberFormat="1" applyFont="1" applyFill="1" applyBorder="1" applyAlignment="1" applyProtection="1">
      <alignment horizontal="center" vertical="center" wrapText="1"/>
    </xf>
    <xf numFmtId="10" fontId="89" fillId="5" borderId="52" xfId="3" applyNumberFormat="1" applyFont="1" applyFill="1" applyBorder="1" applyAlignment="1" applyProtection="1">
      <alignment vertical="center" wrapText="1"/>
    </xf>
    <xf numFmtId="0" fontId="167" fillId="5" borderId="64"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9" fontId="155" fillId="5" borderId="44" xfId="3" applyNumberFormat="1" applyFont="1" applyFill="1" applyBorder="1" applyAlignment="1" applyProtection="1">
      <alignment horizontal="center" vertical="center" wrapText="1"/>
    </xf>
    <xf numFmtId="10" fontId="89" fillId="5" borderId="69" xfId="3" applyNumberFormat="1" applyFont="1" applyFill="1" applyBorder="1" applyAlignment="1" applyProtection="1">
      <alignment vertical="center" wrapText="1"/>
    </xf>
    <xf numFmtId="0" fontId="209" fillId="5" borderId="30" xfId="3" applyFont="1" applyFill="1" applyBorder="1" applyAlignment="1" applyProtection="1">
      <alignment vertical="center"/>
    </xf>
    <xf numFmtId="10" fontId="89" fillId="5" borderId="52" xfId="3" applyNumberFormat="1" applyFont="1" applyFill="1" applyBorder="1" applyAlignment="1" applyProtection="1">
      <alignment horizontal="center" vertical="center" wrapText="1"/>
    </xf>
    <xf numFmtId="10" fontId="130" fillId="5" borderId="0" xfId="3" applyNumberFormat="1" applyFont="1" applyFill="1" applyBorder="1" applyAlignment="1" applyProtection="1">
      <alignment vertical="center" wrapText="1"/>
    </xf>
    <xf numFmtId="10" fontId="89" fillId="5" borderId="69" xfId="3" applyNumberFormat="1" applyFont="1" applyFill="1" applyBorder="1" applyAlignment="1" applyProtection="1">
      <alignment horizontal="center" vertical="center" wrapText="1"/>
    </xf>
    <xf numFmtId="0" fontId="167" fillId="5" borderId="0" xfId="3" applyFont="1" applyFill="1" applyAlignment="1" applyProtection="1">
      <alignment horizontal="left" vertical="center"/>
    </xf>
    <xf numFmtId="0" fontId="167" fillId="5" borderId="2" xfId="3" applyFont="1" applyFill="1" applyBorder="1" applyAlignment="1" applyProtection="1">
      <alignment horizontal="center" vertical="center"/>
    </xf>
    <xf numFmtId="0" fontId="172" fillId="5" borderId="0" xfId="3" applyFont="1" applyFill="1" applyAlignment="1" applyProtection="1">
      <alignment horizontal="center" vertical="center"/>
    </xf>
    <xf numFmtId="179" fontId="161" fillId="5" borderId="3" xfId="5" applyNumberFormat="1" applyFont="1" applyFill="1" applyBorder="1" applyAlignment="1" applyProtection="1">
      <alignment horizontal="center" vertical="center" wrapText="1"/>
    </xf>
    <xf numFmtId="0" fontId="43" fillId="0" borderId="2" xfId="3" applyFont="1" applyFill="1" applyBorder="1" applyAlignment="1" applyProtection="1">
      <alignment vertical="center" wrapText="1"/>
      <protection locked="0"/>
    </xf>
    <xf numFmtId="0" fontId="100" fillId="5" borderId="2" xfId="3" applyFont="1" applyFill="1" applyBorder="1" applyAlignment="1" applyProtection="1">
      <alignment horizontal="right" vertical="center" wrapText="1"/>
    </xf>
    <xf numFmtId="0" fontId="81" fillId="5" borderId="13"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1" fillId="5" borderId="0" xfId="0" applyFont="1" applyFill="1" applyBorder="1" applyAlignment="1" applyProtection="1">
      <alignment vertical="center"/>
    </xf>
    <xf numFmtId="0" fontId="81"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2" fillId="5" borderId="2" xfId="3" applyNumberFormat="1" applyFont="1" applyFill="1" applyBorder="1" applyAlignment="1" applyProtection="1">
      <alignment horizontal="center" vertical="center"/>
    </xf>
    <xf numFmtId="10" fontId="152" fillId="5" borderId="2" xfId="0" applyNumberFormat="1" applyFont="1" applyFill="1" applyBorder="1" applyAlignment="1" applyProtection="1">
      <alignment horizontal="center" vertical="center"/>
    </xf>
    <xf numFmtId="0" fontId="174" fillId="5" borderId="31" xfId="0" applyFont="1" applyFill="1" applyBorder="1" applyAlignment="1" applyProtection="1">
      <alignment horizontal="left" vertical="center"/>
    </xf>
    <xf numFmtId="0" fontId="79" fillId="5" borderId="8" xfId="0" applyFont="1" applyFill="1" applyBorder="1" applyProtection="1">
      <alignment vertical="center"/>
      <protection locked="0"/>
    </xf>
    <xf numFmtId="0" fontId="79" fillId="5" borderId="16" xfId="0" applyFont="1" applyFill="1" applyBorder="1" applyProtection="1">
      <alignment vertical="center"/>
      <protection locked="0"/>
    </xf>
    <xf numFmtId="0" fontId="79" fillId="5" borderId="0" xfId="0" applyFont="1" applyFill="1" applyBorder="1" applyProtection="1">
      <alignment vertical="center"/>
      <protection locked="0"/>
    </xf>
    <xf numFmtId="0" fontId="79" fillId="5" borderId="65" xfId="0" applyFont="1" applyFill="1" applyBorder="1" applyProtection="1">
      <alignment vertical="center"/>
      <protection locked="0"/>
    </xf>
    <xf numFmtId="0" fontId="72" fillId="5" borderId="64" xfId="0" applyFont="1" applyFill="1" applyBorder="1" applyProtection="1">
      <alignment vertical="center"/>
      <protection locked="0"/>
    </xf>
    <xf numFmtId="49" fontId="98" fillId="5" borderId="11" xfId="2" applyNumberFormat="1" applyFont="1" applyFill="1" applyBorder="1" applyAlignment="1" applyProtection="1">
      <alignment horizontal="left" vertical="center"/>
    </xf>
    <xf numFmtId="49" fontId="98" fillId="5" borderId="11" xfId="0" applyNumberFormat="1" applyFont="1" applyFill="1" applyBorder="1" applyAlignment="1" applyProtection="1">
      <alignment horizontal="left" vertical="center"/>
    </xf>
    <xf numFmtId="49" fontId="98" fillId="5" borderId="43" xfId="2" applyNumberFormat="1" applyFont="1" applyFill="1" applyBorder="1" applyAlignment="1" applyProtection="1">
      <alignment horizontal="left" vertical="center"/>
    </xf>
    <xf numFmtId="0" fontId="63" fillId="5" borderId="5" xfId="2" applyFont="1" applyFill="1" applyBorder="1" applyAlignment="1" applyProtection="1">
      <alignment vertical="center"/>
    </xf>
    <xf numFmtId="177" fontId="98" fillId="0" borderId="2" xfId="2" applyNumberFormat="1" applyFont="1" applyFill="1" applyBorder="1" applyAlignment="1" applyProtection="1">
      <alignment horizontal="center" vertical="center"/>
      <protection locked="0"/>
    </xf>
    <xf numFmtId="10" fontId="89" fillId="5" borderId="5" xfId="2" applyNumberFormat="1" applyFont="1" applyFill="1" applyBorder="1" applyAlignment="1" applyProtection="1">
      <alignment horizontal="center" vertical="center"/>
    </xf>
    <xf numFmtId="0" fontId="230" fillId="5" borderId="5" xfId="2" applyFont="1" applyFill="1" applyBorder="1" applyAlignment="1" applyProtection="1">
      <alignment vertical="center"/>
    </xf>
    <xf numFmtId="49" fontId="229" fillId="5" borderId="11" xfId="2" applyNumberFormat="1" applyFont="1" applyFill="1" applyBorder="1" applyAlignment="1" applyProtection="1">
      <alignment horizontal="left" vertical="center"/>
    </xf>
    <xf numFmtId="0" fontId="130" fillId="5" borderId="12" xfId="2" applyFont="1" applyFill="1" applyBorder="1" applyAlignment="1" applyProtection="1">
      <alignment vertical="center" wrapText="1"/>
    </xf>
    <xf numFmtId="0" fontId="130" fillId="5" borderId="12" xfId="2" applyFont="1" applyFill="1" applyBorder="1" applyAlignment="1" applyProtection="1">
      <alignment horizontal="left" vertical="center"/>
    </xf>
    <xf numFmtId="0" fontId="45" fillId="6" borderId="12" xfId="2" applyFont="1" applyFill="1" applyBorder="1" applyAlignment="1" applyProtection="1">
      <alignment vertical="center"/>
      <protection locked="0"/>
    </xf>
    <xf numFmtId="10" fontId="79" fillId="5" borderId="25" xfId="0" applyNumberFormat="1" applyFont="1" applyFill="1" applyBorder="1" applyAlignment="1" applyProtection="1">
      <alignment horizontal="center" vertical="center"/>
    </xf>
    <xf numFmtId="0" fontId="232" fillId="8" borderId="0" xfId="0" applyFont="1" applyFill="1" applyAlignment="1" applyProtection="1">
      <alignment vertical="center"/>
      <protection locked="0"/>
    </xf>
    <xf numFmtId="0" fontId="159" fillId="5" borderId="64" xfId="0" applyFont="1" applyFill="1" applyBorder="1" applyAlignment="1" applyProtection="1">
      <alignment vertical="center"/>
    </xf>
    <xf numFmtId="0" fontId="51" fillId="5" borderId="45" xfId="0" applyFont="1" applyFill="1" applyBorder="1" applyAlignment="1" applyProtection="1"/>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20" fillId="5" borderId="22" xfId="0" applyFont="1" applyFill="1" applyBorder="1" applyAlignment="1" applyProtection="1">
      <alignment vertical="center" wrapText="1"/>
    </xf>
    <xf numFmtId="49" fontId="79" fillId="5" borderId="24" xfId="0" applyNumberFormat="1" applyFont="1" applyFill="1" applyBorder="1" applyAlignment="1" applyProtection="1">
      <alignment horizontal="center" vertical="center"/>
    </xf>
    <xf numFmtId="0" fontId="79" fillId="5" borderId="17" xfId="0" applyFont="1" applyFill="1" applyBorder="1" applyAlignment="1" applyProtection="1">
      <alignment horizontal="right" vertical="center"/>
    </xf>
    <xf numFmtId="0" fontId="79" fillId="5" borderId="63" xfId="0" applyFont="1" applyFill="1" applyBorder="1" applyAlignment="1" applyProtection="1">
      <alignment horizontal="center" vertical="center"/>
    </xf>
    <xf numFmtId="181" fontId="88" fillId="5" borderId="15" xfId="0" applyNumberFormat="1" applyFont="1" applyFill="1" applyBorder="1" applyAlignment="1" applyProtection="1">
      <alignment horizontal="center" vertical="center"/>
    </xf>
    <xf numFmtId="49" fontId="79"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34" fillId="5" borderId="2" xfId="0" applyFont="1" applyFill="1" applyBorder="1" applyAlignment="1" applyProtection="1">
      <alignment horizontal="right" vertical="center" wrapText="1"/>
    </xf>
    <xf numFmtId="0" fontId="129"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8" fillId="5" borderId="2" xfId="0" applyFont="1" applyFill="1" applyBorder="1" applyAlignment="1" applyProtection="1">
      <alignment horizontal="center" vertical="center"/>
      <protection locked="0"/>
    </xf>
    <xf numFmtId="49" fontId="79"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8" fillId="5" borderId="22" xfId="0" applyNumberFormat="1" applyFont="1" applyFill="1" applyBorder="1" applyAlignment="1" applyProtection="1">
      <alignment horizontal="left" vertical="center"/>
    </xf>
    <xf numFmtId="49" fontId="88" fillId="5" borderId="24" xfId="0" applyNumberFormat="1" applyFont="1" applyFill="1" applyBorder="1" applyAlignment="1" applyProtection="1">
      <alignment horizontal="left" vertical="center"/>
    </xf>
    <xf numFmtId="49" fontId="79" fillId="5" borderId="22" xfId="0" applyNumberFormat="1" applyFont="1" applyFill="1" applyBorder="1" applyAlignment="1" applyProtection="1">
      <alignment horizontal="center" vertical="center"/>
    </xf>
    <xf numFmtId="49" fontId="88" fillId="5" borderId="24" xfId="0" applyNumberFormat="1" applyFont="1" applyFill="1" applyBorder="1" applyAlignment="1" applyProtection="1">
      <alignment horizontal="center" vertical="center"/>
    </xf>
    <xf numFmtId="49" fontId="79" fillId="5" borderId="50" xfId="0" applyNumberFormat="1" applyFont="1" applyFill="1" applyBorder="1" applyAlignment="1" applyProtection="1">
      <alignment horizontal="right" vertical="center"/>
    </xf>
    <xf numFmtId="0" fontId="130" fillId="0" borderId="2" xfId="0" applyFont="1" applyFill="1" applyBorder="1" applyAlignment="1">
      <alignment horizontal="center" vertical="center"/>
    </xf>
    <xf numFmtId="177" fontId="130" fillId="0" borderId="12" xfId="0" applyNumberFormat="1" applyFont="1" applyFill="1" applyBorder="1" applyAlignment="1">
      <alignment horizontal="center" vertical="center"/>
    </xf>
    <xf numFmtId="0" fontId="204" fillId="0" borderId="2" xfId="0" applyFont="1" applyFill="1" applyBorder="1" applyAlignment="1">
      <alignment horizontal="center" vertical="center"/>
    </xf>
    <xf numFmtId="9" fontId="130" fillId="0" borderId="2" xfId="0" applyNumberFormat="1" applyFont="1" applyFill="1" applyBorder="1" applyAlignment="1">
      <alignment horizontal="center" vertical="center"/>
    </xf>
    <xf numFmtId="177" fontId="130" fillId="0" borderId="2" xfId="0" applyNumberFormat="1" applyFont="1" applyFill="1" applyBorder="1" applyAlignment="1">
      <alignment horizontal="center" vertical="center"/>
    </xf>
    <xf numFmtId="0" fontId="130" fillId="0" borderId="12" xfId="0" applyFont="1" applyFill="1" applyBorder="1" applyAlignment="1">
      <alignment horizontal="center" vertical="center"/>
    </xf>
    <xf numFmtId="0" fontId="238" fillId="0" borderId="2" xfId="0" applyFont="1" applyFill="1" applyBorder="1" applyAlignment="1">
      <alignment horizontal="center" vertical="center"/>
    </xf>
    <xf numFmtId="9" fontId="229" fillId="0" borderId="2" xfId="0" applyNumberFormat="1" applyFont="1" applyFill="1" applyBorder="1" applyAlignment="1">
      <alignment horizontal="center" vertical="center"/>
    </xf>
    <xf numFmtId="177" fontId="229" fillId="0" borderId="2" xfId="0" applyNumberFormat="1" applyFont="1" applyFill="1" applyBorder="1" applyAlignment="1">
      <alignment horizontal="center" vertical="center"/>
    </xf>
    <xf numFmtId="0" fontId="229" fillId="0" borderId="12" xfId="0" applyFont="1" applyFill="1" applyBorder="1" applyAlignment="1">
      <alignment horizontal="center" vertical="center"/>
    </xf>
    <xf numFmtId="0" fontId="35" fillId="0" borderId="2" xfId="0" applyFont="1" applyFill="1" applyBorder="1" applyAlignment="1">
      <alignment horizontal="center" vertical="center"/>
    </xf>
    <xf numFmtId="0" fontId="0" fillId="0" borderId="2" xfId="0" applyFill="1" applyBorder="1" applyAlignment="1">
      <alignment vertical="center"/>
    </xf>
    <xf numFmtId="0" fontId="238" fillId="0" borderId="12" xfId="0" applyFont="1" applyFill="1" applyBorder="1" applyAlignment="1">
      <alignment horizontal="center" vertical="center"/>
    </xf>
    <xf numFmtId="0" fontId="204" fillId="0" borderId="2" xfId="0" applyFont="1" applyFill="1" applyBorder="1" applyAlignment="1">
      <alignment horizontal="center" vertical="center" wrapText="1"/>
    </xf>
    <xf numFmtId="0" fontId="35" fillId="0" borderId="2" xfId="0" applyFont="1" applyFill="1" applyBorder="1" applyAlignment="1">
      <alignment vertical="center"/>
    </xf>
    <xf numFmtId="0" fontId="204" fillId="0" borderId="12" xfId="0" applyFont="1" applyFill="1" applyBorder="1" applyAlignment="1">
      <alignment horizontal="center" vertical="center"/>
    </xf>
    <xf numFmtId="9" fontId="238" fillId="0" borderId="2" xfId="0" applyNumberFormat="1" applyFont="1" applyFill="1" applyBorder="1" applyAlignment="1">
      <alignment horizontal="center" vertical="center"/>
    </xf>
    <xf numFmtId="0" fontId="204" fillId="0" borderId="2" xfId="0" applyFont="1" applyBorder="1" applyAlignment="1">
      <alignment horizontal="center" vertical="center"/>
    </xf>
    <xf numFmtId="9" fontId="204" fillId="0" borderId="2" xfId="0" applyNumberFormat="1" applyFont="1" applyBorder="1" applyAlignment="1">
      <alignment horizontal="center" vertical="center"/>
    </xf>
    <xf numFmtId="0" fontId="238" fillId="0" borderId="44" xfId="0" applyFont="1" applyFill="1" applyBorder="1" applyAlignment="1">
      <alignment horizontal="center" vertical="center"/>
    </xf>
    <xf numFmtId="9" fontId="238" fillId="0" borderId="44" xfId="0" applyNumberFormat="1" applyFont="1" applyFill="1" applyBorder="1" applyAlignment="1">
      <alignment horizontal="center" vertical="center"/>
    </xf>
    <xf numFmtId="177" fontId="238" fillId="0" borderId="44" xfId="0" applyNumberFormat="1" applyFont="1" applyFill="1" applyBorder="1" applyAlignment="1">
      <alignment horizontal="center" vertical="center"/>
    </xf>
    <xf numFmtId="0" fontId="229" fillId="0" borderId="46" xfId="0" applyFont="1" applyFill="1" applyBorder="1" applyAlignment="1">
      <alignment horizontal="center" vertical="center"/>
    </xf>
    <xf numFmtId="0" fontId="238" fillId="11" borderId="2" xfId="0" applyFont="1" applyFill="1" applyBorder="1" applyAlignment="1">
      <alignment vertical="center"/>
    </xf>
    <xf numFmtId="0" fontId="130" fillId="0" borderId="2" xfId="0" applyFont="1" applyBorder="1" applyAlignment="1">
      <alignment horizontal="center"/>
    </xf>
    <xf numFmtId="0" fontId="130" fillId="0" borderId="2" xfId="0" applyFont="1" applyBorder="1" applyAlignment="1"/>
    <xf numFmtId="49" fontId="130" fillId="0" borderId="2" xfId="0" applyNumberFormat="1" applyFont="1" applyBorder="1" applyAlignment="1">
      <alignment horizontal="center"/>
    </xf>
    <xf numFmtId="9" fontId="130" fillId="0" borderId="2" xfId="0" applyNumberFormat="1" applyFont="1" applyBorder="1" applyAlignment="1"/>
    <xf numFmtId="0" fontId="130" fillId="0" borderId="2" xfId="0" applyFont="1" applyFill="1" applyBorder="1" applyAlignment="1">
      <alignment horizontal="center"/>
    </xf>
    <xf numFmtId="181" fontId="79" fillId="5" borderId="5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8" fillId="0" borderId="71" xfId="0" applyFont="1" applyFill="1" applyBorder="1" applyAlignment="1" applyProtection="1">
      <alignment horizontal="center" vertical="center"/>
      <protection locked="0"/>
    </xf>
    <xf numFmtId="0" fontId="79" fillId="5" borderId="71" xfId="0" applyFont="1" applyFill="1" applyBorder="1" applyAlignment="1" applyProtection="1">
      <alignment vertical="center"/>
    </xf>
    <xf numFmtId="0" fontId="52" fillId="5" borderId="71" xfId="0" applyFont="1" applyFill="1" applyBorder="1" applyAlignment="1" applyProtection="1">
      <alignment horizontal="left" vertical="center"/>
    </xf>
    <xf numFmtId="181" fontId="88" fillId="5" borderId="72" xfId="0" applyNumberFormat="1" applyFont="1" applyFill="1" applyBorder="1" applyAlignment="1" applyProtection="1">
      <alignment horizontal="center" vertical="center"/>
    </xf>
    <xf numFmtId="49" fontId="85" fillId="5" borderId="117" xfId="0" applyNumberFormat="1" applyFont="1" applyFill="1" applyBorder="1" applyAlignment="1" applyProtection="1">
      <alignment horizontal="center" vertical="center"/>
    </xf>
    <xf numFmtId="0" fontId="79" fillId="5" borderId="71" xfId="0" applyFont="1" applyFill="1" applyBorder="1" applyAlignment="1" applyProtection="1">
      <alignment horizontal="center" vertical="center"/>
    </xf>
    <xf numFmtId="0" fontId="79" fillId="5" borderId="71" xfId="0" applyFont="1" applyFill="1" applyBorder="1" applyAlignment="1" applyProtection="1">
      <alignment horizontal="left" vertical="center" wrapText="1"/>
    </xf>
    <xf numFmtId="0" fontId="79" fillId="5" borderId="71" xfId="0" applyFont="1" applyFill="1" applyBorder="1" applyAlignment="1" applyProtection="1">
      <alignment horizontal="left" vertical="center"/>
    </xf>
    <xf numFmtId="181" fontId="79" fillId="5" borderId="72" xfId="0" applyNumberFormat="1" applyFont="1" applyFill="1" applyBorder="1" applyAlignment="1" applyProtection="1">
      <alignment horizontal="center" vertical="center"/>
    </xf>
    <xf numFmtId="0" fontId="79" fillId="5" borderId="17"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wrapText="1"/>
    </xf>
    <xf numFmtId="0" fontId="79" fillId="5" borderId="63" xfId="0" applyFont="1" applyFill="1" applyBorder="1" applyAlignment="1" applyProtection="1">
      <alignment horizontal="center" vertical="center" wrapText="1"/>
    </xf>
    <xf numFmtId="49" fontId="79" fillId="5" borderId="117" xfId="0" applyNumberFormat="1" applyFont="1" applyFill="1" applyBorder="1" applyAlignment="1" applyProtection="1">
      <alignment horizontal="center" vertical="center"/>
    </xf>
    <xf numFmtId="0" fontId="102" fillId="5" borderId="19" xfId="0" applyFont="1" applyFill="1" applyBorder="1" applyAlignment="1" applyProtection="1">
      <alignment vertical="center"/>
    </xf>
    <xf numFmtId="0" fontId="102" fillId="5" borderId="63" xfId="0" applyFont="1" applyFill="1" applyBorder="1" applyAlignment="1" applyProtection="1">
      <alignment vertical="center"/>
    </xf>
    <xf numFmtId="181" fontId="88" fillId="5" borderId="90" xfId="0" applyNumberFormat="1" applyFont="1" applyFill="1" applyBorder="1" applyAlignment="1" applyProtection="1">
      <alignment horizontal="center" vertical="center"/>
    </xf>
    <xf numFmtId="181" fontId="88" fillId="5" borderId="71" xfId="0" applyNumberFormat="1" applyFont="1" applyFill="1" applyBorder="1" applyAlignment="1" applyProtection="1">
      <alignment horizontal="center" vertical="center"/>
    </xf>
    <xf numFmtId="0" fontId="79" fillId="5" borderId="84" xfId="0" applyFont="1" applyFill="1" applyBorder="1" applyAlignment="1" applyProtection="1">
      <alignment horizontal="left" vertical="center"/>
    </xf>
    <xf numFmtId="0" fontId="102" fillId="5" borderId="85" xfId="0" applyFont="1" applyFill="1" applyBorder="1" applyAlignment="1" applyProtection="1">
      <alignment vertical="center"/>
    </xf>
    <xf numFmtId="0" fontId="102" fillId="5" borderId="90" xfId="0" applyFont="1" applyFill="1" applyBorder="1" applyAlignment="1" applyProtection="1">
      <alignment vertical="center"/>
    </xf>
    <xf numFmtId="0" fontId="194" fillId="0" borderId="0" xfId="0" applyFont="1" applyAlignment="1" applyProtection="1">
      <alignment horizontal="left" vertical="top" wrapText="1"/>
    </xf>
    <xf numFmtId="49" fontId="79" fillId="5" borderId="117" xfId="0" applyNumberFormat="1" applyFont="1" applyFill="1" applyBorder="1" applyAlignment="1" applyProtection="1">
      <alignment horizontal="left" vertical="center"/>
    </xf>
    <xf numFmtId="49" fontId="79" fillId="5" borderId="81" xfId="0" applyNumberFormat="1" applyFont="1" applyFill="1" applyBorder="1" applyAlignment="1" applyProtection="1">
      <alignment horizontal="center" vertical="center"/>
    </xf>
    <xf numFmtId="49" fontId="88" fillId="5" borderId="87" xfId="0" applyNumberFormat="1" applyFont="1" applyFill="1" applyBorder="1" applyAlignment="1" applyProtection="1">
      <alignment horizontal="center" vertical="center"/>
    </xf>
    <xf numFmtId="0" fontId="79"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8"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3" fillId="5" borderId="2" xfId="2" applyFont="1" applyFill="1" applyBorder="1" applyAlignment="1" applyProtection="1">
      <alignment horizontal="left"/>
    </xf>
    <xf numFmtId="0" fontId="51" fillId="5" borderId="26" xfId="0" applyNumberFormat="1" applyFont="1" applyFill="1" applyBorder="1" applyAlignment="1" applyProtection="1">
      <alignment vertical="center"/>
    </xf>
    <xf numFmtId="0" fontId="78" fillId="5" borderId="58" xfId="0" applyNumberFormat="1" applyFont="1" applyFill="1" applyBorder="1" applyAlignment="1" applyProtection="1">
      <alignment vertical="center"/>
    </xf>
    <xf numFmtId="0" fontId="61" fillId="5" borderId="0" xfId="0" applyFont="1" applyFill="1" applyAlignment="1" applyProtection="1">
      <alignment horizontal="center" vertical="center"/>
      <protection locked="0"/>
    </xf>
    <xf numFmtId="0" fontId="52" fillId="5" borderId="2" xfId="0" applyFont="1" applyFill="1" applyBorder="1" applyAlignment="1" applyProtection="1">
      <alignment vertical="center"/>
    </xf>
    <xf numFmtId="0" fontId="52" fillId="5" borderId="5" xfId="0" applyFont="1" applyFill="1" applyBorder="1" applyAlignment="1" applyProtection="1">
      <alignment vertical="center"/>
    </xf>
    <xf numFmtId="0" fontId="98" fillId="5" borderId="2" xfId="0" applyNumberFormat="1" applyFont="1" applyFill="1" applyBorder="1" applyAlignment="1" applyProtection="1">
      <alignment horizontal="center" vertical="center"/>
    </xf>
    <xf numFmtId="0" fontId="74" fillId="5" borderId="0" xfId="0" applyFont="1" applyFill="1" applyAlignment="1" applyProtection="1">
      <alignment horizontal="center"/>
    </xf>
    <xf numFmtId="0" fontId="74" fillId="5" borderId="2" xfId="0" applyFont="1" applyFill="1" applyBorder="1" applyAlignment="1" applyProtection="1">
      <alignment horizontal="center" vertical="center"/>
    </xf>
    <xf numFmtId="0" fontId="65" fillId="5" borderId="103"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74"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163" fillId="5" borderId="0" xfId="0" applyFont="1" applyFill="1" applyAlignment="1" applyProtection="1">
      <alignment horizontal="center" vertical="center" wrapText="1"/>
    </xf>
    <xf numFmtId="0" fontId="55" fillId="5" borderId="0" xfId="0" applyFont="1" applyFill="1" applyAlignment="1" applyProtection="1">
      <alignment horizontal="center" vertical="center" wrapText="1"/>
    </xf>
    <xf numFmtId="49" fontId="51" fillId="5" borderId="35" xfId="0" applyNumberFormat="1" applyFont="1" applyFill="1" applyBorder="1" applyAlignment="1" applyProtection="1">
      <alignment vertical="center" wrapText="1"/>
    </xf>
    <xf numFmtId="49" fontId="51" fillId="5" borderId="79" xfId="0" applyNumberFormat="1" applyFont="1" applyFill="1" applyBorder="1" applyAlignment="1" applyProtection="1">
      <alignment vertical="center" wrapText="1"/>
    </xf>
    <xf numFmtId="49" fontId="51" fillId="5" borderId="80" xfId="0" applyNumberFormat="1" applyFont="1" applyFill="1" applyBorder="1" applyAlignment="1" applyProtection="1">
      <alignment vertical="center" wrapText="1"/>
    </xf>
    <xf numFmtId="0" fontId="51" fillId="5" borderId="35" xfId="0" applyFont="1" applyFill="1" applyBorder="1" applyAlignment="1" applyProtection="1">
      <alignment vertical="center" wrapText="1"/>
    </xf>
    <xf numFmtId="0" fontId="51" fillId="5" borderId="79" xfId="0" applyFont="1" applyFill="1" applyBorder="1" applyAlignment="1" applyProtection="1">
      <alignment vertical="center" wrapText="1"/>
    </xf>
    <xf numFmtId="0" fontId="51" fillId="5" borderId="80" xfId="0" applyFont="1" applyFill="1" applyBorder="1" applyAlignment="1" applyProtection="1">
      <alignment vertical="center" wrapText="1"/>
    </xf>
    <xf numFmtId="0" fontId="83" fillId="5" borderId="52" xfId="0" applyNumberFormat="1" applyFont="1" applyFill="1" applyBorder="1" applyAlignment="1" applyProtection="1">
      <alignment horizontal="center" vertical="center" wrapText="1"/>
    </xf>
    <xf numFmtId="0" fontId="55" fillId="5" borderId="52" xfId="0"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protection locked="0"/>
    </xf>
    <xf numFmtId="0" fontId="55" fillId="5" borderId="13" xfId="0" applyFont="1" applyFill="1" applyBorder="1" applyAlignment="1" applyProtection="1">
      <alignment horizontal="center" vertical="center" wrapText="1"/>
    </xf>
    <xf numFmtId="0" fontId="83" fillId="0" borderId="45" xfId="0" applyFont="1" applyFill="1" applyBorder="1" applyAlignment="1" applyProtection="1">
      <alignment horizontal="center" vertical="center"/>
      <protection locked="0"/>
    </xf>
    <xf numFmtId="0" fontId="87" fillId="5" borderId="24" xfId="0" applyNumberFormat="1" applyFont="1" applyFill="1" applyBorder="1" applyAlignment="1" applyProtection="1">
      <alignment horizontal="center" vertical="center" wrapText="1"/>
    </xf>
    <xf numFmtId="0" fontId="87" fillId="5" borderId="64"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109" fillId="5" borderId="79" xfId="0" applyNumberFormat="1"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87" fillId="5" borderId="75" xfId="0" applyNumberFormat="1" applyFont="1" applyFill="1" applyBorder="1" applyAlignment="1" applyProtection="1">
      <alignment horizontal="center" vertical="center" wrapText="1"/>
    </xf>
    <xf numFmtId="0" fontId="109" fillId="5" borderId="24" xfId="0" applyNumberFormat="1" applyFont="1" applyFill="1" applyBorder="1" applyAlignment="1" applyProtection="1">
      <alignment horizontal="center" vertical="center" wrapText="1"/>
    </xf>
    <xf numFmtId="0" fontId="55" fillId="5" borderId="25" xfId="0" applyFont="1" applyFill="1" applyBorder="1" applyAlignment="1" applyProtection="1">
      <alignment horizontal="center" vertical="center" wrapText="1"/>
    </xf>
    <xf numFmtId="0" fontId="20" fillId="5" borderId="11" xfId="0" applyFont="1" applyFill="1" applyBorder="1" applyAlignment="1" applyProtection="1">
      <alignment horizontal="center" vertical="center"/>
    </xf>
    <xf numFmtId="0" fontId="20" fillId="5" borderId="2" xfId="0" applyFont="1" applyFill="1" applyBorder="1" applyAlignment="1" applyProtection="1">
      <alignment horizontal="left" vertical="center"/>
    </xf>
    <xf numFmtId="0" fontId="20" fillId="5" borderId="12" xfId="0" applyFont="1" applyFill="1" applyBorder="1" applyAlignment="1" applyProtection="1">
      <alignment horizontal="center" vertical="center"/>
    </xf>
    <xf numFmtId="0" fontId="74" fillId="5" borderId="11" xfId="0" applyFont="1" applyFill="1" applyBorder="1" applyProtection="1">
      <alignment vertical="center"/>
    </xf>
    <xf numFmtId="0" fontId="74" fillId="5" borderId="12" xfId="0" applyFont="1" applyFill="1" applyBorder="1" applyProtection="1">
      <alignment vertical="center"/>
    </xf>
    <xf numFmtId="0" fontId="20" fillId="0" borderId="11" xfId="0" applyFont="1" applyBorder="1" applyProtection="1">
      <alignment vertical="center"/>
      <protection locked="0"/>
    </xf>
    <xf numFmtId="0" fontId="20" fillId="0" borderId="2" xfId="0" applyFont="1" applyBorder="1" applyProtection="1">
      <alignment vertical="center"/>
      <protection locked="0"/>
    </xf>
    <xf numFmtId="0" fontId="20" fillId="5" borderId="12" xfId="0" applyFont="1" applyFill="1" applyBorder="1" applyProtection="1">
      <alignment vertical="center"/>
    </xf>
    <xf numFmtId="0" fontId="74" fillId="5" borderId="22" xfId="0" applyFont="1" applyFill="1" applyBorder="1" applyProtection="1">
      <alignment vertical="center"/>
    </xf>
    <xf numFmtId="0" fontId="20" fillId="0" borderId="22" xfId="0" applyFont="1" applyBorder="1" applyProtection="1">
      <alignment vertical="center"/>
      <protection locked="0"/>
    </xf>
    <xf numFmtId="0" fontId="20" fillId="0" borderId="10" xfId="0" applyFont="1" applyBorder="1" applyProtection="1">
      <alignment vertical="center"/>
      <protection locked="0"/>
    </xf>
    <xf numFmtId="0" fontId="20" fillId="5" borderId="25" xfId="0" applyFont="1" applyFill="1" applyBorder="1" applyProtection="1">
      <alignment vertical="center"/>
    </xf>
    <xf numFmtId="0" fontId="78" fillId="5" borderId="43" xfId="0" applyFont="1" applyFill="1" applyBorder="1" applyProtection="1">
      <alignment vertical="center"/>
    </xf>
    <xf numFmtId="0" fontId="78" fillId="5" borderId="44" xfId="0" applyFont="1" applyFill="1" applyBorder="1" applyProtection="1">
      <alignment vertical="center"/>
    </xf>
    <xf numFmtId="0" fontId="78" fillId="5" borderId="46" xfId="0" applyFont="1" applyFill="1" applyBorder="1" applyProtection="1">
      <alignment vertical="center"/>
    </xf>
    <xf numFmtId="0" fontId="74" fillId="5" borderId="46" xfId="0" applyFont="1" applyFill="1" applyBorder="1" applyProtection="1">
      <alignment vertical="center"/>
    </xf>
    <xf numFmtId="0" fontId="20" fillId="5" borderId="28" xfId="2" applyFont="1" applyFill="1" applyBorder="1" applyAlignment="1" applyProtection="1">
      <alignment horizontal="center" vertical="center" wrapText="1"/>
    </xf>
    <xf numFmtId="181" fontId="88" fillId="6" borderId="25" xfId="0" applyNumberFormat="1" applyFont="1" applyFill="1" applyBorder="1" applyAlignment="1" applyProtection="1">
      <alignment horizontal="center" vertical="center"/>
      <protection locked="0"/>
    </xf>
    <xf numFmtId="0" fontId="100" fillId="5" borderId="21" xfId="0" applyFont="1" applyFill="1" applyBorder="1" applyAlignment="1" applyProtection="1">
      <alignment horizontal="right" vertical="center"/>
    </xf>
    <xf numFmtId="0" fontId="104" fillId="5" borderId="5" xfId="0" applyFont="1" applyFill="1" applyBorder="1" applyAlignment="1" applyProtection="1">
      <alignment horizontal="right" vertical="center"/>
    </xf>
    <xf numFmtId="0" fontId="104" fillId="5" borderId="8" xfId="0" applyFont="1" applyFill="1" applyBorder="1" applyAlignment="1" applyProtection="1">
      <alignment horizontal="center" vertical="center"/>
    </xf>
    <xf numFmtId="0" fontId="104" fillId="2" borderId="8" xfId="0" applyFont="1" applyFill="1" applyBorder="1" applyAlignment="1" applyProtection="1">
      <alignment vertical="center"/>
      <protection locked="0"/>
    </xf>
    <xf numFmtId="0" fontId="104" fillId="6" borderId="9" xfId="0" applyFont="1" applyFill="1" applyBorder="1" applyAlignment="1" applyProtection="1">
      <alignment vertical="center"/>
    </xf>
    <xf numFmtId="0" fontId="86" fillId="5" borderId="59" xfId="0" applyNumberFormat="1" applyFont="1" applyFill="1" applyBorder="1" applyAlignment="1" applyProtection="1">
      <alignment horizontal="right" vertical="center" wrapText="1"/>
    </xf>
    <xf numFmtId="0" fontId="86" fillId="5" borderId="57" xfId="0" applyNumberFormat="1" applyFont="1" applyFill="1" applyBorder="1" applyAlignment="1" applyProtection="1">
      <alignment vertical="center" wrapText="1"/>
    </xf>
    <xf numFmtId="0" fontId="111" fillId="3" borderId="30" xfId="0" applyNumberFormat="1" applyFont="1" applyFill="1" applyBorder="1" applyAlignment="1" applyProtection="1">
      <alignment vertical="center" wrapText="1"/>
      <protection locked="0"/>
    </xf>
    <xf numFmtId="0" fontId="111" fillId="5" borderId="30" xfId="0" applyNumberFormat="1" applyFont="1" applyFill="1" applyBorder="1" applyAlignment="1" applyProtection="1">
      <alignment vertical="center" wrapText="1"/>
    </xf>
    <xf numFmtId="0" fontId="111" fillId="3" borderId="59" xfId="0" applyNumberFormat="1" applyFont="1" applyFill="1" applyBorder="1" applyAlignment="1" applyProtection="1">
      <alignment vertical="center" wrapText="1"/>
      <protection locked="0"/>
    </xf>
    <xf numFmtId="0" fontId="111" fillId="5" borderId="57" xfId="0" applyNumberFormat="1" applyFont="1" applyFill="1" applyBorder="1" applyAlignment="1" applyProtection="1">
      <alignment vertical="center" wrapText="1"/>
    </xf>
    <xf numFmtId="0" fontId="86" fillId="5" borderId="60" xfId="0" applyNumberFormat="1" applyFont="1" applyFill="1" applyBorder="1" applyAlignment="1" applyProtection="1">
      <alignment vertical="center" wrapText="1"/>
    </xf>
    <xf numFmtId="0" fontId="86" fillId="5" borderId="48" xfId="0" applyNumberFormat="1" applyFont="1" applyFill="1" applyBorder="1" applyAlignment="1" applyProtection="1">
      <alignment vertical="center" wrapText="1"/>
    </xf>
    <xf numFmtId="0" fontId="86" fillId="5" borderId="56" xfId="0" applyNumberFormat="1" applyFont="1" applyFill="1" applyBorder="1" applyAlignment="1" applyProtection="1">
      <alignment vertical="center" wrapText="1"/>
    </xf>
    <xf numFmtId="0" fontId="86" fillId="5" borderId="61" xfId="0" applyNumberFormat="1" applyFont="1" applyFill="1" applyBorder="1" applyAlignment="1" applyProtection="1">
      <alignment vertical="center" wrapText="1"/>
    </xf>
    <xf numFmtId="0" fontId="79"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0" fontId="79" fillId="5" borderId="8"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137" fillId="5" borderId="53" xfId="0" applyNumberFormat="1" applyFont="1" applyFill="1" applyBorder="1" applyAlignment="1" applyProtection="1">
      <alignment vertical="center"/>
    </xf>
    <xf numFmtId="0" fontId="61" fillId="5" borderId="28" xfId="0" applyFont="1" applyFill="1" applyBorder="1" applyAlignment="1" applyProtection="1">
      <alignment vertical="center"/>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74" fillId="5" borderId="20" xfId="0" applyFont="1" applyFill="1" applyBorder="1" applyProtection="1">
      <alignment vertical="center"/>
      <protection locked="0"/>
    </xf>
    <xf numFmtId="0" fontId="199"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xf>
    <xf numFmtId="0" fontId="81" fillId="5" borderId="1" xfId="0" applyFont="1" applyFill="1" applyBorder="1" applyAlignment="1" applyProtection="1">
      <alignment horizontal="right" vertical="center" wrapText="1"/>
    </xf>
    <xf numFmtId="0" fontId="81" fillId="5" borderId="11" xfId="0" applyFont="1" applyFill="1" applyBorder="1" applyAlignment="1" applyProtection="1">
      <alignment horizontal="right" vertical="center" wrapText="1"/>
    </xf>
    <xf numFmtId="0" fontId="81" fillId="5" borderId="92" xfId="0" applyFont="1" applyFill="1" applyBorder="1" applyAlignment="1" applyProtection="1">
      <alignment horizontal="right" vertical="center" wrapText="1"/>
    </xf>
    <xf numFmtId="0" fontId="160" fillId="0" borderId="0" xfId="10" applyFont="1">
      <alignment vertical="center"/>
    </xf>
    <xf numFmtId="0" fontId="160" fillId="0" borderId="0" xfId="10" applyFont="1" applyAlignment="1">
      <alignment horizontal="center" vertical="center"/>
    </xf>
    <xf numFmtId="49" fontId="89" fillId="5" borderId="2" xfId="10" applyNumberFormat="1" applyFont="1" applyFill="1" applyBorder="1" applyAlignment="1" applyProtection="1">
      <alignment horizontal="center" vertical="center" wrapText="1"/>
    </xf>
    <xf numFmtId="0" fontId="244" fillId="12" borderId="120" xfId="10" applyFont="1" applyFill="1" applyBorder="1" applyAlignment="1" applyProtection="1">
      <alignment horizontal="center" vertical="center" wrapText="1"/>
    </xf>
    <xf numFmtId="0" fontId="244" fillId="12" borderId="121" xfId="10" applyFont="1" applyFill="1" applyBorder="1" applyAlignment="1" applyProtection="1">
      <alignment horizontal="center" vertical="center" wrapText="1"/>
    </xf>
    <xf numFmtId="0" fontId="160" fillId="0" borderId="122" xfId="10" applyFont="1" applyBorder="1" applyAlignment="1">
      <alignment horizontal="center" vertical="center"/>
    </xf>
    <xf numFmtId="0" fontId="244" fillId="13" borderId="124" xfId="10" applyFont="1" applyFill="1" applyBorder="1" applyAlignment="1" applyProtection="1">
      <alignment horizontal="center" vertical="center" wrapText="1"/>
    </xf>
    <xf numFmtId="0" fontId="244" fillId="12" borderId="124" xfId="10" applyFont="1" applyFill="1" applyBorder="1" applyAlignment="1" applyProtection="1">
      <alignment horizontal="center" vertical="center" wrapText="1"/>
    </xf>
    <xf numFmtId="184" fontId="160" fillId="12" borderId="120" xfId="10" applyNumberFormat="1" applyFont="1" applyFill="1" applyBorder="1" applyAlignment="1">
      <alignment horizontal="center" vertical="center" wrapText="1"/>
    </xf>
    <xf numFmtId="184" fontId="160" fillId="12" borderId="127" xfId="10" applyNumberFormat="1" applyFont="1" applyFill="1" applyBorder="1" applyAlignment="1">
      <alignment horizontal="center" vertical="center" wrapText="1"/>
    </xf>
    <xf numFmtId="0" fontId="155" fillId="0" borderId="0" xfId="10" applyFont="1">
      <alignment vertical="center"/>
    </xf>
    <xf numFmtId="10" fontId="155" fillId="0" borderId="122" xfId="10" applyNumberFormat="1" applyFont="1" applyBorder="1">
      <alignment vertical="center"/>
    </xf>
    <xf numFmtId="10" fontId="155" fillId="0" borderId="0" xfId="10" applyNumberFormat="1" applyFont="1">
      <alignment vertical="center"/>
    </xf>
    <xf numFmtId="177" fontId="155" fillId="0" borderId="0" xfId="10" applyNumberFormat="1" applyFont="1">
      <alignment vertical="center"/>
    </xf>
    <xf numFmtId="181" fontId="155" fillId="0" borderId="122" xfId="10" applyNumberFormat="1" applyFont="1" applyBorder="1">
      <alignment vertical="center"/>
    </xf>
    <xf numFmtId="181" fontId="155" fillId="0" borderId="0" xfId="10" applyNumberFormat="1" applyFont="1">
      <alignment vertical="center"/>
    </xf>
    <xf numFmtId="184" fontId="155" fillId="0" borderId="0" xfId="10" applyNumberFormat="1" applyFont="1" applyAlignment="1">
      <alignment horizontal="center" vertical="center"/>
    </xf>
    <xf numFmtId="0" fontId="244" fillId="13" borderId="128" xfId="10" applyFont="1" applyFill="1" applyBorder="1" applyAlignment="1" applyProtection="1">
      <alignment horizontal="center" vertical="center" wrapText="1"/>
    </xf>
    <xf numFmtId="0" fontId="244" fillId="12" borderId="128" xfId="10" applyFont="1" applyFill="1" applyBorder="1" applyAlignment="1" applyProtection="1">
      <alignment horizontal="center" vertical="center" wrapText="1"/>
    </xf>
    <xf numFmtId="10" fontId="155" fillId="0" borderId="126" xfId="10" applyNumberFormat="1" applyFont="1" applyBorder="1">
      <alignment vertical="center"/>
    </xf>
    <xf numFmtId="10" fontId="155" fillId="0" borderId="19" xfId="10" applyNumberFormat="1" applyFont="1" applyBorder="1">
      <alignment vertical="center"/>
    </xf>
    <xf numFmtId="10" fontId="155" fillId="0" borderId="0" xfId="10" applyNumberFormat="1" applyFont="1" applyAlignment="1">
      <alignment horizontal="center" vertical="center"/>
    </xf>
    <xf numFmtId="0" fontId="244" fillId="12" borderId="130" xfId="10" applyFont="1" applyFill="1" applyBorder="1" applyAlignment="1" applyProtection="1">
      <alignment horizontal="center" vertical="center" wrapText="1"/>
    </xf>
    <xf numFmtId="0" fontId="244" fillId="12" borderId="131" xfId="10" applyFont="1" applyFill="1" applyBorder="1" applyAlignment="1" applyProtection="1">
      <alignment horizontal="center" vertical="center" wrapText="1"/>
    </xf>
    <xf numFmtId="10" fontId="155" fillId="0" borderId="132" xfId="10" applyNumberFormat="1" applyFont="1" applyBorder="1">
      <alignment vertical="center"/>
    </xf>
    <xf numFmtId="10" fontId="155" fillId="0" borderId="14" xfId="10" applyNumberFormat="1" applyFont="1" applyBorder="1">
      <alignment vertical="center"/>
    </xf>
    <xf numFmtId="0" fontId="155" fillId="0" borderId="122" xfId="10" applyFont="1" applyBorder="1">
      <alignment vertical="center"/>
    </xf>
    <xf numFmtId="0" fontId="244" fillId="13" borderId="120" xfId="10" applyFont="1" applyFill="1" applyBorder="1" applyAlignment="1" applyProtection="1">
      <alignment horizontal="center" vertical="center" wrapText="1"/>
    </xf>
    <xf numFmtId="0" fontId="244" fillId="13" borderId="121" xfId="10" applyFont="1" applyFill="1" applyBorder="1" applyAlignment="1" applyProtection="1">
      <alignment horizontal="center" vertical="center" wrapText="1"/>
    </xf>
    <xf numFmtId="10" fontId="155" fillId="0" borderId="0" xfId="10" applyNumberFormat="1" applyFont="1" applyBorder="1">
      <alignment vertical="center"/>
    </xf>
    <xf numFmtId="184" fontId="160" fillId="12" borderId="124" xfId="10" applyNumberFormat="1" applyFont="1" applyFill="1" applyBorder="1" applyAlignment="1">
      <alignment horizontal="center" vertical="center" wrapText="1"/>
    </xf>
    <xf numFmtId="184" fontId="160" fillId="12" borderId="133" xfId="10" applyNumberFormat="1" applyFont="1" applyFill="1" applyBorder="1" applyAlignment="1">
      <alignment horizontal="center" vertical="center" wrapText="1"/>
    </xf>
    <xf numFmtId="0" fontId="155" fillId="13" borderId="120" xfId="10" applyFont="1" applyFill="1" applyBorder="1" applyAlignment="1" applyProtection="1">
      <alignment horizontal="center" vertical="center" wrapText="1"/>
    </xf>
    <xf numFmtId="0" fontId="155" fillId="13" borderId="121" xfId="10" applyFont="1" applyFill="1" applyBorder="1" applyAlignment="1" applyProtection="1">
      <alignment horizontal="center" vertical="center" wrapText="1"/>
    </xf>
    <xf numFmtId="49" fontId="89" fillId="6" borderId="2" xfId="10" applyNumberFormat="1" applyFont="1" applyFill="1" applyBorder="1" applyAlignment="1" applyProtection="1">
      <alignment horizontal="center" vertical="center" wrapText="1"/>
    </xf>
    <xf numFmtId="184" fontId="155" fillId="6" borderId="0" xfId="10" applyNumberFormat="1" applyFont="1" applyFill="1" applyAlignment="1">
      <alignment horizontal="center" vertical="center"/>
    </xf>
    <xf numFmtId="0" fontId="155" fillId="6" borderId="124" xfId="10" applyFont="1" applyFill="1" applyBorder="1" applyAlignment="1" applyProtection="1">
      <alignment horizontal="center" vertical="center" wrapText="1"/>
    </xf>
    <xf numFmtId="0" fontId="155" fillId="6" borderId="128" xfId="10" applyFont="1" applyFill="1" applyBorder="1" applyAlignment="1" applyProtection="1">
      <alignment horizontal="center" vertical="center" wrapText="1"/>
    </xf>
    <xf numFmtId="0" fontId="155" fillId="6" borderId="0" xfId="10" applyFont="1" applyFill="1">
      <alignment vertical="center"/>
    </xf>
    <xf numFmtId="10" fontId="155" fillId="6" borderId="122" xfId="10" applyNumberFormat="1" applyFont="1" applyFill="1" applyBorder="1">
      <alignment vertical="center"/>
    </xf>
    <xf numFmtId="10" fontId="155" fillId="6" borderId="0" xfId="10" applyNumberFormat="1" applyFont="1" applyFill="1">
      <alignment vertical="center"/>
    </xf>
    <xf numFmtId="177" fontId="155" fillId="6" borderId="0" xfId="10" applyNumberFormat="1" applyFont="1" applyFill="1">
      <alignment vertical="center"/>
    </xf>
    <xf numFmtId="10" fontId="155" fillId="6" borderId="126" xfId="10" applyNumberFormat="1" applyFont="1" applyFill="1" applyBorder="1">
      <alignment vertical="center"/>
    </xf>
    <xf numFmtId="10" fontId="155" fillId="6" borderId="19" xfId="10" applyNumberFormat="1" applyFont="1" applyFill="1" applyBorder="1">
      <alignment vertical="center"/>
    </xf>
    <xf numFmtId="0" fontId="155" fillId="12" borderId="130" xfId="10" applyFont="1" applyFill="1" applyBorder="1" applyAlignment="1" applyProtection="1">
      <alignment horizontal="center" vertical="center" wrapText="1"/>
    </xf>
    <xf numFmtId="0" fontId="155" fillId="12" borderId="131" xfId="10" applyFont="1" applyFill="1" applyBorder="1" applyAlignment="1" applyProtection="1">
      <alignment horizontal="center" vertical="center" wrapText="1"/>
    </xf>
    <xf numFmtId="184" fontId="160" fillId="12" borderId="130" xfId="10" applyNumberFormat="1" applyFont="1" applyFill="1" applyBorder="1" applyAlignment="1">
      <alignment horizontal="center" vertical="center" wrapText="1"/>
    </xf>
    <xf numFmtId="184" fontId="160" fillId="12" borderId="134" xfId="10" applyNumberFormat="1" applyFont="1" applyFill="1" applyBorder="1" applyAlignment="1">
      <alignment horizontal="center" vertical="center" wrapText="1"/>
    </xf>
    <xf numFmtId="184" fontId="155" fillId="14" borderId="0" xfId="10" applyNumberFormat="1" applyFont="1" applyFill="1" applyAlignment="1">
      <alignment horizontal="center" vertical="center"/>
    </xf>
    <xf numFmtId="184" fontId="155" fillId="0" borderId="61" xfId="10" applyNumberFormat="1" applyFont="1" applyBorder="1" applyAlignment="1">
      <alignment horizontal="center" vertical="center"/>
    </xf>
    <xf numFmtId="0" fontId="244" fillId="13" borderId="135" xfId="10" applyFont="1" applyFill="1" applyBorder="1" applyAlignment="1" applyProtection="1">
      <alignment horizontal="center" vertical="center" wrapText="1"/>
    </xf>
    <xf numFmtId="0" fontId="244" fillId="13" borderId="136" xfId="10" applyFont="1" applyFill="1" applyBorder="1" applyAlignment="1" applyProtection="1">
      <alignment horizontal="center" vertical="center" wrapText="1"/>
    </xf>
    <xf numFmtId="0" fontId="155" fillId="0" borderId="61" xfId="10" applyFont="1" applyBorder="1">
      <alignment vertical="center"/>
    </xf>
    <xf numFmtId="10" fontId="155" fillId="0" borderId="137" xfId="10" applyNumberFormat="1" applyFont="1" applyBorder="1">
      <alignment vertical="center"/>
    </xf>
    <xf numFmtId="10" fontId="155" fillId="0" borderId="61" xfId="10" applyNumberFormat="1" applyFont="1" applyBorder="1">
      <alignment vertical="center"/>
    </xf>
    <xf numFmtId="177" fontId="155" fillId="0" borderId="61" xfId="10" applyNumberFormat="1" applyFont="1" applyBorder="1">
      <alignment vertical="center"/>
    </xf>
    <xf numFmtId="10" fontId="155" fillId="0" borderId="61" xfId="10" applyNumberFormat="1" applyFont="1" applyBorder="1" applyAlignment="1">
      <alignment horizontal="center" vertical="center"/>
    </xf>
    <xf numFmtId="0" fontId="244" fillId="12" borderId="138" xfId="10" applyFont="1" applyFill="1" applyBorder="1" applyAlignment="1" applyProtection="1">
      <alignment horizontal="center" vertical="center" wrapText="1"/>
    </xf>
    <xf numFmtId="0" fontId="244" fillId="12" borderId="139" xfId="10" applyFont="1" applyFill="1" applyBorder="1" applyAlignment="1" applyProtection="1">
      <alignment horizontal="center" vertical="center" wrapText="1"/>
    </xf>
    <xf numFmtId="10" fontId="155" fillId="15" borderId="122" xfId="10" applyNumberFormat="1" applyFont="1" applyFill="1" applyBorder="1">
      <alignment vertical="center"/>
    </xf>
    <xf numFmtId="10" fontId="155" fillId="15" borderId="0" xfId="10" applyNumberFormat="1" applyFont="1" applyFill="1">
      <alignment vertical="center"/>
    </xf>
    <xf numFmtId="178" fontId="155" fillId="0" borderId="0" xfId="10" applyNumberFormat="1" applyFont="1" applyAlignment="1">
      <alignment horizontal="center" vertical="center"/>
    </xf>
    <xf numFmtId="10" fontId="155" fillId="15" borderId="126" xfId="10" applyNumberFormat="1" applyFont="1" applyFill="1" applyBorder="1">
      <alignment vertical="center"/>
    </xf>
    <xf numFmtId="10" fontId="155" fillId="15" borderId="19" xfId="10" applyNumberFormat="1" applyFont="1" applyFill="1" applyBorder="1">
      <alignment vertical="center"/>
    </xf>
    <xf numFmtId="10" fontId="155" fillId="15" borderId="137" xfId="10" applyNumberFormat="1" applyFont="1" applyFill="1" applyBorder="1">
      <alignment vertical="center"/>
    </xf>
    <xf numFmtId="10" fontId="155" fillId="15" borderId="61" xfId="10" applyNumberFormat="1" applyFont="1" applyFill="1" applyBorder="1">
      <alignment vertical="center"/>
    </xf>
    <xf numFmtId="178" fontId="155" fillId="0" borderId="61" xfId="10" applyNumberFormat="1" applyFont="1" applyBorder="1" applyAlignment="1">
      <alignment horizontal="center" vertical="center"/>
    </xf>
    <xf numFmtId="0" fontId="160" fillId="13" borderId="140" xfId="10" applyFont="1" applyFill="1" applyBorder="1" applyAlignment="1">
      <alignment horizontal="center" vertical="center" wrapText="1"/>
    </xf>
    <xf numFmtId="0" fontId="160" fillId="13" borderId="141" xfId="10" applyFont="1" applyFill="1" applyBorder="1" applyAlignment="1">
      <alignment horizontal="center" vertical="center" wrapText="1"/>
    </xf>
    <xf numFmtId="180" fontId="155" fillId="0" borderId="0" xfId="10" applyNumberFormat="1" applyFont="1" applyAlignment="1">
      <alignment horizontal="center" vertical="center"/>
    </xf>
    <xf numFmtId="180" fontId="155" fillId="0" borderId="122" xfId="10" applyNumberFormat="1" applyFont="1" applyBorder="1" applyAlignment="1">
      <alignment horizontal="center" vertical="center"/>
    </xf>
    <xf numFmtId="177" fontId="155" fillId="15" borderId="0" xfId="10" applyNumberFormat="1" applyFont="1" applyFill="1" applyAlignment="1">
      <alignment horizontal="center" vertical="center"/>
    </xf>
    <xf numFmtId="0" fontId="244" fillId="13" borderId="130" xfId="10" applyFont="1" applyFill="1" applyBorder="1" applyAlignment="1" applyProtection="1">
      <alignment horizontal="center" vertical="center" wrapText="1"/>
    </xf>
    <xf numFmtId="0" fontId="160" fillId="12" borderId="130" xfId="10" applyFont="1" applyFill="1" applyBorder="1" applyAlignment="1">
      <alignment horizontal="center" vertical="center" wrapText="1"/>
    </xf>
    <xf numFmtId="0" fontId="160" fillId="12" borderId="134" xfId="10" applyFont="1" applyFill="1" applyBorder="1" applyAlignment="1">
      <alignment horizontal="center" vertical="center" wrapText="1"/>
    </xf>
    <xf numFmtId="177" fontId="155" fillId="6" borderId="0" xfId="10" applyNumberFormat="1" applyFont="1" applyFill="1" applyAlignment="1">
      <alignment horizontal="center" vertical="center"/>
    </xf>
    <xf numFmtId="0" fontId="244" fillId="6" borderId="124" xfId="10" applyFont="1" applyFill="1" applyBorder="1" applyAlignment="1" applyProtection="1">
      <alignment horizontal="center" vertical="center" wrapText="1"/>
    </xf>
    <xf numFmtId="180" fontId="155" fillId="6" borderId="0" xfId="10" applyNumberFormat="1" applyFont="1" applyFill="1" applyAlignment="1">
      <alignment horizontal="center" vertical="center"/>
    </xf>
    <xf numFmtId="0" fontId="155" fillId="6" borderId="122" xfId="10" applyFont="1" applyFill="1" applyBorder="1">
      <alignment vertical="center"/>
    </xf>
    <xf numFmtId="178" fontId="155" fillId="6" borderId="0" xfId="10" applyNumberFormat="1" applyFont="1" applyFill="1" applyAlignment="1">
      <alignment horizontal="center" vertical="center"/>
    </xf>
    <xf numFmtId="0" fontId="160" fillId="12" borderId="142" xfId="10" applyFont="1" applyFill="1" applyBorder="1" applyAlignment="1">
      <alignment horizontal="center" vertical="center" wrapText="1"/>
    </xf>
    <xf numFmtId="0" fontId="160" fillId="12" borderId="143" xfId="10" applyFont="1" applyFill="1" applyBorder="1" applyAlignment="1">
      <alignment horizontal="center" vertical="center" wrapText="1"/>
    </xf>
    <xf numFmtId="0" fontId="160" fillId="12" borderId="144" xfId="10" applyFont="1" applyFill="1" applyBorder="1" applyAlignment="1">
      <alignment horizontal="center" vertical="center" wrapText="1"/>
    </xf>
    <xf numFmtId="0" fontId="214" fillId="0" borderId="0" xfId="10" applyFont="1">
      <alignment vertical="center"/>
    </xf>
    <xf numFmtId="0" fontId="161" fillId="0" borderId="0" xfId="10" applyFont="1">
      <alignment vertical="center"/>
    </xf>
    <xf numFmtId="0" fontId="161" fillId="0" borderId="122" xfId="10" applyFont="1" applyBorder="1">
      <alignment vertical="center"/>
    </xf>
    <xf numFmtId="180" fontId="161" fillId="0" borderId="0" xfId="10" applyNumberFormat="1" applyFont="1" applyAlignment="1">
      <alignment horizontal="center" vertical="center"/>
    </xf>
    <xf numFmtId="180" fontId="161" fillId="0" borderId="122" xfId="10" applyNumberFormat="1" applyFont="1" applyBorder="1" applyAlignment="1">
      <alignment horizontal="center" vertical="center"/>
    </xf>
    <xf numFmtId="0" fontId="244" fillId="13" borderId="145" xfId="10" applyFont="1" applyFill="1" applyBorder="1" applyAlignment="1">
      <alignment horizontal="center" vertical="center" wrapText="1"/>
    </xf>
    <xf numFmtId="0" fontId="244" fillId="13" borderId="120" xfId="10" applyFont="1" applyFill="1" applyBorder="1" applyAlignment="1">
      <alignment horizontal="center" vertical="center" wrapText="1"/>
    </xf>
    <xf numFmtId="0" fontId="244" fillId="12" borderId="146" xfId="10" applyFont="1" applyFill="1" applyBorder="1" applyAlignment="1">
      <alignment horizontal="center" vertical="center" wrapText="1"/>
    </xf>
    <xf numFmtId="0" fontId="244" fillId="12" borderId="124" xfId="10" applyFont="1" applyFill="1" applyBorder="1" applyAlignment="1">
      <alignment horizontal="center" vertical="center" wrapText="1"/>
    </xf>
    <xf numFmtId="0" fontId="244" fillId="13" borderId="124" xfId="10" applyFont="1" applyFill="1" applyBorder="1" applyAlignment="1">
      <alignment horizontal="center" vertical="center" wrapText="1"/>
    </xf>
    <xf numFmtId="0" fontId="244" fillId="13" borderId="146" xfId="10" applyFont="1" applyFill="1" applyBorder="1" applyAlignment="1">
      <alignment horizontal="center" vertical="center" wrapText="1"/>
    </xf>
    <xf numFmtId="0" fontId="244" fillId="12" borderId="147" xfId="10" applyFont="1" applyFill="1" applyBorder="1" applyAlignment="1">
      <alignment horizontal="center" vertical="center" wrapText="1"/>
    </xf>
    <xf numFmtId="0" fontId="244" fillId="12" borderId="130" xfId="10" applyFont="1" applyFill="1" applyBorder="1" applyAlignment="1">
      <alignment horizontal="center" vertical="center" wrapText="1"/>
    </xf>
    <xf numFmtId="0" fontId="160" fillId="0" borderId="0" xfId="10" applyFont="1" applyFill="1">
      <alignment vertical="center"/>
    </xf>
    <xf numFmtId="0" fontId="152" fillId="0" borderId="0" xfId="1" applyFont="1" applyFill="1" applyAlignment="1" applyProtection="1">
      <alignment horizontal="center" vertical="center"/>
    </xf>
    <xf numFmtId="0" fontId="20" fillId="0" borderId="0" xfId="1" applyFont="1" applyFill="1" applyAlignment="1" applyProtection="1">
      <alignment horizontal="center" vertical="center"/>
    </xf>
    <xf numFmtId="0" fontId="160" fillId="0" borderId="0" xfId="10" applyFont="1" applyFill="1" applyBorder="1" applyAlignment="1">
      <alignment horizontal="center" vertical="center"/>
    </xf>
    <xf numFmtId="0" fontId="160" fillId="0" borderId="0" xfId="10" applyFont="1" applyFill="1" applyAlignment="1">
      <alignment horizontal="center" vertical="center"/>
    </xf>
    <xf numFmtId="0" fontId="155" fillId="0" borderId="0" xfId="10" applyFont="1" applyAlignment="1">
      <alignment horizontal="center" vertical="center"/>
    </xf>
    <xf numFmtId="0" fontId="160" fillId="0" borderId="122" xfId="10" applyFont="1" applyFill="1" applyBorder="1" applyAlignment="1">
      <alignment horizontal="center" vertical="center"/>
    </xf>
    <xf numFmtId="0" fontId="160" fillId="0" borderId="148" xfId="10" applyFont="1" applyBorder="1">
      <alignment vertical="center"/>
    </xf>
    <xf numFmtId="0" fontId="20" fillId="5" borderId="148" xfId="1" applyFont="1" applyFill="1" applyBorder="1" applyAlignment="1" applyProtection="1">
      <alignment horizontal="center" vertical="center"/>
    </xf>
    <xf numFmtId="0" fontId="160" fillId="0" borderId="148" xfId="10" applyFont="1" applyBorder="1" applyAlignment="1">
      <alignment horizontal="center" vertical="center"/>
    </xf>
    <xf numFmtId="0" fontId="160" fillId="0" borderId="148" xfId="10" applyFont="1" applyBorder="1" applyAlignment="1">
      <alignment vertical="center"/>
    </xf>
    <xf numFmtId="0" fontId="160" fillId="0" borderId="149" xfId="10" applyFont="1" applyBorder="1" applyAlignment="1">
      <alignment vertical="center"/>
    </xf>
    <xf numFmtId="0" fontId="246" fillId="14" borderId="0" xfId="10" applyFont="1" applyFill="1">
      <alignment vertical="center"/>
    </xf>
    <xf numFmtId="10" fontId="246" fillId="14" borderId="126" xfId="10" applyNumberFormat="1" applyFont="1" applyFill="1" applyBorder="1" applyAlignment="1">
      <alignment vertical="center"/>
    </xf>
    <xf numFmtId="0" fontId="204" fillId="6" borderId="0" xfId="10" applyFont="1" applyFill="1">
      <alignment vertical="center"/>
    </xf>
    <xf numFmtId="0" fontId="162" fillId="5" borderId="148" xfId="1" applyFont="1" applyFill="1" applyBorder="1" applyAlignment="1" applyProtection="1">
      <alignment horizontal="center" vertical="center"/>
    </xf>
    <xf numFmtId="0" fontId="155" fillId="6" borderId="0" xfId="10" applyNumberFormat="1" applyFont="1" applyFill="1" applyAlignment="1">
      <alignment horizontal="center" vertical="center"/>
    </xf>
    <xf numFmtId="14" fontId="155" fillId="0" borderId="0" xfId="10" applyNumberFormat="1" applyFont="1">
      <alignment vertical="center"/>
    </xf>
    <xf numFmtId="0" fontId="155" fillId="0" borderId="0" xfId="10" applyNumberFormat="1" applyFont="1" applyAlignment="1">
      <alignment horizontal="center" vertical="center"/>
    </xf>
    <xf numFmtId="0" fontId="204" fillId="0" borderId="0" xfId="10" applyFont="1">
      <alignment vertical="center"/>
    </xf>
    <xf numFmtId="10" fontId="89" fillId="5" borderId="12" xfId="3" applyNumberFormat="1" applyFont="1" applyFill="1" applyBorder="1" applyAlignment="1" applyProtection="1">
      <alignment horizontal="center" vertical="center" wrapText="1"/>
    </xf>
    <xf numFmtId="0" fontId="61" fillId="5" borderId="28" xfId="3" applyFont="1" applyFill="1" applyBorder="1" applyAlignment="1" applyProtection="1">
      <alignment vertical="center" wrapText="1"/>
    </xf>
    <xf numFmtId="0" fontId="89" fillId="5" borderId="68" xfId="3" applyFont="1" applyFill="1" applyBorder="1" applyAlignment="1" applyProtection="1">
      <alignment horizontal="center" vertical="center" wrapText="1"/>
    </xf>
    <xf numFmtId="0" fontId="60" fillId="5" borderId="27" xfId="3" applyFont="1" applyFill="1" applyBorder="1" applyAlignment="1" applyProtection="1">
      <alignment horizontal="left" vertical="center" wrapText="1"/>
    </xf>
    <xf numFmtId="0" fontId="86" fillId="5" borderId="40" xfId="3" applyFont="1" applyFill="1" applyBorder="1" applyAlignment="1" applyProtection="1">
      <alignment horizontal="center" vertical="center" wrapText="1"/>
    </xf>
    <xf numFmtId="0" fontId="43" fillId="5" borderId="40" xfId="3" applyFont="1" applyFill="1" applyBorder="1" applyAlignment="1" applyProtection="1">
      <alignment vertical="center"/>
    </xf>
    <xf numFmtId="0" fontId="60" fillId="5" borderId="28" xfId="3" applyFont="1" applyFill="1" applyBorder="1" applyAlignment="1" applyProtection="1">
      <alignment horizontal="center" vertical="center" wrapText="1"/>
    </xf>
    <xf numFmtId="0" fontId="43" fillId="5" borderId="28" xfId="3" applyFont="1" applyFill="1" applyBorder="1" applyAlignment="1" applyProtection="1">
      <alignment vertical="center"/>
    </xf>
    <xf numFmtId="0" fontId="61" fillId="5" borderId="39" xfId="3" applyFont="1" applyFill="1" applyBorder="1" applyAlignment="1" applyProtection="1">
      <alignment vertical="center" wrapText="1"/>
    </xf>
    <xf numFmtId="49" fontId="138" fillId="5" borderId="24" xfId="0" applyNumberFormat="1" applyFont="1" applyFill="1" applyBorder="1" applyAlignment="1" applyProtection="1">
      <alignment horizontal="left" vertical="center" wrapText="1"/>
    </xf>
    <xf numFmtId="0" fontId="60" fillId="5" borderId="55" xfId="3" applyFont="1" applyFill="1" applyBorder="1" applyAlignment="1" applyProtection="1">
      <alignment horizontal="left" vertical="center" wrapText="1"/>
    </xf>
    <xf numFmtId="185" fontId="86" fillId="5" borderId="55" xfId="3" applyNumberFormat="1" applyFont="1" applyFill="1" applyBorder="1" applyAlignment="1" applyProtection="1">
      <alignment horizontal="center" vertical="center" wrapText="1"/>
    </xf>
    <xf numFmtId="0" fontId="43" fillId="5" borderId="55" xfId="3" applyFont="1" applyFill="1" applyBorder="1" applyAlignment="1" applyProtection="1">
      <alignment horizontal="center" vertical="center" wrapText="1"/>
    </xf>
    <xf numFmtId="181" fontId="155" fillId="5" borderId="55" xfId="3" applyNumberFormat="1" applyFont="1" applyFill="1" applyBorder="1" applyAlignment="1" applyProtection="1">
      <alignment horizontal="center" vertical="center" wrapText="1"/>
    </xf>
    <xf numFmtId="0" fontId="89" fillId="5" borderId="69" xfId="3" applyFont="1" applyFill="1" applyBorder="1" applyAlignment="1" applyProtection="1">
      <alignment horizontal="center" vertical="center" wrapText="1"/>
    </xf>
    <xf numFmtId="10" fontId="87" fillId="5" borderId="83" xfId="3" applyNumberFormat="1" applyFont="1" applyFill="1" applyBorder="1" applyAlignment="1" applyProtection="1">
      <alignment horizontal="center" vertical="center" wrapText="1"/>
    </xf>
    <xf numFmtId="0" fontId="155" fillId="5" borderId="41" xfId="3" applyFont="1" applyFill="1" applyBorder="1" applyAlignment="1" applyProtection="1">
      <alignment horizontal="center" vertical="center" wrapText="1"/>
    </xf>
    <xf numFmtId="0" fontId="43" fillId="5" borderId="26" xfId="3" applyFont="1" applyFill="1" applyBorder="1" applyAlignment="1" applyProtection="1">
      <alignment horizontal="center" vertical="center" wrapText="1"/>
    </xf>
    <xf numFmtId="0" fontId="147" fillId="5" borderId="6" xfId="3" applyFont="1" applyFill="1" applyBorder="1" applyAlignment="1" applyProtection="1">
      <alignment vertical="center" wrapText="1"/>
      <protection locked="0"/>
    </xf>
    <xf numFmtId="0" fontId="147" fillId="5" borderId="39" xfId="3" applyFont="1" applyFill="1" applyBorder="1" applyAlignment="1" applyProtection="1">
      <alignment vertical="center"/>
      <protection locked="0"/>
    </xf>
    <xf numFmtId="0" fontId="147" fillId="5" borderId="26" xfId="3" applyFont="1" applyFill="1" applyBorder="1" applyAlignment="1" applyProtection="1">
      <alignment horizontal="center" vertical="center" wrapText="1"/>
      <protection locked="0"/>
    </xf>
    <xf numFmtId="177" fontId="74" fillId="0" borderId="67" xfId="0" applyNumberFormat="1" applyFont="1" applyFill="1" applyBorder="1" applyAlignment="1" applyProtection="1">
      <alignment horizontal="center" vertical="center" wrapText="1"/>
      <protection locked="0"/>
    </xf>
    <xf numFmtId="178" fontId="74" fillId="0" borderId="5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5" borderId="42" xfId="0" applyNumberFormat="1" applyFont="1" applyFill="1" applyBorder="1" applyAlignment="1" applyProtection="1">
      <alignment horizontal="center" vertical="center" wrapText="1"/>
    </xf>
    <xf numFmtId="184" fontId="246" fillId="14" borderId="0" xfId="10" applyNumberFormat="1" applyFont="1" applyFill="1" applyBorder="1" applyAlignment="1">
      <alignment horizontal="center" vertical="center"/>
    </xf>
    <xf numFmtId="0" fontId="78" fillId="5" borderId="23" xfId="0" applyNumberFormat="1" applyFont="1" applyFill="1" applyBorder="1" applyAlignment="1" applyProtection="1">
      <alignment vertical="center"/>
    </xf>
    <xf numFmtId="0" fontId="147" fillId="5" borderId="0" xfId="3" applyFont="1" applyFill="1" applyAlignment="1" applyProtection="1">
      <alignment horizontal="center" vertical="center" wrapText="1"/>
      <protection locked="0"/>
    </xf>
    <xf numFmtId="0" fontId="51" fillId="5" borderId="11" xfId="0" applyNumberFormat="1" applyFont="1" applyFill="1" applyBorder="1" applyAlignment="1" applyProtection="1">
      <alignment horizontal="center" vertical="center" wrapText="1"/>
    </xf>
    <xf numFmtId="14" fontId="87" fillId="5" borderId="0" xfId="0" applyNumberFormat="1" applyFont="1" applyFill="1" applyAlignment="1" applyProtection="1">
      <alignment horizontal="center" vertical="center"/>
    </xf>
    <xf numFmtId="176" fontId="87" fillId="5" borderId="0" xfId="0" applyNumberFormat="1" applyFont="1" applyFill="1" applyAlignment="1" applyProtection="1">
      <alignment horizontal="center" vertical="center"/>
    </xf>
    <xf numFmtId="0" fontId="74" fillId="5" borderId="42" xfId="0" applyNumberFormat="1" applyFont="1" applyFill="1" applyBorder="1" applyAlignment="1" applyProtection="1">
      <alignment horizontal="center" vertical="center" wrapText="1"/>
    </xf>
    <xf numFmtId="188" fontId="74" fillId="5" borderId="42" xfId="0" applyNumberFormat="1" applyFont="1" applyFill="1" applyBorder="1" applyAlignment="1" applyProtection="1">
      <alignment horizontal="center" vertical="center" wrapText="1"/>
    </xf>
    <xf numFmtId="0" fontId="74" fillId="5" borderId="32" xfId="0" applyNumberFormat="1" applyFont="1" applyFill="1" applyBorder="1" applyAlignment="1" applyProtection="1">
      <alignment horizontal="center" vertical="center" wrapText="1"/>
      <protection locked="0"/>
    </xf>
    <xf numFmtId="188" fontId="74" fillId="5" borderId="6" xfId="0" applyNumberFormat="1" applyFont="1" applyFill="1" applyBorder="1" applyAlignment="1" applyProtection="1">
      <alignment horizontal="center" vertical="center" wrapText="1"/>
    </xf>
    <xf numFmtId="0" fontId="143" fillId="5" borderId="21" xfId="3"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protection locked="0"/>
    </xf>
    <xf numFmtId="0" fontId="78" fillId="5" borderId="2" xfId="0" applyFont="1" applyFill="1" applyBorder="1" applyAlignment="1" applyProtection="1">
      <alignment horizontal="center" vertical="center"/>
    </xf>
    <xf numFmtId="0" fontId="73" fillId="6" borderId="30" xfId="2" applyFont="1" applyFill="1" applyBorder="1" applyAlignment="1" applyProtection="1">
      <alignment horizontal="right" vertical="center"/>
      <protection locked="0"/>
    </xf>
    <xf numFmtId="0" fontId="79" fillId="0" borderId="8" xfId="0" applyFont="1" applyFill="1" applyBorder="1" applyAlignment="1" applyProtection="1">
      <alignment vertical="center"/>
      <protection locked="0"/>
    </xf>
    <xf numFmtId="0" fontId="137" fillId="5" borderId="8" xfId="0" applyFont="1" applyFill="1" applyBorder="1" applyAlignment="1" applyProtection="1">
      <alignment vertical="center"/>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16" xfId="0" applyFont="1" applyFill="1" applyBorder="1" applyAlignment="1" applyProtection="1">
      <alignment vertical="center"/>
    </xf>
    <xf numFmtId="0" fontId="79"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9" fillId="5" borderId="16" xfId="0" applyFont="1" applyFill="1" applyBorder="1" applyAlignment="1" applyProtection="1">
      <alignment horizontal="left" vertical="center"/>
    </xf>
    <xf numFmtId="0" fontId="51" fillId="5" borderId="5" xfId="0" applyFont="1" applyFill="1" applyBorder="1" applyAlignment="1" applyProtection="1">
      <alignment vertical="center"/>
    </xf>
    <xf numFmtId="177" fontId="79" fillId="5" borderId="5" xfId="0" applyNumberFormat="1" applyFont="1" applyFill="1" applyBorder="1" applyAlignment="1" applyProtection="1">
      <alignment vertical="center"/>
    </xf>
    <xf numFmtId="0" fontId="79" fillId="5" borderId="45" xfId="0" applyFont="1" applyFill="1" applyBorder="1" applyAlignment="1" applyProtection="1">
      <alignment vertical="center"/>
    </xf>
    <xf numFmtId="0" fontId="79" fillId="5" borderId="56" xfId="0" applyFont="1" applyFill="1" applyBorder="1" applyAlignment="1" applyProtection="1">
      <alignment vertical="center"/>
    </xf>
    <xf numFmtId="0" fontId="79" fillId="5" borderId="48" xfId="0" applyFont="1" applyFill="1" applyBorder="1" applyAlignment="1" applyProtection="1">
      <alignment vertical="center"/>
    </xf>
    <xf numFmtId="0" fontId="73" fillId="5" borderId="68" xfId="0" applyFont="1" applyFill="1" applyBorder="1" applyAlignment="1" applyProtection="1">
      <alignment vertical="center"/>
    </xf>
    <xf numFmtId="0" fontId="78" fillId="5" borderId="61" xfId="0" applyFont="1" applyFill="1" applyBorder="1" applyAlignment="1" applyProtection="1">
      <alignment vertical="center"/>
    </xf>
    <xf numFmtId="0" fontId="78" fillId="5" borderId="66" xfId="0" applyFont="1" applyFill="1" applyBorder="1" applyAlignment="1" applyProtection="1">
      <alignment vertical="center"/>
    </xf>
    <xf numFmtId="0" fontId="73" fillId="5" borderId="59" xfId="0" applyFont="1" applyFill="1" applyBorder="1" applyAlignment="1" applyProtection="1">
      <alignment vertical="center"/>
    </xf>
    <xf numFmtId="0" fontId="73" fillId="5" borderId="30" xfId="0" applyFont="1" applyFill="1" applyBorder="1" applyAlignment="1" applyProtection="1">
      <alignment vertical="center"/>
    </xf>
    <xf numFmtId="184" fontId="78" fillId="5" borderId="29" xfId="0" applyNumberFormat="1" applyFont="1" applyFill="1" applyBorder="1" applyAlignment="1" applyProtection="1">
      <alignment horizontal="center" vertical="center"/>
    </xf>
    <xf numFmtId="0" fontId="73" fillId="5" borderId="57" xfId="0" applyFont="1" applyFill="1" applyBorder="1" applyAlignment="1" applyProtection="1">
      <alignment vertical="center"/>
    </xf>
    <xf numFmtId="0" fontId="78" fillId="5" borderId="11" xfId="0" applyFont="1" applyFill="1" applyBorder="1" applyAlignment="1" applyProtection="1">
      <alignment horizontal="center" vertical="center"/>
    </xf>
    <xf numFmtId="0" fontId="78" fillId="5" borderId="4" xfId="0" applyFont="1" applyFill="1" applyBorder="1" applyAlignment="1" applyProtection="1">
      <alignment vertical="center"/>
    </xf>
    <xf numFmtId="184" fontId="79" fillId="0" borderId="2" xfId="0" applyNumberFormat="1" applyFont="1" applyFill="1" applyBorder="1" applyAlignment="1" applyProtection="1">
      <alignment horizontal="center" vertical="center"/>
      <protection locked="0"/>
    </xf>
    <xf numFmtId="184" fontId="79" fillId="0" borderId="12" xfId="0" applyNumberFormat="1" applyFont="1" applyFill="1" applyBorder="1" applyAlignment="1" applyProtection="1">
      <alignment horizontal="center" vertical="center"/>
      <protection locked="0"/>
    </xf>
    <xf numFmtId="49" fontId="79" fillId="5" borderId="43" xfId="0" applyNumberFormat="1" applyFont="1" applyFill="1" applyBorder="1" applyAlignment="1" applyProtection="1">
      <alignment horizontal="left" vertical="center"/>
    </xf>
    <xf numFmtId="184" fontId="79" fillId="0" borderId="44" xfId="0" applyNumberFormat="1" applyFont="1" applyFill="1" applyBorder="1" applyAlignment="1" applyProtection="1">
      <alignment horizontal="center" vertical="center"/>
      <protection locked="0"/>
    </xf>
    <xf numFmtId="184" fontId="79" fillId="0" borderId="46" xfId="0" applyNumberFormat="1" applyFont="1" applyFill="1" applyBorder="1" applyAlignment="1" applyProtection="1">
      <alignment horizontal="center" vertical="center"/>
      <protection locked="0"/>
    </xf>
    <xf numFmtId="49" fontId="73" fillId="5" borderId="59" xfId="0" applyNumberFormat="1" applyFont="1" applyFill="1" applyBorder="1" applyAlignment="1" applyProtection="1">
      <alignment vertical="center"/>
    </xf>
    <xf numFmtId="49" fontId="78" fillId="5" borderId="11" xfId="0" applyNumberFormat="1" applyFont="1" applyFill="1" applyBorder="1" applyAlignment="1" applyProtection="1">
      <alignment horizontal="center" vertical="center"/>
    </xf>
    <xf numFmtId="184" fontId="78" fillId="5" borderId="2" xfId="0" applyNumberFormat="1" applyFont="1" applyFill="1" applyBorder="1" applyAlignment="1" applyProtection="1">
      <alignment horizontal="center" vertical="center"/>
    </xf>
    <xf numFmtId="49" fontId="79" fillId="5" borderId="11" xfId="2" applyNumberFormat="1" applyFont="1" applyFill="1" applyBorder="1" applyAlignment="1" applyProtection="1">
      <alignment horizontal="left" vertical="center"/>
    </xf>
    <xf numFmtId="0" fontId="79" fillId="5" borderId="5" xfId="2" applyFont="1" applyFill="1" applyBorder="1" applyAlignment="1" applyProtection="1">
      <alignment vertical="center"/>
    </xf>
    <xf numFmtId="179" fontId="79" fillId="5" borderId="2" xfId="2" applyNumberFormat="1" applyFont="1" applyFill="1" applyBorder="1" applyAlignment="1" applyProtection="1">
      <alignment horizontal="center" vertical="center"/>
    </xf>
    <xf numFmtId="0" fontId="79" fillId="5" borderId="2" xfId="0" applyFont="1" applyFill="1" applyBorder="1" applyAlignment="1" applyProtection="1">
      <alignment vertical="center"/>
    </xf>
    <xf numFmtId="181" fontId="79" fillId="5" borderId="2" xfId="2" applyNumberFormat="1" applyFont="1" applyFill="1" applyBorder="1" applyAlignment="1" applyProtection="1">
      <alignment horizontal="center" vertical="center"/>
    </xf>
    <xf numFmtId="9" fontId="79" fillId="5" borderId="2" xfId="2" applyNumberFormat="1" applyFont="1" applyFill="1" applyBorder="1" applyAlignment="1" applyProtection="1">
      <alignment horizontal="center" vertical="center"/>
    </xf>
    <xf numFmtId="177" fontId="79" fillId="5" borderId="2" xfId="2" applyNumberFormat="1" applyFont="1" applyFill="1" applyBorder="1" applyAlignment="1" applyProtection="1">
      <alignment horizontal="center" vertical="center"/>
    </xf>
    <xf numFmtId="10" fontId="79" fillId="5" borderId="2" xfId="2"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7" fontId="78" fillId="5" borderId="2" xfId="2" applyNumberFormat="1" applyFont="1" applyFill="1" applyBorder="1" applyAlignment="1" applyProtection="1">
      <alignment horizontal="center" vertical="center"/>
    </xf>
    <xf numFmtId="0" fontId="78" fillId="5" borderId="2"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0" fontId="79" fillId="5" borderId="2" xfId="2" applyFont="1" applyFill="1" applyBorder="1" applyAlignment="1" applyProtection="1">
      <alignment horizontal="left" vertical="center"/>
    </xf>
    <xf numFmtId="185" fontId="79" fillId="5" borderId="9" xfId="0" applyNumberFormat="1" applyFont="1" applyFill="1" applyBorder="1" applyAlignment="1" applyProtection="1">
      <alignment horizontal="center" vertical="center"/>
    </xf>
    <xf numFmtId="177" fontId="79" fillId="5" borderId="0"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left" vertical="center"/>
    </xf>
    <xf numFmtId="0" fontId="78" fillId="5" borderId="2" xfId="2" applyFont="1" applyFill="1" applyBorder="1" applyAlignment="1" applyProtection="1">
      <alignment horizontal="left" vertical="center"/>
    </xf>
    <xf numFmtId="0" fontId="79" fillId="5" borderId="5" xfId="2" applyFont="1" applyFill="1" applyBorder="1" applyAlignment="1" applyProtection="1">
      <alignment horizontal="left" vertical="center"/>
    </xf>
    <xf numFmtId="177" fontId="79" fillId="5" borderId="56" xfId="2" applyNumberFormat="1" applyFont="1" applyFill="1" applyBorder="1" applyAlignment="1" applyProtection="1">
      <alignment vertical="center"/>
    </xf>
    <xf numFmtId="184" fontId="73" fillId="5" borderId="55" xfId="0" applyNumberFormat="1" applyFont="1" applyFill="1" applyBorder="1" applyAlignment="1" applyProtection="1">
      <alignment horizontal="center" vertical="center"/>
    </xf>
    <xf numFmtId="0" fontId="79" fillId="6" borderId="0" xfId="0" applyFont="1" applyFill="1" applyProtection="1">
      <alignment vertical="center"/>
      <protection locked="0"/>
    </xf>
    <xf numFmtId="49" fontId="199" fillId="0" borderId="2" xfId="0" applyNumberFormat="1" applyFont="1" applyBorder="1" applyAlignment="1" applyProtection="1">
      <alignment horizontal="center" vertical="center" wrapText="1"/>
      <protection locked="0"/>
    </xf>
    <xf numFmtId="0" fontId="198" fillId="0" borderId="0" xfId="0" applyFont="1" applyAlignment="1">
      <alignment horizontal="center" vertical="center" wrapText="1"/>
    </xf>
    <xf numFmtId="0" fontId="198" fillId="0" borderId="0" xfId="0" applyFont="1" applyAlignment="1">
      <alignment horizontal="right" vertical="center"/>
    </xf>
    <xf numFmtId="0" fontId="198" fillId="0" borderId="19" xfId="0" applyFont="1" applyBorder="1" applyAlignment="1">
      <alignment vertical="center" wrapText="1"/>
    </xf>
    <xf numFmtId="0" fontId="190" fillId="0" borderId="0" xfId="0" applyFont="1" applyAlignment="1">
      <alignment horizontal="center" vertical="center" wrapText="1"/>
    </xf>
    <xf numFmtId="190" fontId="142"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194" fillId="0" borderId="0" xfId="0" applyFont="1">
      <alignment vertical="center"/>
    </xf>
    <xf numFmtId="0" fontId="183" fillId="0" borderId="0" xfId="0" applyFont="1" applyBorder="1">
      <alignment vertical="center"/>
    </xf>
    <xf numFmtId="0" fontId="183" fillId="0" borderId="2" xfId="0" applyFont="1" applyBorder="1" applyAlignment="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protection locked="0"/>
    </xf>
    <xf numFmtId="0" fontId="183" fillId="0" borderId="2" xfId="0" applyFont="1" applyFill="1" applyBorder="1" applyAlignment="1" applyProtection="1">
      <alignment horizontal="left" vertical="center"/>
    </xf>
    <xf numFmtId="0" fontId="183" fillId="0" borderId="0" xfId="0" applyFont="1">
      <alignment vertical="center"/>
    </xf>
    <xf numFmtId="0" fontId="183" fillId="0" borderId="2" xfId="0" applyFont="1" applyBorder="1">
      <alignment vertical="center"/>
    </xf>
    <xf numFmtId="49" fontId="183" fillId="0" borderId="2" xfId="0" applyNumberFormat="1" applyFont="1" applyBorder="1" applyAlignment="1" applyProtection="1">
      <alignment horizontal="left" vertical="center"/>
    </xf>
    <xf numFmtId="0" fontId="183" fillId="0" borderId="2" xfId="0" applyNumberFormat="1" applyFont="1" applyBorder="1" applyAlignment="1" applyProtection="1">
      <alignment horizontal="left" vertical="center"/>
    </xf>
    <xf numFmtId="0" fontId="183" fillId="0" borderId="2" xfId="0" applyFont="1" applyBorder="1" applyAlignment="1">
      <alignment horizontal="lef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21" xfId="0" applyFont="1" applyBorder="1" applyAlignment="1">
      <alignment vertical="center" wrapText="1"/>
    </xf>
    <xf numFmtId="0" fontId="183" fillId="0" borderId="21" xfId="0" applyFont="1" applyBorder="1" applyAlignment="1" applyProtection="1">
      <alignment horizontal="left" vertical="center"/>
    </xf>
    <xf numFmtId="0" fontId="183" fillId="0" borderId="71" xfId="0" applyFont="1" applyBorder="1" applyAlignment="1">
      <alignment horizontal="left" vertical="center" wrapText="1"/>
    </xf>
    <xf numFmtId="0" fontId="157" fillId="0" borderId="71" xfId="0" applyFont="1" applyBorder="1" applyAlignment="1" applyProtection="1">
      <alignment horizontal="left" vertical="center"/>
      <protection locked="0"/>
    </xf>
    <xf numFmtId="0" fontId="183" fillId="0" borderId="91" xfId="0" applyFont="1" applyBorder="1">
      <alignment vertical="center"/>
    </xf>
    <xf numFmtId="0" fontId="183" fillId="0" borderId="74" xfId="0" applyFont="1" applyBorder="1" applyAlignment="1">
      <alignment vertical="center" wrapText="1"/>
    </xf>
    <xf numFmtId="0" fontId="183" fillId="0" borderId="74" xfId="0" applyFont="1" applyBorder="1" applyAlignment="1" applyProtection="1">
      <alignment horizontal="left" vertical="center"/>
    </xf>
    <xf numFmtId="0" fontId="183" fillId="0" borderId="78" xfId="0" applyFont="1" applyBorder="1" applyProtection="1">
      <alignment vertical="center"/>
      <protection locked="0"/>
    </xf>
    <xf numFmtId="49" fontId="183" fillId="0" borderId="78" xfId="0" applyNumberFormat="1" applyFont="1" applyBorder="1" applyProtection="1">
      <alignment vertical="center"/>
      <protection locked="0"/>
    </xf>
    <xf numFmtId="183" fontId="183" fillId="0" borderId="78" xfId="0" applyNumberFormat="1" applyFont="1" applyBorder="1" applyProtection="1">
      <alignment vertical="center"/>
      <protection locked="0"/>
    </xf>
    <xf numFmtId="0" fontId="183" fillId="0" borderId="0" xfId="0" applyFont="1" applyFill="1" applyBorder="1" applyProtection="1">
      <alignment vertical="center"/>
    </xf>
    <xf numFmtId="0" fontId="183" fillId="0" borderId="71" xfId="0" applyFont="1" applyBorder="1" applyAlignment="1">
      <alignment vertical="center" wrapText="1"/>
    </xf>
    <xf numFmtId="0" fontId="183" fillId="0" borderId="71" xfId="0" applyFont="1" applyBorder="1" applyAlignment="1" applyProtection="1">
      <alignment horizontal="left" vertical="center"/>
    </xf>
    <xf numFmtId="0" fontId="183" fillId="0" borderId="78" xfId="0" applyFont="1" applyBorder="1">
      <alignment vertical="center"/>
    </xf>
    <xf numFmtId="0" fontId="183" fillId="0" borderId="74" xfId="0" applyFont="1" applyBorder="1">
      <alignment vertical="center"/>
    </xf>
    <xf numFmtId="190" fontId="183" fillId="0" borderId="71" xfId="0" applyNumberFormat="1" applyFont="1" applyBorder="1" applyAlignment="1" applyProtection="1">
      <alignment horizontal="left" vertical="center"/>
    </xf>
    <xf numFmtId="0" fontId="183" fillId="0" borderId="21" xfId="0" applyFont="1" applyBorder="1" applyAlignment="1">
      <alignment horizontal="left" vertical="center"/>
    </xf>
    <xf numFmtId="0" fontId="183" fillId="0" borderId="71" xfId="0" applyNumberFormat="1" applyFont="1" applyBorder="1" applyAlignment="1" applyProtection="1">
      <alignment horizontal="left" vertical="center"/>
    </xf>
    <xf numFmtId="0" fontId="183" fillId="0" borderId="71" xfId="0" applyFont="1" applyBorder="1" applyAlignment="1">
      <alignment horizontal="left" vertical="center"/>
    </xf>
    <xf numFmtId="0" fontId="255" fillId="5" borderId="53" xfId="0" applyFont="1" applyFill="1" applyBorder="1" applyAlignment="1" applyProtection="1">
      <alignment vertical="center" wrapText="1"/>
    </xf>
    <xf numFmtId="0" fontId="74" fillId="2" borderId="3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255" fillId="5" borderId="24" xfId="0" applyFont="1" applyFill="1" applyBorder="1" applyAlignment="1" applyProtection="1">
      <alignment vertical="center" wrapText="1"/>
    </xf>
    <xf numFmtId="183" fontId="74" fillId="5" borderId="62" xfId="0" applyNumberFormat="1" applyFont="1" applyFill="1" applyBorder="1" applyAlignment="1" applyProtection="1">
      <alignment horizontal="center" vertical="center" wrapText="1"/>
    </xf>
    <xf numFmtId="0" fontId="78" fillId="5" borderId="59"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5" borderId="87" xfId="0" applyFont="1" applyFill="1" applyBorder="1" applyAlignment="1" applyProtection="1">
      <alignment vertical="center" wrapText="1"/>
    </xf>
    <xf numFmtId="0" fontId="106" fillId="5" borderId="64" xfId="0" applyFont="1" applyFill="1" applyBorder="1" applyAlignment="1" applyProtection="1">
      <alignment vertical="center" wrapText="1"/>
    </xf>
    <xf numFmtId="0" fontId="86" fillId="5" borderId="64" xfId="0" applyFont="1" applyFill="1" applyBorder="1" applyAlignment="1" applyProtection="1">
      <alignment vertical="center" wrapText="1"/>
    </xf>
    <xf numFmtId="0" fontId="86" fillId="8" borderId="87" xfId="0" applyFont="1" applyFill="1" applyBorder="1" applyAlignment="1" applyProtection="1">
      <alignment vertical="center" wrapText="1"/>
    </xf>
    <xf numFmtId="0" fontId="86" fillId="8" borderId="54" xfId="0" applyFont="1" applyFill="1" applyBorder="1" applyAlignment="1" applyProtection="1">
      <alignment vertical="center" wrapText="1"/>
    </xf>
    <xf numFmtId="0" fontId="78" fillId="5" borderId="57"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78" fillId="5" borderId="63"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protection locked="0"/>
    </xf>
    <xf numFmtId="0" fontId="78" fillId="8" borderId="63" xfId="0" applyFont="1" applyFill="1" applyBorder="1" applyAlignment="1" applyProtection="1">
      <alignment horizontal="left" vertical="center" wrapText="1"/>
      <protection locked="0"/>
    </xf>
    <xf numFmtId="0" fontId="78" fillId="8" borderId="66" xfId="0" applyFont="1" applyFill="1" applyBorder="1" applyAlignment="1" applyProtection="1">
      <alignment horizontal="left" vertical="center" wrapText="1"/>
      <protection locked="0"/>
    </xf>
    <xf numFmtId="0" fontId="87" fillId="5" borderId="0" xfId="3" applyFont="1" applyFill="1" applyAlignment="1" applyProtection="1">
      <alignment horizontal="center" vertical="center" wrapText="1"/>
      <protection locked="0"/>
    </xf>
    <xf numFmtId="0" fontId="109" fillId="0" borderId="2" xfId="3" applyFont="1" applyFill="1" applyBorder="1" applyAlignment="1" applyProtection="1">
      <alignment horizontal="center" vertical="center" wrapText="1"/>
      <protection locked="0"/>
    </xf>
    <xf numFmtId="0" fontId="89" fillId="5" borderId="2" xfId="3" applyFont="1" applyFill="1" applyBorder="1" applyAlignment="1" applyProtection="1">
      <alignment horizontal="center" vertical="center" wrapText="1"/>
      <protection locked="0"/>
    </xf>
    <xf numFmtId="179" fontId="89" fillId="5" borderId="2" xfId="3" applyNumberFormat="1" applyFont="1" applyFill="1" applyBorder="1" applyAlignment="1" applyProtection="1">
      <alignment horizontal="center" vertical="center" wrapText="1"/>
      <protection locked="0"/>
    </xf>
    <xf numFmtId="0" fontId="89" fillId="8" borderId="0" xfId="3" applyFont="1" applyFill="1" applyAlignment="1" applyProtection="1">
      <alignment horizontal="center" vertical="center" wrapText="1"/>
    </xf>
    <xf numFmtId="0" fontId="89" fillId="0" borderId="0" xfId="3" applyFont="1" applyAlignment="1" applyProtection="1">
      <alignment horizontal="center" vertical="center" wrapText="1"/>
    </xf>
    <xf numFmtId="184" fontId="155" fillId="5" borderId="2" xfId="3" applyNumberFormat="1" applyFont="1" applyFill="1" applyBorder="1" applyAlignment="1" applyProtection="1">
      <alignment horizontal="center" vertical="center"/>
    </xf>
    <xf numFmtId="177" fontId="161" fillId="5" borderId="2" xfId="3" applyNumberFormat="1" applyFont="1" applyFill="1" applyBorder="1" applyAlignment="1" applyProtection="1">
      <alignment horizontal="center" vertical="center"/>
    </xf>
    <xf numFmtId="185" fontId="161" fillId="5" borderId="2" xfId="3" applyNumberFormat="1" applyFont="1" applyFill="1" applyBorder="1" applyAlignment="1" applyProtection="1">
      <alignment horizontal="center" vertical="center" wrapText="1"/>
    </xf>
    <xf numFmtId="0" fontId="155" fillId="5" borderId="2" xfId="3"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143" fillId="5" borderId="2" xfId="3" applyFont="1" applyFill="1" applyBorder="1" applyAlignment="1" applyProtection="1">
      <alignment horizontal="center" vertical="center" wrapText="1"/>
    </xf>
    <xf numFmtId="0" fontId="109" fillId="5" borderId="2" xfId="3" applyFont="1" applyFill="1" applyBorder="1" applyAlignment="1" applyProtection="1">
      <alignment horizontal="center" vertical="center" wrapText="1"/>
    </xf>
    <xf numFmtId="177" fontId="130" fillId="5" borderId="91" xfId="4" applyNumberFormat="1" applyFont="1" applyFill="1" applyBorder="1" applyAlignment="1">
      <alignment horizontal="center"/>
    </xf>
    <xf numFmtId="0" fontId="0" fillId="0" borderId="0" xfId="0" applyAlignment="1"/>
    <xf numFmtId="0" fontId="149" fillId="5" borderId="0" xfId="0" applyFont="1" applyFill="1" applyAlignment="1"/>
    <xf numFmtId="0" fontId="130" fillId="5" borderId="0" xfId="4" applyFont="1" applyFill="1"/>
    <xf numFmtId="0" fontId="130" fillId="5" borderId="1" xfId="4" applyFont="1" applyFill="1" applyBorder="1"/>
    <xf numFmtId="0" fontId="204" fillId="5" borderId="6" xfId="4" applyFont="1" applyFill="1" applyBorder="1" applyAlignment="1">
      <alignment horizontal="center" vertical="center" wrapText="1"/>
    </xf>
    <xf numFmtId="0" fontId="130" fillId="5" borderId="7" xfId="4" applyFont="1" applyFill="1" applyBorder="1" applyAlignment="1">
      <alignment horizontal="center"/>
    </xf>
    <xf numFmtId="0" fontId="204" fillId="5" borderId="1" xfId="4" applyFont="1" applyFill="1" applyBorder="1" applyAlignment="1">
      <alignment horizontal="center" vertical="center" wrapText="1"/>
    </xf>
    <xf numFmtId="0" fontId="130" fillId="5" borderId="6" xfId="4" applyNumberFormat="1" applyFont="1" applyFill="1" applyBorder="1" applyAlignment="1">
      <alignment horizontal="center"/>
    </xf>
    <xf numFmtId="0" fontId="130" fillId="0" borderId="0" xfId="4" applyFont="1"/>
    <xf numFmtId="0" fontId="130" fillId="5" borderId="11" xfId="4" applyFont="1" applyFill="1" applyBorder="1"/>
    <xf numFmtId="0" fontId="204" fillId="5" borderId="2" xfId="4" applyFont="1" applyFill="1" applyBorder="1" applyAlignment="1">
      <alignment horizontal="center" vertical="center" wrapText="1"/>
    </xf>
    <xf numFmtId="0" fontId="130" fillId="5" borderId="12" xfId="4" applyFont="1" applyFill="1" applyBorder="1" applyAlignment="1">
      <alignment horizontal="center"/>
    </xf>
    <xf numFmtId="0" fontId="204" fillId="5" borderId="11" xfId="4" applyFont="1" applyFill="1" applyBorder="1" applyAlignment="1">
      <alignment horizontal="center" vertical="center" wrapText="1"/>
    </xf>
    <xf numFmtId="0" fontId="130" fillId="5" borderId="2" xfId="4" applyNumberFormat="1" applyFont="1" applyFill="1" applyBorder="1" applyAlignment="1">
      <alignment horizontal="center"/>
    </xf>
    <xf numFmtId="0" fontId="130" fillId="5" borderId="43" xfId="4" applyFont="1" applyFill="1" applyBorder="1"/>
    <xf numFmtId="0" fontId="204" fillId="5" borderId="44" xfId="4" applyFont="1" applyFill="1" applyBorder="1" applyAlignment="1">
      <alignment horizontal="center" vertical="center" wrapText="1"/>
    </xf>
    <xf numFmtId="0" fontId="130" fillId="5" borderId="46" xfId="4" applyFont="1" applyFill="1" applyBorder="1" applyAlignment="1">
      <alignment horizontal="center"/>
    </xf>
    <xf numFmtId="0" fontId="204" fillId="5" borderId="43" xfId="4" applyFont="1" applyFill="1" applyBorder="1" applyAlignment="1">
      <alignment horizontal="center" vertical="center" wrapText="1"/>
    </xf>
    <xf numFmtId="0" fontId="130" fillId="5" borderId="44" xfId="4" applyNumberFormat="1" applyFont="1" applyFill="1" applyBorder="1" applyAlignment="1">
      <alignment horizontal="center"/>
    </xf>
    <xf numFmtId="0" fontId="130" fillId="5" borderId="0" xfId="4" applyNumberFormat="1" applyFont="1" applyFill="1" applyAlignment="1">
      <alignment horizontal="center"/>
    </xf>
    <xf numFmtId="0" fontId="130" fillId="5" borderId="0" xfId="4" applyFont="1" applyFill="1" applyAlignment="1">
      <alignment horizontal="right"/>
    </xf>
    <xf numFmtId="14" fontId="130" fillId="5" borderId="0" xfId="4" applyNumberFormat="1" applyFont="1" applyFill="1" applyAlignment="1">
      <alignment horizontal="center"/>
    </xf>
    <xf numFmtId="0" fontId="256" fillId="5" borderId="0" xfId="4" applyNumberFormat="1" applyFont="1" applyFill="1" applyAlignment="1">
      <alignment horizontal="center"/>
    </xf>
    <xf numFmtId="0" fontId="257" fillId="5" borderId="0" xfId="4" applyFont="1" applyFill="1" applyAlignment="1">
      <alignment horizontal="left"/>
    </xf>
    <xf numFmtId="14" fontId="256" fillId="5" borderId="0" xfId="4" applyNumberFormat="1" applyFont="1" applyFill="1" applyAlignment="1">
      <alignment horizontal="center"/>
    </xf>
    <xf numFmtId="0" fontId="256" fillId="5" borderId="0" xfId="4" applyFont="1" applyFill="1"/>
    <xf numFmtId="0" fontId="256" fillId="0" borderId="0" xfId="4" applyFont="1"/>
    <xf numFmtId="0" fontId="256" fillId="0" borderId="0" xfId="0" applyFont="1" applyAlignment="1"/>
    <xf numFmtId="0" fontId="258" fillId="5" borderId="0" xfId="4" applyFont="1" applyFill="1"/>
    <xf numFmtId="0" fontId="259" fillId="5" borderId="0" xfId="4" applyFont="1" applyFill="1"/>
    <xf numFmtId="0" fontId="258" fillId="0" borderId="0" xfId="4" applyFont="1"/>
    <xf numFmtId="0" fontId="204" fillId="5" borderId="0" xfId="4" applyFont="1" applyFill="1" applyAlignment="1"/>
    <xf numFmtId="0" fontId="238" fillId="5" borderId="10" xfId="4" applyFont="1" applyFill="1" applyBorder="1" applyAlignment="1">
      <alignment horizontal="center" vertical="center"/>
    </xf>
    <xf numFmtId="0" fontId="238" fillId="5" borderId="10" xfId="4" applyFont="1" applyFill="1" applyBorder="1" applyAlignment="1">
      <alignment vertical="center"/>
    </xf>
    <xf numFmtId="0" fontId="238" fillId="5" borderId="5" xfId="4" applyFont="1" applyFill="1" applyBorder="1" applyAlignment="1">
      <alignment vertical="center"/>
    </xf>
    <xf numFmtId="0" fontId="238" fillId="5" borderId="9" xfId="4" applyFont="1" applyFill="1" applyBorder="1" applyAlignment="1">
      <alignment vertical="center"/>
    </xf>
    <xf numFmtId="0" fontId="238" fillId="5" borderId="8" xfId="4" applyFont="1" applyFill="1" applyBorder="1" applyAlignment="1">
      <alignment vertical="center"/>
    </xf>
    <xf numFmtId="0" fontId="204" fillId="0" borderId="0" xfId="4" applyFont="1" applyAlignment="1"/>
    <xf numFmtId="0" fontId="204" fillId="5" borderId="0" xfId="4" applyFont="1" applyFill="1"/>
    <xf numFmtId="0" fontId="238" fillId="5" borderId="21" xfId="4" applyFont="1" applyFill="1" applyBorder="1" applyAlignment="1">
      <alignment horizontal="center" vertical="center" wrapText="1"/>
    </xf>
    <xf numFmtId="0" fontId="238" fillId="5" borderId="21" xfId="4" applyFont="1" applyFill="1" applyBorder="1" applyAlignment="1">
      <alignment vertical="center" wrapText="1"/>
    </xf>
    <xf numFmtId="0" fontId="130" fillId="5" borderId="2" xfId="4" applyFont="1" applyFill="1" applyBorder="1"/>
    <xf numFmtId="0" fontId="238" fillId="5" borderId="2" xfId="4" applyFont="1" applyFill="1" applyBorder="1" applyAlignment="1">
      <alignment horizontal="center" vertical="center" wrapText="1"/>
    </xf>
    <xf numFmtId="0" fontId="204" fillId="0" borderId="0" xfId="4" applyFont="1"/>
    <xf numFmtId="0" fontId="223" fillId="5" borderId="0" xfId="4" applyFont="1" applyFill="1" applyAlignment="1">
      <alignment vertical="center"/>
    </xf>
    <xf numFmtId="0" fontId="223" fillId="5" borderId="2" xfId="4" applyFont="1" applyFill="1" applyBorder="1" applyAlignment="1">
      <alignment horizontal="left" vertical="center" wrapText="1"/>
    </xf>
    <xf numFmtId="193" fontId="223" fillId="5" borderId="2" xfId="4" applyNumberFormat="1" applyFont="1" applyFill="1" applyBorder="1" applyAlignment="1">
      <alignment horizontal="center" vertical="center" wrapText="1"/>
    </xf>
    <xf numFmtId="0" fontId="223" fillId="5" borderId="2" xfId="4" applyFont="1" applyFill="1" applyBorder="1" applyAlignment="1">
      <alignment horizontal="center" vertical="center" wrapText="1"/>
    </xf>
    <xf numFmtId="14" fontId="223" fillId="5" borderId="2" xfId="4" applyNumberFormat="1" applyFont="1" applyFill="1" applyBorder="1" applyAlignment="1">
      <alignment horizontal="center" vertical="center" wrapText="1"/>
    </xf>
    <xf numFmtId="0" fontId="223" fillId="6" borderId="0" xfId="4" applyFont="1" applyFill="1" applyAlignment="1">
      <alignment vertical="center"/>
    </xf>
    <xf numFmtId="0" fontId="261" fillId="0" borderId="0" xfId="0" applyFont="1" applyAlignment="1"/>
    <xf numFmtId="0" fontId="130" fillId="5" borderId="2" xfId="4" applyFont="1" applyFill="1" applyBorder="1" applyAlignment="1">
      <alignment horizontal="center" wrapText="1"/>
    </xf>
    <xf numFmtId="14" fontId="130" fillId="5" borderId="2" xfId="4" applyNumberFormat="1" applyFont="1" applyFill="1" applyBorder="1" applyAlignment="1">
      <alignment horizontal="center" wrapText="1"/>
    </xf>
    <xf numFmtId="179" fontId="262" fillId="5" borderId="2" xfId="4" applyNumberFormat="1" applyFont="1" applyFill="1" applyBorder="1" applyAlignment="1">
      <alignment horizontal="center"/>
    </xf>
    <xf numFmtId="14" fontId="214" fillId="5" borderId="2" xfId="4" applyNumberFormat="1" applyFont="1" applyFill="1" applyBorder="1" applyAlignment="1">
      <alignment horizontal="center" wrapText="1"/>
    </xf>
    <xf numFmtId="0" fontId="130" fillId="5" borderId="0" xfId="4" applyFont="1" applyFill="1" applyBorder="1" applyAlignment="1">
      <alignment horizontal="center" wrapText="1"/>
    </xf>
    <xf numFmtId="14" fontId="130"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0" fillId="5" borderId="0" xfId="4" applyFont="1" applyFill="1" applyBorder="1"/>
    <xf numFmtId="0" fontId="0" fillId="5" borderId="0" xfId="0" applyFill="1" applyBorder="1" applyAlignment="1"/>
    <xf numFmtId="0" fontId="229" fillId="5" borderId="2" xfId="4" applyFont="1" applyFill="1" applyBorder="1" applyAlignment="1">
      <alignment horizontal="center"/>
    </xf>
    <xf numFmtId="0" fontId="229" fillId="5" borderId="21" xfId="4" applyFont="1" applyFill="1" applyBorder="1" applyAlignment="1">
      <alignment horizontal="center"/>
    </xf>
    <xf numFmtId="0" fontId="207" fillId="5" borderId="2" xfId="0" applyFont="1" applyFill="1" applyBorder="1" applyAlignment="1">
      <alignment horizontal="center"/>
    </xf>
    <xf numFmtId="10" fontId="232" fillId="5" borderId="2" xfId="4" applyNumberFormat="1" applyFont="1" applyFill="1" applyBorder="1" applyAlignment="1">
      <alignment horizontal="center"/>
    </xf>
    <xf numFmtId="14" fontId="232" fillId="5" borderId="2" xfId="4" applyNumberFormat="1" applyFont="1" applyFill="1" applyBorder="1" applyAlignment="1" applyProtection="1">
      <alignment horizontal="center"/>
    </xf>
    <xf numFmtId="0" fontId="232" fillId="5" borderId="21" xfId="4" applyFont="1" applyFill="1" applyBorder="1" applyAlignment="1" applyProtection="1">
      <alignment horizontal="center"/>
    </xf>
    <xf numFmtId="190" fontId="217" fillId="0" borderId="2" xfId="7" applyNumberFormat="1" applyFont="1" applyFill="1" applyBorder="1" applyAlignment="1">
      <alignment horizontal="right" vertical="center"/>
    </xf>
    <xf numFmtId="183" fontId="217" fillId="0" borderId="2" xfId="7" applyNumberFormat="1" applyFont="1" applyFill="1" applyBorder="1" applyAlignment="1">
      <alignment horizontal="center" vertical="center"/>
    </xf>
    <xf numFmtId="190" fontId="217" fillId="0" borderId="10" xfId="7" applyNumberFormat="1" applyFont="1" applyFill="1" applyBorder="1" applyAlignment="1">
      <alignment horizontal="center" vertical="center"/>
    </xf>
    <xf numFmtId="10" fontId="155" fillId="6" borderId="0" xfId="10" applyNumberFormat="1" applyFont="1" applyFill="1" applyAlignment="1">
      <alignment horizontal="center" vertical="center"/>
    </xf>
    <xf numFmtId="0" fontId="48" fillId="5" borderId="2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20" fillId="6" borderId="21" xfId="0" applyFont="1" applyFill="1" applyBorder="1" applyAlignment="1" applyProtection="1">
      <alignment horizontal="center" vertical="center" wrapText="1"/>
      <protection locked="0"/>
    </xf>
    <xf numFmtId="176"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6" fontId="14" fillId="0" borderId="2" xfId="0" applyNumberFormat="1" applyFont="1" applyBorder="1" applyAlignment="1" applyProtection="1">
      <alignment horizontal="center" vertical="center" wrapText="1"/>
      <protection locked="0"/>
    </xf>
    <xf numFmtId="176"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77" fontId="14" fillId="0" borderId="2" xfId="2" applyNumberFormat="1" applyFont="1" applyFill="1" applyBorder="1" applyAlignment="1" applyProtection="1">
      <alignment vertical="center"/>
      <protection locked="0" hidden="1"/>
    </xf>
    <xf numFmtId="181" fontId="155" fillId="0" borderId="2" xfId="0" applyNumberFormat="1" applyFont="1" applyFill="1" applyBorder="1" applyAlignment="1" applyProtection="1">
      <alignment horizontal="center" vertical="center"/>
      <protection locked="0"/>
    </xf>
    <xf numFmtId="177" fontId="79" fillId="0" borderId="2" xfId="2" applyNumberFormat="1" applyFont="1" applyFill="1" applyBorder="1" applyAlignment="1" applyProtection="1">
      <alignment horizontal="center" vertical="center"/>
      <protection locked="0"/>
    </xf>
    <xf numFmtId="10" fontId="79" fillId="0" borderId="2" xfId="2" applyNumberFormat="1" applyFont="1" applyFill="1" applyBorder="1" applyAlignment="1" applyProtection="1">
      <alignment horizontal="center" vertical="center"/>
      <protection locked="0"/>
    </xf>
    <xf numFmtId="9" fontId="79" fillId="0" borderId="5" xfId="0" applyNumberFormat="1" applyFont="1" applyFill="1" applyBorder="1" applyAlignment="1" applyProtection="1">
      <alignment horizontal="center" vertical="center"/>
      <protection locked="0"/>
    </xf>
    <xf numFmtId="184" fontId="155" fillId="0" borderId="10" xfId="0" applyNumberFormat="1" applyFont="1" applyFill="1" applyBorder="1" applyAlignment="1" applyProtection="1">
      <alignment horizontal="center" vertical="center"/>
      <protection locked="0"/>
    </xf>
    <xf numFmtId="0" fontId="78" fillId="5" borderId="2" xfId="0" applyNumberFormat="1" applyFont="1" applyFill="1" applyBorder="1" applyAlignment="1" applyProtection="1">
      <alignment horizontal="right"/>
    </xf>
    <xf numFmtId="0" fontId="78" fillId="5" borderId="2" xfId="2" applyNumberFormat="1" applyFont="1" applyFill="1" applyBorder="1" applyAlignment="1" applyProtection="1">
      <alignment horizontal="right"/>
    </xf>
    <xf numFmtId="0" fontId="51" fillId="5" borderId="2" xfId="2" applyFont="1" applyFill="1" applyBorder="1" applyAlignment="1" applyProtection="1">
      <alignment vertical="center" wrapText="1"/>
    </xf>
    <xf numFmtId="0" fontId="43" fillId="5" borderId="44" xfId="0" applyFont="1" applyFill="1" applyBorder="1" applyAlignment="1" applyProtection="1">
      <alignment vertical="center"/>
    </xf>
    <xf numFmtId="49" fontId="136"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88" fillId="5" borderId="10" xfId="0" applyNumberFormat="1" applyFont="1" applyFill="1" applyBorder="1" applyAlignment="1" applyProtection="1">
      <alignment horizontal="center" vertical="center"/>
    </xf>
    <xf numFmtId="181" fontId="74" fillId="0" borderId="12" xfId="0" applyNumberFormat="1" applyFont="1" applyBorder="1" applyAlignment="1" applyProtection="1">
      <alignment horizontal="center" vertical="center"/>
      <protection locked="0"/>
    </xf>
    <xf numFmtId="0" fontId="23" fillId="5" borderId="1" xfId="0" applyFont="1" applyFill="1" applyBorder="1" applyAlignment="1" applyProtection="1">
      <alignment vertical="center" wrapText="1"/>
    </xf>
    <xf numFmtId="0" fontId="109" fillId="5" borderId="7" xfId="0" applyFont="1" applyFill="1" applyBorder="1" applyAlignment="1" applyProtection="1">
      <alignment horizontal="center" vertical="center" wrapText="1"/>
    </xf>
    <xf numFmtId="0" fontId="23" fillId="5" borderId="43" xfId="0" applyFont="1" applyFill="1" applyBorder="1" applyAlignment="1" applyProtection="1">
      <alignment vertical="center" wrapText="1"/>
    </xf>
    <xf numFmtId="0" fontId="109" fillId="5" borderId="46" xfId="0" applyFont="1" applyFill="1" applyBorder="1" applyAlignment="1" applyProtection="1">
      <alignment horizontal="center" vertical="center" wrapText="1"/>
    </xf>
    <xf numFmtId="0" fontId="263" fillId="0" borderId="0" xfId="0" applyFont="1">
      <alignment vertical="center"/>
    </xf>
    <xf numFmtId="0" fontId="265" fillId="5" borderId="2" xfId="14" applyFont="1" applyFill="1" applyBorder="1" applyAlignment="1">
      <alignment horizontal="center" vertical="center" wrapText="1"/>
    </xf>
    <xf numFmtId="0" fontId="265" fillId="0" borderId="0" xfId="14" applyFont="1" applyBorder="1" applyAlignment="1">
      <alignment horizontal="left" vertical="center" wrapText="1"/>
    </xf>
    <xf numFmtId="14" fontId="265" fillId="5" borderId="2" xfId="14" applyNumberFormat="1" applyFont="1" applyFill="1" applyBorder="1" applyAlignment="1">
      <alignment horizontal="center" vertical="center" wrapText="1"/>
    </xf>
    <xf numFmtId="0" fontId="265" fillId="13" borderId="2" xfId="14" applyFont="1" applyFill="1" applyBorder="1" applyAlignment="1" applyProtection="1">
      <alignment horizontal="center" vertical="center" wrapText="1"/>
      <protection locked="0"/>
    </xf>
    <xf numFmtId="0" fontId="265" fillId="5" borderId="10" xfId="14" applyFont="1" applyFill="1" applyBorder="1" applyAlignment="1">
      <alignment horizontal="center" vertical="center" wrapText="1"/>
    </xf>
    <xf numFmtId="0" fontId="265" fillId="0" borderId="2" xfId="14" applyFont="1" applyBorder="1" applyAlignment="1" applyProtection="1">
      <alignment horizontal="left" vertical="center" wrapText="1"/>
      <protection locked="0"/>
    </xf>
    <xf numFmtId="0" fontId="264" fillId="5" borderId="2" xfId="14" applyFill="1" applyBorder="1" applyAlignment="1">
      <alignment vertical="center"/>
    </xf>
    <xf numFmtId="0" fontId="148" fillId="5" borderId="2" xfId="14" applyFont="1" applyFill="1" applyBorder="1" applyAlignment="1">
      <alignment vertical="center"/>
    </xf>
    <xf numFmtId="0" fontId="264" fillId="0" borderId="2" xfId="14" applyBorder="1" applyAlignment="1" applyProtection="1">
      <alignment vertical="center"/>
      <protection locked="0"/>
    </xf>
    <xf numFmtId="0" fontId="155" fillId="5" borderId="2" xfId="0" applyFont="1" applyFill="1" applyBorder="1" applyAlignment="1" applyProtection="1">
      <alignment horizontal="center" vertical="center" wrapText="1"/>
    </xf>
    <xf numFmtId="0" fontId="81" fillId="5" borderId="13" xfId="0" applyNumberFormat="1" applyFont="1" applyFill="1" applyBorder="1" applyAlignment="1" applyProtection="1">
      <alignment horizontal="center" vertical="center" wrapText="1"/>
    </xf>
    <xf numFmtId="0" fontId="266" fillId="5" borderId="2" xfId="0" applyFont="1" applyFill="1" applyBorder="1" applyAlignment="1">
      <alignment horizontal="left" vertical="center" wrapText="1"/>
    </xf>
    <xf numFmtId="0" fontId="267" fillId="5" borderId="2" xfId="0" applyFont="1" applyFill="1" applyBorder="1" applyAlignment="1">
      <alignment vertical="center" wrapText="1"/>
    </xf>
    <xf numFmtId="181" fontId="79" fillId="5" borderId="0" xfId="0" applyNumberFormat="1" applyFont="1" applyFill="1" applyProtection="1">
      <alignment vertical="center"/>
    </xf>
    <xf numFmtId="0" fontId="14" fillId="5" borderId="0" xfId="0" applyFont="1" applyFill="1" applyProtection="1">
      <alignment vertical="center"/>
      <protection locked="0"/>
    </xf>
    <xf numFmtId="0" fontId="168" fillId="5" borderId="5"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169" fillId="5" borderId="5"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wrapText="1"/>
    </xf>
    <xf numFmtId="0" fontId="169" fillId="5" borderId="8" xfId="0" applyFont="1" applyFill="1" applyBorder="1" applyAlignment="1" applyProtection="1">
      <alignment horizontal="center" vertical="center"/>
    </xf>
    <xf numFmtId="0" fontId="169" fillId="5" borderId="9" xfId="0" applyFont="1" applyFill="1" applyBorder="1" applyAlignment="1" applyProtection="1">
      <alignment horizontal="center" vertical="center" wrapText="1"/>
    </xf>
    <xf numFmtId="0" fontId="165" fillId="5" borderId="2" xfId="0" applyFont="1" applyFill="1" applyBorder="1" applyAlignment="1">
      <alignment horizontal="center" vertical="center" wrapText="1"/>
    </xf>
    <xf numFmtId="181" fontId="79" fillId="5" borderId="0" xfId="0" applyNumberFormat="1" applyFont="1" applyFill="1" applyAlignment="1" applyProtection="1">
      <alignment horizontal="left" vertical="center"/>
    </xf>
    <xf numFmtId="0" fontId="81" fillId="5" borderId="150" xfId="0" applyFont="1" applyFill="1" applyBorder="1" applyAlignment="1" applyProtection="1">
      <alignment vertical="center" wrapText="1"/>
    </xf>
    <xf numFmtId="0" fontId="81" fillId="5" borderId="150" xfId="0" applyFont="1" applyFill="1" applyBorder="1" applyAlignment="1" applyProtection="1">
      <alignment horizontal="center" vertical="center" wrapText="1"/>
    </xf>
    <xf numFmtId="49" fontId="81" fillId="5" borderId="151" xfId="0" applyNumberFormat="1" applyFont="1" applyFill="1" applyBorder="1" applyAlignment="1" applyProtection="1">
      <alignment horizontal="center" vertical="center" wrapText="1"/>
    </xf>
    <xf numFmtId="49" fontId="81" fillId="5" borderId="150" xfId="0" applyNumberFormat="1" applyFont="1" applyFill="1" applyBorder="1" applyAlignment="1" applyProtection="1">
      <alignment horizontal="center" vertical="center" wrapText="1"/>
    </xf>
    <xf numFmtId="0" fontId="81" fillId="0" borderId="150" xfId="0" applyFont="1" applyBorder="1" applyAlignment="1" applyProtection="1">
      <alignment vertical="center" wrapText="1"/>
    </xf>
    <xf numFmtId="0" fontId="185" fillId="5" borderId="150" xfId="0" applyFont="1" applyFill="1" applyBorder="1" applyAlignment="1" applyProtection="1">
      <alignment vertical="center"/>
    </xf>
    <xf numFmtId="0" fontId="162" fillId="5" borderId="0" xfId="0" applyFont="1" applyFill="1" applyAlignment="1" applyProtection="1">
      <alignment horizontal="left" vertical="center"/>
      <protection locked="0"/>
    </xf>
    <xf numFmtId="0" fontId="74" fillId="5" borderId="0" xfId="0" applyFont="1" applyFill="1" applyAlignment="1" applyProtection="1">
      <alignment horizontal="left" vertical="center"/>
      <protection locked="0"/>
    </xf>
    <xf numFmtId="0" fontId="20" fillId="5" borderId="0" xfId="0" applyFont="1" applyFill="1" applyAlignment="1" applyProtection="1">
      <alignment horizontal="center" vertical="center"/>
      <protection locked="0"/>
    </xf>
    <xf numFmtId="0" fontId="268" fillId="5" borderId="0" xfId="0" applyFont="1" applyFill="1" applyAlignment="1" applyProtection="1">
      <alignment vertical="center"/>
      <protection locked="0"/>
    </xf>
    <xf numFmtId="179" fontId="20" fillId="5" borderId="0" xfId="0" applyNumberFormat="1" applyFont="1" applyFill="1" applyAlignment="1" applyProtection="1">
      <alignment vertical="center"/>
      <protection locked="0"/>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49" fontId="270" fillId="0" borderId="7" xfId="0" applyNumberFormat="1" applyFont="1" applyFill="1" applyBorder="1" applyAlignment="1" applyProtection="1">
      <alignment horizontal="center" vertical="center" wrapText="1"/>
      <protection locked="0"/>
    </xf>
    <xf numFmtId="49" fontId="270" fillId="0" borderId="12" xfId="0" applyNumberFormat="1" applyFont="1" applyFill="1" applyBorder="1" applyAlignment="1" applyProtection="1">
      <alignment horizontal="center" vertical="center" wrapText="1"/>
      <protection locked="0"/>
    </xf>
    <xf numFmtId="0" fontId="270" fillId="0" borderId="12" xfId="0" applyFont="1" applyBorder="1" applyAlignment="1" applyProtection="1">
      <alignment horizontal="center" vertical="center" wrapText="1"/>
      <protection locked="0"/>
    </xf>
    <xf numFmtId="0" fontId="270" fillId="0" borderId="46" xfId="0" applyFont="1" applyBorder="1" applyAlignment="1" applyProtection="1">
      <alignment horizontal="center" vertical="center"/>
      <protection locked="0"/>
    </xf>
    <xf numFmtId="0" fontId="270" fillId="0" borderId="51" xfId="0" applyNumberFormat="1" applyFont="1" applyFill="1" applyBorder="1" applyAlignment="1" applyProtection="1">
      <alignment horizontal="center" vertical="center" wrapText="1"/>
      <protection locked="0"/>
    </xf>
    <xf numFmtId="0" fontId="270" fillId="0" borderId="46"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horizontal="center" vertical="center" wrapText="1"/>
      <protection locked="0"/>
    </xf>
    <xf numFmtId="0" fontId="74" fillId="0" borderId="46" xfId="0" applyNumberFormat="1" applyFont="1" applyFill="1" applyBorder="1" applyAlignment="1" applyProtection="1">
      <alignment horizontal="center" vertical="center" wrapText="1"/>
      <protection locked="0"/>
    </xf>
    <xf numFmtId="0" fontId="88" fillId="6" borderId="5" xfId="0" applyFont="1" applyFill="1" applyBorder="1" applyAlignment="1" applyProtection="1">
      <alignment vertical="center"/>
      <protection locked="0"/>
    </xf>
    <xf numFmtId="0" fontId="271" fillId="0" borderId="105" xfId="0" applyNumberFormat="1" applyFont="1" applyFill="1" applyBorder="1" applyAlignment="1" applyProtection="1">
      <alignment horizontal="center" vertical="center" wrapText="1"/>
      <protection locked="0"/>
    </xf>
    <xf numFmtId="0" fontId="271" fillId="5" borderId="31" xfId="0" applyNumberFormat="1" applyFont="1" applyFill="1" applyBorder="1" applyAlignment="1" applyProtection="1">
      <alignment horizontal="center" vertical="center" wrapText="1"/>
    </xf>
    <xf numFmtId="0" fontId="271" fillId="0" borderId="31" xfId="0" applyNumberFormat="1" applyFont="1" applyFill="1" applyBorder="1" applyAlignment="1" applyProtection="1">
      <alignment horizontal="center" vertical="center" wrapText="1"/>
      <protection locked="0"/>
    </xf>
    <xf numFmtId="0" fontId="152" fillId="5" borderId="6" xfId="0" applyNumberFormat="1" applyFont="1" applyFill="1" applyBorder="1" applyAlignment="1" applyProtection="1">
      <alignment horizontal="center" vertical="center" wrapText="1"/>
    </xf>
    <xf numFmtId="0" fontId="152" fillId="5" borderId="6" xfId="0" applyNumberFormat="1" applyFont="1" applyFill="1" applyBorder="1" applyAlignment="1" applyProtection="1">
      <alignment horizontal="left" vertical="center" wrapText="1"/>
    </xf>
    <xf numFmtId="0" fontId="152" fillId="5" borderId="7" xfId="0" applyNumberFormat="1" applyFont="1" applyFill="1" applyBorder="1" applyAlignment="1" applyProtection="1">
      <alignment horizontal="center" vertical="center" wrapText="1"/>
    </xf>
    <xf numFmtId="10" fontId="89" fillId="5" borderId="55" xfId="3" applyNumberFormat="1" applyFont="1" applyFill="1" applyBorder="1" applyAlignment="1" applyProtection="1">
      <alignment horizontal="center" vertical="center" wrapText="1"/>
    </xf>
    <xf numFmtId="0" fontId="275" fillId="0" borderId="10" xfId="0" applyNumberFormat="1" applyFont="1" applyFill="1" applyBorder="1" applyAlignment="1" applyProtection="1">
      <alignment horizontal="center" vertical="center" wrapText="1"/>
      <protection locked="0"/>
    </xf>
    <xf numFmtId="0" fontId="275" fillId="0" borderId="2" xfId="0" applyNumberFormat="1" applyFont="1" applyFill="1" applyBorder="1" applyAlignment="1" applyProtection="1">
      <alignment horizontal="center" vertical="center" wrapText="1"/>
      <protection locked="0"/>
    </xf>
    <xf numFmtId="177" fontId="161" fillId="0" borderId="2" xfId="3" applyNumberFormat="1" applyFont="1" applyFill="1" applyBorder="1" applyAlignment="1" applyProtection="1">
      <alignment horizontal="center" vertical="center"/>
      <protection locked="0"/>
    </xf>
    <xf numFmtId="181" fontId="152" fillId="5" borderId="0" xfId="0" applyNumberFormat="1" applyFont="1" applyFill="1" applyAlignment="1" applyProtection="1">
      <alignment horizontal="center" vertical="center"/>
      <protection locked="0"/>
    </xf>
    <xf numFmtId="0" fontId="161" fillId="5" borderId="12" xfId="0" applyFont="1" applyFill="1" applyBorder="1" applyAlignment="1" applyProtection="1">
      <alignment horizontal="left" vertical="center"/>
    </xf>
    <xf numFmtId="181" fontId="109" fillId="5" borderId="6" xfId="0" applyNumberFormat="1" applyFont="1" applyFill="1" applyBorder="1" applyAlignment="1" applyProtection="1">
      <alignment horizontal="center" vertical="center"/>
    </xf>
    <xf numFmtId="0" fontId="222" fillId="5" borderId="59" xfId="0" applyFont="1" applyFill="1" applyBorder="1" applyAlignment="1" applyProtection="1">
      <alignment horizontal="left" vertical="center" wrapText="1"/>
      <protection locked="0"/>
    </xf>
    <xf numFmtId="181" fontId="109" fillId="5" borderId="5" xfId="0" applyNumberFormat="1" applyFont="1" applyFill="1" applyBorder="1" applyAlignment="1" applyProtection="1">
      <alignment horizontal="center" vertical="center"/>
    </xf>
    <xf numFmtId="0" fontId="135" fillId="5" borderId="2" xfId="0" applyFont="1" applyFill="1" applyBorder="1" applyAlignment="1" applyProtection="1">
      <alignment horizontal="center" vertical="center"/>
      <protection locked="0"/>
    </xf>
    <xf numFmtId="9" fontId="109" fillId="5" borderId="2" xfId="0" applyNumberFormat="1" applyFont="1" applyFill="1" applyBorder="1" applyAlignment="1" applyProtection="1">
      <alignment horizontal="center" vertical="center"/>
      <protection locked="0"/>
    </xf>
    <xf numFmtId="0" fontId="109" fillId="5" borderId="2" xfId="0" applyFont="1" applyFill="1" applyBorder="1" applyAlignment="1" applyProtection="1">
      <alignment horizontal="center" vertical="center"/>
      <protection locked="0"/>
    </xf>
    <xf numFmtId="49" fontId="276" fillId="5" borderId="59" xfId="0" applyNumberFormat="1" applyFont="1" applyFill="1" applyBorder="1" applyAlignment="1" applyProtection="1"/>
    <xf numFmtId="0" fontId="152" fillId="2" borderId="2" xfId="0" applyFont="1" applyFill="1" applyBorder="1" applyAlignment="1" applyProtection="1">
      <alignment horizontal="center" vertical="center"/>
      <protection locked="0"/>
    </xf>
    <xf numFmtId="0" fontId="0" fillId="0" borderId="0" xfId="0" applyProtection="1">
      <alignment vertical="center"/>
    </xf>
    <xf numFmtId="0" fontId="277" fillId="5" borderId="2" xfId="0" applyFont="1" applyFill="1" applyBorder="1" applyProtection="1">
      <alignment vertical="center"/>
    </xf>
    <xf numFmtId="0" fontId="0" fillId="5" borderId="2" xfId="0" applyFill="1" applyBorder="1" applyProtection="1">
      <alignment vertical="center"/>
    </xf>
    <xf numFmtId="0" fontId="277" fillId="5" borderId="0" xfId="0" applyFont="1" applyFill="1" applyProtection="1">
      <alignment vertical="center"/>
    </xf>
    <xf numFmtId="0" fontId="277" fillId="5" borderId="2" xfId="0" applyFont="1" applyFill="1" applyBorder="1" applyAlignment="1" applyProtection="1">
      <alignment vertical="center" wrapText="1"/>
    </xf>
    <xf numFmtId="0" fontId="148" fillId="5" borderId="2" xfId="0" applyFont="1" applyFill="1" applyBorder="1" applyProtection="1">
      <alignment vertical="center"/>
    </xf>
    <xf numFmtId="0" fontId="0" fillId="5" borderId="2" xfId="0" applyFill="1" applyBorder="1" applyAlignment="1" applyProtection="1">
      <alignment horizontal="center" vertical="center"/>
    </xf>
    <xf numFmtId="0" fontId="170" fillId="0" borderId="2" xfId="0" applyFont="1" applyBorder="1" applyAlignment="1" applyProtection="1">
      <alignment horizontal="center" vertical="center"/>
      <protection locked="0"/>
    </xf>
    <xf numFmtId="49" fontId="89" fillId="14" borderId="2" xfId="10" applyNumberFormat="1" applyFont="1" applyFill="1" applyBorder="1" applyAlignment="1" applyProtection="1">
      <alignment horizontal="center" vertical="center" wrapText="1"/>
    </xf>
    <xf numFmtId="0" fontId="244" fillId="14" borderId="124" xfId="10" applyFont="1" applyFill="1" applyBorder="1" applyAlignment="1" applyProtection="1">
      <alignment horizontal="center" vertical="center" wrapText="1"/>
    </xf>
    <xf numFmtId="0" fontId="160" fillId="14" borderId="0" xfId="10" applyFont="1" applyFill="1">
      <alignment vertical="center"/>
    </xf>
    <xf numFmtId="0" fontId="160" fillId="14" borderId="0" xfId="10" applyFont="1" applyFill="1" applyAlignment="1">
      <alignment horizontal="center" vertical="center"/>
    </xf>
    <xf numFmtId="0" fontId="160" fillId="14" borderId="122" xfId="10" applyFont="1" applyFill="1" applyBorder="1" applyAlignment="1">
      <alignment horizontal="center" vertical="center"/>
    </xf>
    <xf numFmtId="0" fontId="155" fillId="14" borderId="0" xfId="10" applyFont="1" applyFill="1" applyAlignment="1">
      <alignment horizontal="center" vertical="center"/>
    </xf>
    <xf numFmtId="10" fontId="155" fillId="14" borderId="0" xfId="10" applyNumberFormat="1" applyFont="1" applyFill="1" applyAlignment="1">
      <alignment horizontal="center" vertical="center"/>
    </xf>
    <xf numFmtId="0" fontId="278" fillId="5" borderId="14" xfId="3" applyFont="1" applyFill="1" applyBorder="1" applyAlignment="1" applyProtection="1">
      <alignment horizontal="center" vertical="center"/>
    </xf>
    <xf numFmtId="0" fontId="109" fillId="5" borderId="0" xfId="0" applyFont="1" applyFill="1" applyAlignment="1" applyProtection="1">
      <alignment horizontal="center" vertical="center"/>
      <protection locked="0"/>
    </xf>
    <xf numFmtId="181" fontId="109" fillId="5" borderId="6" xfId="0" applyNumberFormat="1" applyFont="1" applyFill="1" applyBorder="1" applyAlignment="1" applyProtection="1">
      <alignment horizontal="center" vertical="center"/>
      <protection locked="0"/>
    </xf>
    <xf numFmtId="181" fontId="109" fillId="5" borderId="5" xfId="0" applyNumberFormat="1" applyFont="1" applyFill="1" applyBorder="1" applyAlignment="1" applyProtection="1">
      <alignment horizontal="center" vertical="center"/>
      <protection locked="0"/>
    </xf>
    <xf numFmtId="0" fontId="55" fillId="5" borderId="10" xfId="0" applyFont="1" applyFill="1" applyBorder="1" applyAlignment="1" applyProtection="1"/>
    <xf numFmtId="10" fontId="88" fillId="5" borderId="25" xfId="0" applyNumberFormat="1" applyFont="1" applyFill="1" applyBorder="1" applyAlignment="1" applyProtection="1">
      <alignment horizontal="center"/>
    </xf>
    <xf numFmtId="0" fontId="52" fillId="5" borderId="44" xfId="0" applyFont="1" applyFill="1" applyBorder="1" applyAlignment="1" applyProtection="1">
      <alignment horizontal="left" vertical="center"/>
    </xf>
    <xf numFmtId="0" fontId="101" fillId="6" borderId="0" xfId="0" applyFont="1" applyFill="1" applyAlignment="1" applyProtection="1">
      <alignment vertical="center"/>
      <protection locked="0"/>
    </xf>
    <xf numFmtId="0" fontId="135" fillId="5" borderId="11" xfId="0" applyFont="1" applyFill="1" applyBorder="1" applyAlignment="1" applyProtection="1">
      <alignment vertical="center"/>
    </xf>
    <xf numFmtId="0" fontId="160" fillId="0" borderId="0" xfId="10" applyFont="1" applyFill="1" applyBorder="1" applyAlignment="1" applyProtection="1">
      <alignment horizontal="center" vertical="center"/>
      <protection locked="0"/>
    </xf>
    <xf numFmtId="0" fontId="246" fillId="14" borderId="0" xfId="10" applyFont="1" applyFill="1" applyBorder="1" applyAlignment="1" applyProtection="1">
      <alignment horizontal="center" vertical="center"/>
      <protection locked="0"/>
    </xf>
    <xf numFmtId="0" fontId="156" fillId="0" borderId="43" xfId="0" applyFont="1" applyFill="1" applyBorder="1" applyAlignment="1" applyProtection="1">
      <alignment horizontal="center" vertical="center"/>
    </xf>
    <xf numFmtId="0" fontId="161" fillId="5" borderId="0" xfId="0" applyFont="1" applyFill="1" applyProtection="1">
      <alignment vertical="center"/>
    </xf>
    <xf numFmtId="0" fontId="244" fillId="12" borderId="123" xfId="10" applyFont="1" applyFill="1" applyBorder="1" applyAlignment="1" applyProtection="1">
      <alignment horizontal="center" vertical="center" wrapText="1"/>
    </xf>
    <xf numFmtId="0" fontId="244" fillId="12" borderId="123" xfId="10" applyFont="1" applyFill="1" applyBorder="1" applyAlignment="1" applyProtection="1">
      <alignment vertical="center" wrapText="1"/>
    </xf>
    <xf numFmtId="0" fontId="244" fillId="12" borderId="152" xfId="10" applyFont="1" applyFill="1" applyBorder="1" applyAlignment="1" applyProtection="1">
      <alignment vertical="center" wrapText="1"/>
    </xf>
    <xf numFmtId="0" fontId="160" fillId="16" borderId="0" xfId="10" applyFont="1" applyFill="1">
      <alignment vertical="center"/>
    </xf>
    <xf numFmtId="0" fontId="152" fillId="16" borderId="0" xfId="1" applyFont="1" applyFill="1" applyAlignment="1" applyProtection="1">
      <alignment horizontal="center" vertical="center"/>
    </xf>
    <xf numFmtId="0" fontId="20" fillId="16" borderId="0" xfId="1" applyFont="1" applyFill="1" applyAlignment="1" applyProtection="1">
      <alignment horizontal="center" vertical="center"/>
    </xf>
    <xf numFmtId="0" fontId="160" fillId="16" borderId="122" xfId="10" applyFont="1" applyFill="1" applyBorder="1" applyAlignment="1">
      <alignment horizontal="center" vertical="center"/>
    </xf>
    <xf numFmtId="0" fontId="160" fillId="16" borderId="0" xfId="10" applyFont="1" applyFill="1" applyBorder="1" applyAlignment="1">
      <alignment horizontal="center" vertical="center"/>
    </xf>
    <xf numFmtId="0" fontId="160" fillId="16" borderId="0" xfId="10" applyFont="1" applyFill="1" applyAlignment="1">
      <alignment horizontal="center" vertical="center"/>
    </xf>
    <xf numFmtId="0" fontId="155" fillId="16" borderId="0" xfId="10" applyFont="1" applyFill="1" applyAlignment="1">
      <alignment horizontal="center" vertical="center"/>
    </xf>
    <xf numFmtId="10" fontId="155" fillId="16" borderId="0" xfId="10" applyNumberFormat="1" applyFont="1" applyFill="1" applyAlignment="1">
      <alignment horizontal="center" vertical="center"/>
    </xf>
    <xf numFmtId="0" fontId="238" fillId="16" borderId="0" xfId="13" applyFont="1" applyFill="1">
      <alignment vertical="center"/>
    </xf>
    <xf numFmtId="0" fontId="160" fillId="0" borderId="0" xfId="13" applyFont="1" applyFill="1">
      <alignment vertical="center"/>
    </xf>
    <xf numFmtId="0" fontId="161" fillId="6" borderId="0" xfId="13" applyFont="1" applyFill="1">
      <alignment vertical="center"/>
    </xf>
    <xf numFmtId="0" fontId="246" fillId="16" borderId="0" xfId="13" applyFont="1" applyFill="1" applyBorder="1" applyAlignment="1" applyProtection="1">
      <alignment horizontal="center" vertical="center"/>
      <protection locked="0"/>
    </xf>
    <xf numFmtId="0" fontId="232" fillId="16" borderId="0" xfId="13" applyFont="1" applyFill="1">
      <alignment vertical="center"/>
    </xf>
    <xf numFmtId="0" fontId="21" fillId="6" borderId="21" xfId="0" applyFont="1" applyFill="1" applyBorder="1" applyAlignment="1" applyProtection="1">
      <alignment horizontal="left" vertical="center" wrapText="1"/>
      <protection locked="0"/>
    </xf>
    <xf numFmtId="184" fontId="160" fillId="12" borderId="120" xfId="13" applyNumberFormat="1" applyFont="1" applyFill="1" applyBorder="1" applyAlignment="1">
      <alignment horizontal="center" vertical="center" wrapText="1"/>
    </xf>
    <xf numFmtId="184" fontId="160" fillId="12" borderId="127" xfId="13" applyNumberFormat="1" applyFont="1" applyFill="1" applyBorder="1" applyAlignment="1">
      <alignment horizontal="center" vertical="center" wrapText="1"/>
    </xf>
    <xf numFmtId="0" fontId="79" fillId="5" borderId="2" xfId="0" applyFont="1" applyFill="1" applyBorder="1" applyAlignment="1" applyProtection="1">
      <alignment horizontal="left"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9" xfId="0" applyFont="1" applyFill="1" applyBorder="1" applyAlignment="1" applyProtection="1">
      <alignment horizontal="center" vertical="center"/>
    </xf>
    <xf numFmtId="0" fontId="79" fillId="5" borderId="8"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xf>
    <xf numFmtId="177" fontId="84" fillId="0" borderId="2" xfId="2" applyNumberFormat="1" applyFont="1" applyFill="1" applyBorder="1" applyAlignment="1" applyProtection="1">
      <alignment vertical="center"/>
      <protection locked="0"/>
    </xf>
    <xf numFmtId="0" fontId="35" fillId="8" borderId="0" xfId="0" applyFont="1" applyFill="1" applyAlignment="1" applyProtection="1">
      <alignment horizontal="left" vertical="center"/>
      <protection locked="0"/>
    </xf>
    <xf numFmtId="0" fontId="157" fillId="0" borderId="2" xfId="15" applyFont="1" applyBorder="1" applyAlignment="1">
      <alignment horizontal="center" vertical="center"/>
    </xf>
    <xf numFmtId="0" fontId="235" fillId="0" borderId="2" xfId="15" applyFont="1" applyBorder="1" applyAlignment="1">
      <alignment horizontal="center" vertical="center"/>
    </xf>
    <xf numFmtId="0" fontId="179" fillId="0" borderId="0" xfId="15" applyFont="1" applyAlignment="1">
      <alignment horizontal="center" vertical="center"/>
    </xf>
    <xf numFmtId="0" fontId="179" fillId="0" borderId="2" xfId="15" applyFont="1" applyBorder="1" applyAlignment="1">
      <alignment horizontal="center" vertical="center"/>
    </xf>
    <xf numFmtId="0" fontId="179" fillId="17" borderId="2" xfId="15" applyFont="1" applyFill="1" applyBorder="1" applyAlignment="1">
      <alignment horizontal="center" vertical="center"/>
    </xf>
    <xf numFmtId="0" fontId="179" fillId="18" borderId="2" xfId="15" applyFont="1" applyFill="1" applyBorder="1" applyAlignment="1">
      <alignment horizontal="center" vertical="center"/>
    </xf>
    <xf numFmtId="0" fontId="179" fillId="19" borderId="2" xfId="15" applyFont="1" applyFill="1" applyBorder="1" applyAlignment="1">
      <alignment horizontal="center" vertical="center"/>
    </xf>
    <xf numFmtId="0" fontId="179" fillId="20" borderId="2" xfId="15" applyFont="1" applyFill="1" applyBorder="1" applyAlignment="1">
      <alignment horizontal="center" vertical="center"/>
    </xf>
    <xf numFmtId="0" fontId="179" fillId="0" borderId="0" xfId="15" applyFont="1">
      <alignment vertical="center"/>
    </xf>
    <xf numFmtId="0" fontId="152" fillId="0" borderId="0" xfId="0" applyFont="1" applyAlignment="1">
      <alignment horizontal="center" vertical="center"/>
    </xf>
    <xf numFmtId="49" fontId="152" fillId="0" borderId="0" xfId="0" applyNumberFormat="1" applyFont="1" applyAlignment="1">
      <alignment horizontal="center" vertical="center"/>
    </xf>
    <xf numFmtId="0" fontId="179" fillId="0" borderId="2" xfId="15" applyFont="1" applyBorder="1" applyAlignment="1">
      <alignment horizontal="center" vertical="center"/>
    </xf>
    <xf numFmtId="0" fontId="148" fillId="0" borderId="0" xfId="0" applyFont="1">
      <alignment vertical="center"/>
    </xf>
    <xf numFmtId="0" fontId="152" fillId="0" borderId="2" xfId="0" applyFont="1" applyBorder="1" applyAlignment="1">
      <alignment horizontal="center" vertical="center"/>
    </xf>
    <xf numFmtId="49" fontId="152" fillId="0" borderId="2" xfId="0" applyNumberFormat="1" applyFont="1" applyBorder="1" applyAlignment="1">
      <alignment horizontal="center" vertical="center"/>
    </xf>
    <xf numFmtId="2" fontId="152" fillId="0" borderId="2" xfId="0" applyNumberFormat="1" applyFont="1" applyBorder="1" applyAlignment="1">
      <alignment horizontal="center" vertical="center"/>
    </xf>
    <xf numFmtId="9" fontId="152" fillId="0" borderId="2" xfId="0" applyNumberFormat="1" applyFont="1" applyBorder="1" applyAlignment="1">
      <alignment horizontal="center" vertical="center"/>
    </xf>
    <xf numFmtId="0" fontId="152" fillId="21" borderId="2" xfId="0" applyFont="1" applyFill="1" applyBorder="1" applyAlignment="1">
      <alignment horizontal="center" vertical="center"/>
    </xf>
    <xf numFmtId="49" fontId="152" fillId="21" borderId="2" xfId="0" applyNumberFormat="1" applyFont="1" applyFill="1" applyBorder="1" applyAlignment="1">
      <alignment horizontal="center" vertical="center"/>
    </xf>
    <xf numFmtId="2" fontId="152" fillId="21" borderId="2" xfId="0" applyNumberFormat="1" applyFont="1" applyFill="1" applyBorder="1" applyAlignment="1">
      <alignment horizontal="center" vertical="center"/>
    </xf>
    <xf numFmtId="9" fontId="152" fillId="21" borderId="2" xfId="0" applyNumberFormat="1" applyFont="1" applyFill="1" applyBorder="1" applyAlignment="1">
      <alignment horizontal="center" vertical="center"/>
    </xf>
    <xf numFmtId="0" fontId="152" fillId="0" borderId="10" xfId="0" applyFont="1" applyBorder="1" applyAlignment="1">
      <alignment horizontal="center" vertical="center"/>
    </xf>
    <xf numFmtId="49" fontId="152" fillId="0" borderId="10" xfId="0" applyNumberFormat="1" applyFont="1" applyBorder="1" applyAlignment="1">
      <alignment horizontal="center" vertical="center"/>
    </xf>
    <xf numFmtId="2" fontId="152" fillId="0" borderId="10" xfId="0" applyNumberFormat="1" applyFont="1" applyBorder="1" applyAlignment="1">
      <alignment horizontal="center" vertical="center"/>
    </xf>
    <xf numFmtId="9" fontId="152" fillId="0" borderId="10" xfId="0" applyNumberFormat="1" applyFont="1" applyBorder="1" applyAlignment="1">
      <alignment horizontal="center" vertical="center"/>
    </xf>
    <xf numFmtId="0" fontId="170" fillId="0" borderId="11" xfId="0" applyFont="1" applyBorder="1" applyAlignment="1">
      <alignment horizontal="center" vertical="center"/>
    </xf>
    <xf numFmtId="2" fontId="152" fillId="0" borderId="12" xfId="0" applyNumberFormat="1" applyFont="1" applyBorder="1" applyAlignment="1">
      <alignment horizontal="center" vertical="center"/>
    </xf>
    <xf numFmtId="0" fontId="170" fillId="21" borderId="11" xfId="0" applyFont="1" applyFill="1" applyBorder="1" applyAlignment="1">
      <alignment horizontal="center" vertical="center"/>
    </xf>
    <xf numFmtId="2" fontId="152" fillId="21" borderId="12" xfId="0" applyNumberFormat="1" applyFont="1" applyFill="1" applyBorder="1" applyAlignment="1">
      <alignment horizontal="center" vertical="center"/>
    </xf>
    <xf numFmtId="0" fontId="152" fillId="0" borderId="11" xfId="0" applyFont="1" applyBorder="1" applyAlignment="1">
      <alignment horizontal="center" vertical="center"/>
    </xf>
    <xf numFmtId="0" fontId="152" fillId="21" borderId="11" xfId="0" applyFont="1" applyFill="1" applyBorder="1" applyAlignment="1">
      <alignment horizontal="center" vertical="center"/>
    </xf>
    <xf numFmtId="0" fontId="170" fillId="0" borderId="22" xfId="0" applyFont="1" applyBorder="1" applyAlignment="1">
      <alignment horizontal="center" vertical="center"/>
    </xf>
    <xf numFmtId="2" fontId="152" fillId="0" borderId="25" xfId="0" applyNumberFormat="1" applyFont="1" applyBorder="1" applyAlignment="1">
      <alignment horizontal="center" vertical="center"/>
    </xf>
    <xf numFmtId="0" fontId="170" fillId="22" borderId="153" xfId="0" applyFont="1" applyFill="1" applyBorder="1" applyAlignment="1">
      <alignment horizontal="center" vertical="center"/>
    </xf>
    <xf numFmtId="0" fontId="152" fillId="22" borderId="154" xfId="0" applyFont="1" applyFill="1" applyBorder="1" applyAlignment="1">
      <alignment horizontal="center" vertical="center"/>
    </xf>
    <xf numFmtId="49" fontId="152" fillId="22" borderId="154" xfId="0" applyNumberFormat="1" applyFont="1" applyFill="1" applyBorder="1" applyAlignment="1">
      <alignment horizontal="center" vertical="center"/>
    </xf>
    <xf numFmtId="2" fontId="152" fillId="22" borderId="154" xfId="0" applyNumberFormat="1" applyFont="1" applyFill="1" applyBorder="1" applyAlignment="1">
      <alignment horizontal="center" vertical="center"/>
    </xf>
    <xf numFmtId="2" fontId="152" fillId="22" borderId="155" xfId="0" applyNumberFormat="1" applyFont="1" applyFill="1" applyBorder="1" applyAlignment="1">
      <alignment horizontal="center" vertical="center"/>
    </xf>
    <xf numFmtId="0" fontId="170" fillId="0" borderId="50" xfId="0" applyFont="1" applyBorder="1" applyAlignment="1">
      <alignment horizontal="center" vertical="center"/>
    </xf>
    <xf numFmtId="0" fontId="152" fillId="0" borderId="21" xfId="0" applyFont="1" applyBorder="1" applyAlignment="1">
      <alignment horizontal="center" vertical="center"/>
    </xf>
    <xf numFmtId="49" fontId="152" fillId="0" borderId="21" xfId="0" applyNumberFormat="1" applyFont="1" applyBorder="1" applyAlignment="1">
      <alignment horizontal="center" vertical="center"/>
    </xf>
    <xf numFmtId="2" fontId="152" fillId="0" borderId="21" xfId="0" applyNumberFormat="1" applyFont="1" applyBorder="1" applyAlignment="1">
      <alignment horizontal="center" vertical="center"/>
    </xf>
    <xf numFmtId="1" fontId="152" fillId="0" borderId="21" xfId="0" applyNumberFormat="1" applyFont="1" applyBorder="1" applyAlignment="1">
      <alignment horizontal="center" vertical="center"/>
    </xf>
    <xf numFmtId="9" fontId="152" fillId="0" borderId="21" xfId="0" applyNumberFormat="1" applyFont="1" applyBorder="1" applyAlignment="1">
      <alignment horizontal="center" vertical="center"/>
    </xf>
    <xf numFmtId="2" fontId="152" fillId="0" borderId="51" xfId="0" applyNumberFormat="1" applyFont="1" applyBorder="1" applyAlignment="1">
      <alignment horizontal="center" vertical="center"/>
    </xf>
    <xf numFmtId="0" fontId="179" fillId="6" borderId="2" xfId="15" applyFont="1" applyFill="1" applyBorder="1" applyAlignment="1">
      <alignment horizontal="center" vertical="center"/>
    </xf>
    <xf numFmtId="0" fontId="281" fillId="0" borderId="2" xfId="15" applyFont="1" applyBorder="1" applyAlignment="1">
      <alignment horizontal="center" vertical="center"/>
    </xf>
    <xf numFmtId="0" fontId="283" fillId="0" borderId="0" xfId="16">
      <alignment vertical="center"/>
    </xf>
    <xf numFmtId="0" fontId="0" fillId="0" borderId="2" xfId="0" applyBorder="1" applyAlignment="1">
      <alignment horizontal="center" vertical="center"/>
    </xf>
    <xf numFmtId="0" fontId="148" fillId="0" borderId="2" xfId="0" applyFont="1" applyBorder="1">
      <alignment vertical="center"/>
    </xf>
    <xf numFmtId="0" fontId="148" fillId="0" borderId="2" xfId="0" applyFont="1" applyBorder="1" applyAlignment="1">
      <alignment horizontal="center" vertical="center"/>
    </xf>
    <xf numFmtId="2" fontId="148"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49" fillId="6" borderId="0" xfId="0" applyFont="1" applyFill="1">
      <alignment vertical="center"/>
    </xf>
    <xf numFmtId="0" fontId="148" fillId="0" borderId="2" xfId="0" applyFont="1" applyBorder="1" applyAlignment="1">
      <alignment horizontal="center" vertical="center"/>
    </xf>
    <xf numFmtId="0" fontId="0" fillId="0" borderId="2" xfId="0" applyBorder="1" applyAlignment="1">
      <alignment horizontal="center" vertical="center"/>
    </xf>
    <xf numFmtId="0" fontId="170" fillId="0" borderId="2" xfId="0" applyFont="1" applyBorder="1" applyAlignment="1">
      <alignment horizontal="center" vertical="center"/>
    </xf>
    <xf numFmtId="0" fontId="148"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0" fontId="152" fillId="25" borderId="10" xfId="0" applyFont="1" applyFill="1" applyBorder="1" applyAlignment="1">
      <alignment horizontal="center" vertical="center"/>
    </xf>
    <xf numFmtId="179" fontId="152" fillId="16" borderId="0" xfId="0" applyNumberFormat="1" applyFont="1" applyFill="1" applyAlignment="1">
      <alignment horizontal="center" vertical="center"/>
    </xf>
    <xf numFmtId="0" fontId="188" fillId="0" borderId="0" xfId="7" applyFont="1" applyAlignment="1" applyProtection="1">
      <alignment horizontal="left" vertical="top" wrapText="1"/>
    </xf>
    <xf numFmtId="0" fontId="194" fillId="0" borderId="0" xfId="0" applyFont="1" applyAlignment="1">
      <alignment horizontal="center" vertical="center"/>
    </xf>
    <xf numFmtId="0" fontId="240"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240" fillId="0" borderId="2" xfId="0" applyFont="1" applyFill="1" applyBorder="1" applyAlignment="1" applyProtection="1">
      <alignment horizontal="center" vertical="center" wrapText="1"/>
      <protection locked="0"/>
    </xf>
    <xf numFmtId="0" fontId="199" fillId="0" borderId="2" xfId="0" applyFont="1" applyBorder="1" applyAlignment="1" applyProtection="1">
      <alignment horizontal="center" vertical="center" wrapText="1"/>
    </xf>
    <xf numFmtId="0" fontId="210" fillId="0" borderId="5" xfId="0" applyFont="1" applyBorder="1" applyAlignment="1">
      <alignment horizontal="center" vertical="center" wrapText="1"/>
    </xf>
    <xf numFmtId="0" fontId="210" fillId="0" borderId="8" xfId="0" applyFont="1" applyBorder="1" applyAlignment="1">
      <alignment horizontal="center" vertical="center" wrapText="1"/>
    </xf>
    <xf numFmtId="0" fontId="210" fillId="0" borderId="9" xfId="0" applyFont="1" applyBorder="1" applyAlignment="1">
      <alignment horizontal="center" vertical="center" wrapText="1"/>
    </xf>
    <xf numFmtId="0" fontId="198" fillId="0" borderId="0" xfId="0" applyFont="1" applyAlignment="1">
      <alignment vertical="center" wrapText="1"/>
    </xf>
    <xf numFmtId="49" fontId="190" fillId="0" borderId="0" xfId="0" applyNumberFormat="1" applyFont="1" applyAlignment="1" applyProtection="1">
      <alignment vertical="center" wrapText="1"/>
      <protection locked="0"/>
    </xf>
    <xf numFmtId="0" fontId="198" fillId="0" borderId="0" xfId="0" applyFont="1" applyAlignment="1" applyProtection="1">
      <alignment vertical="center" wrapText="1"/>
    </xf>
    <xf numFmtId="0" fontId="190" fillId="0" borderId="0" xfId="0" applyFont="1" applyAlignment="1" applyProtection="1">
      <alignment vertical="center" wrapText="1"/>
      <protection locked="0"/>
    </xf>
    <xf numFmtId="0" fontId="198" fillId="0" borderId="0" xfId="0" applyFont="1" applyAlignment="1" applyProtection="1">
      <alignment vertical="center" wrapText="1"/>
      <protection locked="0"/>
    </xf>
    <xf numFmtId="0" fontId="170" fillId="0" borderId="10" xfId="0" applyFont="1" applyBorder="1" applyAlignment="1" applyProtection="1">
      <alignment horizontal="left" vertical="center" wrapText="1"/>
    </xf>
    <xf numFmtId="0" fontId="170" fillId="0" borderId="3" xfId="0" applyFont="1" applyBorder="1" applyAlignment="1" applyProtection="1">
      <alignment horizontal="left" vertical="center" wrapText="1"/>
    </xf>
    <xf numFmtId="0" fontId="170" fillId="0" borderId="21" xfId="0" applyFont="1" applyBorder="1" applyAlignment="1" applyProtection="1">
      <alignment horizontal="left" vertical="center" wrapText="1"/>
    </xf>
    <xf numFmtId="0" fontId="152" fillId="0" borderId="5" xfId="0" applyFont="1" applyBorder="1" applyAlignment="1" applyProtection="1">
      <alignment horizontal="left" vertical="center"/>
    </xf>
    <xf numFmtId="0" fontId="152" fillId="0" borderId="9" xfId="0" applyFont="1" applyBorder="1" applyAlignment="1" applyProtection="1">
      <alignment horizontal="left" vertical="center"/>
    </xf>
    <xf numFmtId="0" fontId="152" fillId="0" borderId="2" xfId="0" applyFont="1" applyBorder="1" applyAlignment="1" applyProtection="1">
      <alignment horizontal="left" vertical="center"/>
    </xf>
    <xf numFmtId="0" fontId="152" fillId="9" borderId="2" xfId="0" applyFont="1" applyFill="1" applyBorder="1" applyAlignment="1" applyProtection="1">
      <alignment horizontal="left" vertical="center"/>
    </xf>
    <xf numFmtId="0" fontId="152" fillId="6" borderId="2" xfId="0" applyFont="1" applyFill="1" applyBorder="1" applyAlignment="1" applyProtection="1">
      <alignment horizontal="left" vertical="center"/>
    </xf>
    <xf numFmtId="0" fontId="55" fillId="0" borderId="5" xfId="0" applyFont="1" applyBorder="1" applyAlignment="1" applyProtection="1">
      <alignment horizontal="left" vertical="center"/>
    </xf>
    <xf numFmtId="0" fontId="152" fillId="0" borderId="10" xfId="0" applyFont="1" applyBorder="1" applyAlignment="1" applyProtection="1">
      <alignment horizontal="left" vertical="center"/>
    </xf>
    <xf numFmtId="0" fontId="152" fillId="0" borderId="3" xfId="0" applyFont="1" applyBorder="1" applyAlignment="1" applyProtection="1">
      <alignment horizontal="left" vertical="center"/>
    </xf>
    <xf numFmtId="0" fontId="218" fillId="0" borderId="2" xfId="7" applyFont="1" applyFill="1" applyBorder="1" applyAlignment="1">
      <alignment horizontal="center" vertical="center"/>
    </xf>
    <xf numFmtId="0" fontId="217" fillId="0" borderId="2" xfId="7" applyFont="1" applyBorder="1" applyAlignment="1">
      <alignment horizontal="center" vertical="center"/>
    </xf>
    <xf numFmtId="0" fontId="168" fillId="5" borderId="0" xfId="0" applyFont="1" applyFill="1" applyBorder="1" applyAlignment="1" applyProtection="1">
      <alignment horizontal="center" vertical="center" wrapText="1"/>
    </xf>
    <xf numFmtId="0" fontId="81" fillId="0" borderId="2" xfId="0" applyFont="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49" xfId="0" applyFont="1" applyFill="1" applyBorder="1" applyAlignment="1" applyProtection="1">
      <alignment vertical="center" wrapText="1"/>
    </xf>
    <xf numFmtId="0" fontId="81" fillId="5" borderId="37" xfId="0" applyFont="1" applyFill="1" applyBorder="1" applyAlignment="1" applyProtection="1">
      <alignment vertical="center" wrapText="1"/>
    </xf>
    <xf numFmtId="0" fontId="81" fillId="5" borderId="38" xfId="0" applyFont="1" applyFill="1" applyBorder="1" applyAlignment="1" applyProtection="1">
      <alignment vertical="center" wrapText="1"/>
    </xf>
    <xf numFmtId="0" fontId="190" fillId="8" borderId="5" xfId="0" applyFont="1" applyFill="1" applyBorder="1" applyAlignment="1" applyProtection="1">
      <alignment vertical="center" wrapText="1"/>
      <protection locked="0"/>
    </xf>
    <xf numFmtId="0" fontId="190" fillId="8" borderId="8" xfId="0" applyFont="1" applyFill="1" applyBorder="1" applyAlignment="1" applyProtection="1">
      <alignment vertical="center" wrapText="1"/>
      <protection locked="0"/>
    </xf>
    <xf numFmtId="0" fontId="190" fillId="8" borderId="9" xfId="0" applyFont="1" applyFill="1" applyBorder="1" applyAlignment="1" applyProtection="1">
      <alignment vertical="center" wrapText="1"/>
      <protection locked="0"/>
    </xf>
    <xf numFmtId="0" fontId="81" fillId="5" borderId="10" xfId="0" applyFont="1" applyFill="1" applyBorder="1" applyAlignment="1" applyProtection="1">
      <alignment horizontal="center" vertical="center" wrapText="1"/>
    </xf>
    <xf numFmtId="0" fontId="81" fillId="5" borderId="102" xfId="0" applyFont="1" applyFill="1" applyBorder="1" applyAlignment="1" applyProtection="1">
      <alignment horizontal="center" vertical="center" wrapText="1"/>
    </xf>
    <xf numFmtId="49" fontId="190" fillId="8" borderId="5" xfId="0" applyNumberFormat="1" applyFont="1" applyFill="1" applyBorder="1" applyAlignment="1" applyProtection="1">
      <alignment horizontal="left" vertical="center"/>
      <protection locked="0"/>
    </xf>
    <xf numFmtId="49" fontId="190" fillId="8" borderId="8" xfId="0" applyNumberFormat="1" applyFont="1" applyFill="1" applyBorder="1" applyAlignment="1" applyProtection="1">
      <alignment horizontal="left" vertical="center"/>
      <protection locked="0"/>
    </xf>
    <xf numFmtId="49" fontId="190" fillId="8" borderId="9" xfId="0" applyNumberFormat="1" applyFont="1" applyFill="1" applyBorder="1" applyAlignment="1" applyProtection="1">
      <alignment horizontal="left" vertical="center"/>
      <protection locked="0"/>
    </xf>
    <xf numFmtId="0" fontId="81" fillId="5" borderId="42"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1" fillId="5" borderId="59" xfId="0" applyFont="1" applyFill="1" applyBorder="1" applyAlignment="1" applyProtection="1">
      <alignment horizontal="center" vertical="center"/>
    </xf>
    <xf numFmtId="0" fontId="81" fillId="5" borderId="30" xfId="0" applyFont="1" applyFill="1" applyBorder="1" applyAlignment="1" applyProtection="1">
      <alignment horizontal="center" vertical="center"/>
    </xf>
    <xf numFmtId="0" fontId="81" fillId="5" borderId="10"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17" xfId="0" applyFont="1" applyFill="1" applyBorder="1" applyAlignment="1" applyProtection="1">
      <alignment horizontal="left" vertical="center" wrapText="1"/>
    </xf>
    <xf numFmtId="179" fontId="81" fillId="8" borderId="5" xfId="0" applyNumberFormat="1" applyFont="1" applyFill="1" applyBorder="1" applyAlignment="1" applyProtection="1">
      <alignment horizontal="center" vertical="center" wrapText="1"/>
      <protection locked="0"/>
    </xf>
    <xf numFmtId="179" fontId="81" fillId="8" borderId="8" xfId="0" applyNumberFormat="1" applyFont="1" applyFill="1" applyBorder="1" applyAlignment="1" applyProtection="1">
      <alignment horizontal="center" vertical="center" wrapText="1"/>
      <protection locked="0"/>
    </xf>
    <xf numFmtId="179" fontId="81" fillId="8" borderId="9" xfId="0" applyNumberFormat="1" applyFont="1" applyFill="1" applyBorder="1" applyAlignment="1" applyProtection="1">
      <alignment horizontal="center" vertical="center" wrapText="1"/>
      <protection locked="0"/>
    </xf>
    <xf numFmtId="0" fontId="190" fillId="8" borderId="5" xfId="0" applyFont="1" applyFill="1" applyBorder="1" applyAlignment="1" applyProtection="1">
      <alignment vertical="center"/>
      <protection locked="0"/>
    </xf>
    <xf numFmtId="0" fontId="190" fillId="8" borderId="8" xfId="0" applyFont="1" applyFill="1" applyBorder="1" applyAlignment="1" applyProtection="1">
      <alignment vertical="center"/>
      <protection locked="0"/>
    </xf>
    <xf numFmtId="0" fontId="190" fillId="8" borderId="9" xfId="0" applyFont="1" applyFill="1" applyBorder="1" applyAlignment="1" applyProtection="1">
      <alignment vertical="center"/>
      <protection locked="0"/>
    </xf>
    <xf numFmtId="0" fontId="81" fillId="2" borderId="17" xfId="0" applyFont="1" applyFill="1" applyBorder="1" applyAlignment="1" applyProtection="1">
      <alignment horizontal="left" vertical="center" wrapText="1"/>
      <protection locked="0"/>
    </xf>
    <xf numFmtId="0" fontId="81" fillId="2" borderId="20" xfId="0" applyFont="1" applyFill="1" applyBorder="1" applyAlignment="1" applyProtection="1">
      <alignment horizontal="left" vertical="center" wrapText="1"/>
      <protection locked="0"/>
    </xf>
    <xf numFmtId="0" fontId="81" fillId="5" borderId="3"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0" fontId="81" fillId="0" borderId="5" xfId="0" applyFont="1" applyBorder="1" applyAlignment="1" applyProtection="1">
      <alignment horizontal="left" vertical="center" wrapText="1"/>
      <protection locked="0"/>
    </xf>
    <xf numFmtId="0" fontId="81" fillId="0" borderId="32" xfId="0" applyFont="1" applyBorder="1" applyAlignment="1" applyProtection="1">
      <alignment horizontal="left" vertical="center" wrapText="1"/>
      <protection locked="0"/>
    </xf>
    <xf numFmtId="0" fontId="81" fillId="5" borderId="10" xfId="0" applyFont="1" applyFill="1" applyBorder="1" applyAlignment="1" applyProtection="1">
      <alignment horizontal="left" vertical="center"/>
    </xf>
    <xf numFmtId="49" fontId="81" fillId="5" borderId="2" xfId="0" applyNumberFormat="1" applyFont="1" applyFill="1" applyBorder="1" applyAlignment="1" applyProtection="1">
      <alignment horizontal="center" vertical="center" wrapText="1"/>
    </xf>
    <xf numFmtId="0" fontId="81" fillId="8" borderId="5" xfId="0" applyFont="1" applyFill="1" applyBorder="1" applyAlignment="1" applyProtection="1">
      <alignment horizontal="left" vertical="center" wrapText="1"/>
      <protection locked="0"/>
    </xf>
    <xf numFmtId="0" fontId="81" fillId="8" borderId="8" xfId="0" applyFont="1" applyFill="1" applyBorder="1" applyAlignment="1" applyProtection="1">
      <alignment horizontal="left" vertical="center" wrapText="1"/>
      <protection locked="0"/>
    </xf>
    <xf numFmtId="0" fontId="81" fillId="8" borderId="9" xfId="0" applyFont="1" applyFill="1" applyBorder="1" applyAlignment="1" applyProtection="1">
      <alignment horizontal="left" vertical="center" wrapText="1"/>
      <protection locked="0"/>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1" fillId="8" borderId="2" xfId="0" applyFont="1" applyFill="1" applyBorder="1" applyAlignment="1" applyProtection="1">
      <alignment vertical="center" wrapText="1"/>
      <protection locked="0"/>
    </xf>
    <xf numFmtId="0" fontId="81" fillId="0" borderId="2" xfId="0" applyFont="1" applyBorder="1" applyAlignment="1" applyProtection="1">
      <alignment vertical="center" wrapText="1"/>
      <protection locked="0"/>
    </xf>
    <xf numFmtId="0" fontId="21"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22" fillId="5" borderId="53" xfId="0" applyFont="1" applyFill="1" applyBorder="1" applyAlignment="1" applyProtection="1">
      <alignment horizontal="center" vertical="center"/>
    </xf>
    <xf numFmtId="0" fontId="22" fillId="5" borderId="27" xfId="0" applyFont="1" applyFill="1" applyBorder="1" applyAlignment="1" applyProtection="1">
      <alignment horizontal="center" vertical="center"/>
    </xf>
    <xf numFmtId="0" fontId="22" fillId="5" borderId="41" xfId="0" applyFont="1" applyFill="1" applyBorder="1" applyAlignment="1" applyProtection="1">
      <alignment horizontal="center" vertical="center"/>
    </xf>
    <xf numFmtId="0" fontId="20" fillId="5" borderId="1"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65" fillId="5" borderId="104" xfId="0" applyFont="1" applyFill="1" applyBorder="1" applyAlignment="1" applyProtection="1">
      <alignment horizontal="center" vertical="center"/>
    </xf>
    <xf numFmtId="0" fontId="65" fillId="5" borderId="100" xfId="0" applyFont="1" applyFill="1" applyBorder="1" applyAlignment="1" applyProtection="1">
      <alignment horizontal="center" vertical="center"/>
    </xf>
    <xf numFmtId="0" fontId="165" fillId="5" borderId="2" xfId="0" applyFont="1" applyFill="1" applyBorder="1" applyAlignment="1">
      <alignment horizontal="center" vertical="center" wrapText="1"/>
    </xf>
    <xf numFmtId="0" fontId="52" fillId="5" borderId="5" xfId="0" applyFont="1" applyFill="1" applyBorder="1" applyAlignment="1" applyProtection="1">
      <alignment horizontal="center" vertical="center"/>
    </xf>
    <xf numFmtId="0" fontId="52" fillId="5" borderId="8" xfId="0" applyFont="1" applyFill="1" applyBorder="1" applyAlignment="1" applyProtection="1">
      <alignment horizontal="center" vertical="center"/>
    </xf>
    <xf numFmtId="0" fontId="52" fillId="5" borderId="5" xfId="0"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178"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60" fillId="5" borderId="2" xfId="0" applyFont="1" applyFill="1" applyBorder="1" applyAlignment="1" applyProtection="1">
      <alignment horizontal="center" vertical="center" wrapText="1"/>
    </xf>
    <xf numFmtId="0" fontId="160" fillId="5" borderId="21" xfId="0" applyFont="1" applyFill="1" applyBorder="1" applyAlignment="1" applyProtection="1">
      <alignment horizontal="center" vertical="center" wrapText="1"/>
    </xf>
    <xf numFmtId="0" fontId="160" fillId="5" borderId="17"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68" fillId="5" borderId="2" xfId="0" applyFont="1" applyFill="1" applyBorder="1" applyAlignment="1" applyProtection="1">
      <alignment horizontal="center" vertical="center" wrapText="1"/>
    </xf>
    <xf numFmtId="0" fontId="48" fillId="5" borderId="10" xfId="0" applyFont="1" applyFill="1" applyBorder="1" applyAlignment="1" applyProtection="1">
      <alignment horizontal="center" vertical="center" wrapText="1"/>
    </xf>
    <xf numFmtId="0" fontId="160" fillId="5" borderId="10" xfId="0" applyFont="1" applyFill="1" applyBorder="1" applyAlignment="1" applyProtection="1">
      <alignment horizontal="center" vertical="center" wrapText="1"/>
    </xf>
    <xf numFmtId="0" fontId="169" fillId="5" borderId="21" xfId="0" applyFont="1" applyFill="1" applyBorder="1" applyAlignment="1" applyProtection="1">
      <alignment horizontal="center" vertical="center" wrapText="1"/>
    </xf>
    <xf numFmtId="0" fontId="88" fillId="5" borderId="61" xfId="0" applyFont="1" applyFill="1" applyBorder="1" applyAlignment="1" applyProtection="1">
      <alignment horizontal="center" vertical="center"/>
    </xf>
    <xf numFmtId="0" fontId="98" fillId="5" borderId="1" xfId="0" applyFont="1" applyFill="1" applyBorder="1" applyAlignment="1" applyProtection="1">
      <alignment horizontal="center" vertical="center" wrapText="1"/>
    </xf>
    <xf numFmtId="0" fontId="98" fillId="5" borderId="6"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8" fillId="5" borderId="53" xfId="0" applyFont="1" applyFill="1" applyBorder="1" applyAlignment="1" applyProtection="1">
      <alignment horizontal="left" vertical="center" wrapText="1"/>
    </xf>
    <xf numFmtId="0" fontId="78" fillId="5" borderId="24" xfId="0" applyFont="1" applyFill="1" applyBorder="1" applyAlignment="1" applyProtection="1">
      <alignment horizontal="left" vertical="center" wrapText="1"/>
    </xf>
    <xf numFmtId="0" fontId="78" fillId="5" borderId="23" xfId="0" applyFont="1" applyFill="1" applyBorder="1" applyAlignment="1" applyProtection="1">
      <alignment horizontal="left" vertical="center" wrapText="1"/>
    </xf>
    <xf numFmtId="0" fontId="168" fillId="5" borderId="71" xfId="0" applyFont="1" applyFill="1" applyBorder="1" applyAlignment="1" applyProtection="1">
      <alignment horizontal="center" vertical="center" wrapText="1"/>
    </xf>
    <xf numFmtId="0" fontId="168" fillId="5" borderId="84"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76" fillId="5" borderId="35" xfId="0" applyFont="1" applyFill="1" applyBorder="1" applyAlignment="1" applyProtection="1">
      <alignment horizontal="center" vertical="center" wrapText="1"/>
    </xf>
    <xf numFmtId="0" fontId="176" fillId="5" borderId="79" xfId="0" applyFont="1" applyFill="1" applyBorder="1" applyAlignment="1" applyProtection="1">
      <alignment horizontal="center" vertical="center" wrapText="1"/>
    </xf>
    <xf numFmtId="0" fontId="176" fillId="5" borderId="80" xfId="0" applyFont="1" applyFill="1" applyBorder="1" applyAlignment="1" applyProtection="1">
      <alignment horizontal="center" vertical="center" wrapText="1"/>
    </xf>
    <xf numFmtId="0" fontId="79" fillId="5" borderId="43" xfId="0" applyFont="1" applyFill="1" applyBorder="1" applyAlignment="1" applyProtection="1">
      <alignment horizontal="left" vertical="center" wrapText="1"/>
    </xf>
    <xf numFmtId="0" fontId="79" fillId="5" borderId="44" xfId="0" applyFont="1" applyFill="1" applyBorder="1" applyAlignment="1" applyProtection="1">
      <alignment horizontal="left" vertical="center" wrapText="1"/>
    </xf>
    <xf numFmtId="0" fontId="88" fillId="5" borderId="4" xfId="0" applyFont="1" applyFill="1" applyBorder="1" applyAlignment="1" applyProtection="1">
      <alignment horizontal="left" vertical="center" wrapText="1"/>
    </xf>
    <xf numFmtId="0" fontId="88" fillId="5" borderId="14" xfId="0" applyFont="1" applyFill="1" applyBorder="1" applyAlignment="1" applyProtection="1">
      <alignment horizontal="left" vertical="center" wrapText="1"/>
    </xf>
    <xf numFmtId="0" fontId="88" fillId="5" borderId="32" xfId="0" applyFont="1" applyFill="1" applyBorder="1" applyAlignment="1" applyProtection="1">
      <alignment horizontal="left" vertical="center" wrapText="1"/>
    </xf>
    <xf numFmtId="0" fontId="79" fillId="5" borderId="25" xfId="0" applyFont="1" applyFill="1" applyBorder="1" applyAlignment="1" applyProtection="1">
      <alignment horizontal="center" vertical="center"/>
    </xf>
    <xf numFmtId="0" fontId="79" fillId="5" borderId="52" xfId="0" applyFont="1" applyFill="1" applyBorder="1" applyAlignment="1" applyProtection="1">
      <alignment horizontal="center" vertical="center"/>
    </xf>
    <xf numFmtId="0" fontId="79" fillId="5" borderId="51" xfId="0" applyFont="1" applyFill="1" applyBorder="1" applyAlignment="1" applyProtection="1">
      <alignment horizontal="center" vertical="center"/>
    </xf>
    <xf numFmtId="0" fontId="79" fillId="5" borderId="11" xfId="0" applyFont="1" applyFill="1" applyBorder="1" applyAlignment="1" applyProtection="1">
      <alignment horizontal="left" vertical="center" wrapText="1"/>
    </xf>
    <xf numFmtId="0" fontId="79" fillId="5" borderId="2" xfId="0" applyFont="1" applyFill="1" applyBorder="1" applyAlignment="1" applyProtection="1">
      <alignment horizontal="left" vertical="center" wrapText="1"/>
    </xf>
    <xf numFmtId="10" fontId="52" fillId="5" borderId="5" xfId="0" applyNumberFormat="1" applyFont="1" applyFill="1" applyBorder="1" applyAlignment="1" applyProtection="1">
      <alignment horizontal="left" vertical="center" wrapText="1"/>
    </xf>
    <xf numFmtId="10" fontId="79" fillId="5" borderId="8" xfId="0" applyNumberFormat="1" applyFont="1" applyFill="1" applyBorder="1" applyAlignment="1" applyProtection="1">
      <alignment horizontal="left" vertical="center" wrapText="1"/>
    </xf>
    <xf numFmtId="10" fontId="79" fillId="5" borderId="16" xfId="0" applyNumberFormat="1" applyFont="1" applyFill="1" applyBorder="1" applyAlignment="1" applyProtection="1">
      <alignment horizontal="left" vertical="center" wrapText="1"/>
    </xf>
    <xf numFmtId="10" fontId="79" fillId="5" borderId="5" xfId="0" applyNumberFormat="1" applyFont="1" applyFill="1" applyBorder="1" applyAlignment="1" applyProtection="1">
      <alignment horizontal="left" vertical="center" wrapText="1"/>
    </xf>
    <xf numFmtId="0" fontId="156" fillId="0" borderId="36"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38" xfId="0" applyFont="1" applyBorder="1" applyAlignment="1" applyProtection="1">
      <alignment horizontal="center" vertical="center"/>
      <protection locked="0"/>
    </xf>
    <xf numFmtId="0" fontId="74" fillId="5" borderId="2" xfId="0"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79" fillId="5" borderId="8" xfId="0" applyFont="1" applyFill="1" applyBorder="1" applyAlignment="1" applyProtection="1">
      <alignment horizontal="left" vertical="center" wrapText="1"/>
    </xf>
    <xf numFmtId="0" fontId="79" fillId="5" borderId="16" xfId="0" applyFont="1" applyFill="1" applyBorder="1" applyAlignment="1" applyProtection="1">
      <alignment horizontal="left" vertical="center" wrapText="1"/>
    </xf>
    <xf numFmtId="0" fontId="98" fillId="5" borderId="31"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79" fillId="5" borderId="87" xfId="0"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0" fontId="79" fillId="5" borderId="8" xfId="0" applyFont="1" applyFill="1" applyBorder="1" applyAlignment="1" applyProtection="1">
      <alignment horizontal="center" vertical="center" wrapText="1"/>
    </xf>
    <xf numFmtId="0" fontId="79" fillId="5" borderId="9" xfId="0" applyFont="1" applyFill="1" applyBorder="1" applyAlignment="1" applyProtection="1">
      <alignment horizontal="left" vertical="center" wrapText="1"/>
    </xf>
    <xf numFmtId="0" fontId="78" fillId="5" borderId="50" xfId="0" applyFont="1" applyFill="1" applyBorder="1" applyAlignment="1" applyProtection="1">
      <alignment horizontal="left" vertical="center" wrapText="1"/>
    </xf>
    <xf numFmtId="0" fontId="78" fillId="5" borderId="11" xfId="0" applyFont="1" applyFill="1" applyBorder="1" applyAlignment="1" applyProtection="1">
      <alignment horizontal="left" vertical="center"/>
    </xf>
    <xf numFmtId="0" fontId="78" fillId="5" borderId="2" xfId="0" applyFont="1" applyFill="1" applyBorder="1" applyAlignment="1" applyProtection="1">
      <alignment horizontal="left" vertical="center"/>
    </xf>
    <xf numFmtId="0" fontId="78" fillId="5" borderId="43" xfId="0" applyFont="1" applyFill="1" applyBorder="1" applyAlignment="1" applyProtection="1">
      <alignment horizontal="left" vertical="center" wrapText="1"/>
      <protection locked="0"/>
    </xf>
    <xf numFmtId="0" fontId="78" fillId="5" borderId="44" xfId="0" applyFont="1" applyFill="1" applyBorder="1" applyAlignment="1" applyProtection="1">
      <alignment horizontal="left" vertical="center" wrapText="1"/>
      <protection locked="0"/>
    </xf>
    <xf numFmtId="0" fontId="79" fillId="5" borderId="22" xfId="0" applyFont="1" applyFill="1" applyBorder="1" applyAlignment="1" applyProtection="1">
      <alignment horizontal="left" vertical="center" wrapText="1"/>
    </xf>
    <xf numFmtId="0" fontId="78" fillId="5" borderId="64"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88" fillId="5" borderId="59" xfId="0" applyFont="1" applyFill="1" applyBorder="1" applyAlignment="1" applyProtection="1">
      <alignment horizontal="center" vertical="center" wrapText="1"/>
    </xf>
    <xf numFmtId="0" fontId="88" fillId="5" borderId="30" xfId="0" applyFont="1" applyFill="1" applyBorder="1" applyAlignment="1" applyProtection="1">
      <alignment horizontal="center" vertical="center" wrapText="1"/>
    </xf>
    <xf numFmtId="0" fontId="88" fillId="5" borderId="57" xfId="0" applyFont="1" applyFill="1" applyBorder="1" applyAlignment="1" applyProtection="1">
      <alignment horizontal="center" vertical="center" wrapText="1"/>
    </xf>
    <xf numFmtId="0" fontId="78" fillId="6" borderId="8" xfId="0" applyFont="1" applyFill="1" applyBorder="1" applyAlignment="1" applyProtection="1">
      <alignment vertical="center"/>
    </xf>
    <xf numFmtId="0" fontId="78" fillId="6" borderId="9" xfId="0" applyFont="1" applyFill="1" applyBorder="1" applyAlignment="1" applyProtection="1">
      <alignment vertical="center"/>
    </xf>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0" fontId="147" fillId="5" borderId="11" xfId="0" applyFont="1" applyFill="1" applyBorder="1" applyAlignment="1" applyProtection="1">
      <alignment horizontal="center" vertical="center" wrapText="1"/>
    </xf>
    <xf numFmtId="0" fontId="147" fillId="5" borderId="2" xfId="0" applyFont="1" applyFill="1" applyBorder="1" applyAlignment="1" applyProtection="1">
      <alignment horizontal="center" vertical="center" wrapText="1"/>
    </xf>
    <xf numFmtId="0" fontId="204" fillId="5" borderId="11" xfId="0" applyFont="1" applyFill="1" applyBorder="1" applyAlignment="1" applyProtection="1">
      <alignment horizontal="center" vertical="center"/>
    </xf>
    <xf numFmtId="0" fontId="87" fillId="5" borderId="10" xfId="0" applyFont="1" applyFill="1" applyBorder="1" applyAlignment="1" applyProtection="1">
      <alignment horizontal="center" vertical="center"/>
    </xf>
    <xf numFmtId="0" fontId="87" fillId="5" borderId="3" xfId="0" applyFont="1" applyFill="1" applyBorder="1" applyAlignment="1" applyProtection="1">
      <alignment horizontal="center" vertical="center"/>
    </xf>
    <xf numFmtId="0" fontId="87" fillId="5" borderId="21" xfId="0" applyFont="1" applyFill="1" applyBorder="1" applyAlignment="1" applyProtection="1">
      <alignment horizontal="center" vertical="center"/>
    </xf>
    <xf numFmtId="0" fontId="74" fillId="5" borderId="5"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87" fillId="5" borderId="4" xfId="0" applyFont="1" applyFill="1" applyBorder="1" applyAlignment="1" applyProtection="1">
      <alignment horizontal="center" vertical="center"/>
    </xf>
    <xf numFmtId="0" fontId="87" fillId="5" borderId="32" xfId="0" applyFont="1" applyFill="1" applyBorder="1" applyAlignment="1" applyProtection="1">
      <alignment horizontal="center" vertical="center"/>
    </xf>
    <xf numFmtId="0" fontId="87" fillId="5" borderId="13"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17" xfId="0" applyFont="1" applyFill="1" applyBorder="1" applyAlignment="1" applyProtection="1">
      <alignment horizontal="center" vertical="center"/>
    </xf>
    <xf numFmtId="0" fontId="87" fillId="5" borderId="20" xfId="0" applyFont="1" applyFill="1" applyBorder="1" applyAlignment="1" applyProtection="1">
      <alignment horizontal="center" vertical="center"/>
    </xf>
    <xf numFmtId="0" fontId="87" fillId="5" borderId="2"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87" fillId="5" borderId="10" xfId="0" applyFont="1" applyFill="1" applyBorder="1" applyAlignment="1" applyProtection="1">
      <alignment horizontal="center" vertical="center" wrapText="1"/>
    </xf>
    <xf numFmtId="0" fontId="87" fillId="5" borderId="3" xfId="0" applyFont="1" applyFill="1" applyBorder="1" applyAlignment="1" applyProtection="1">
      <alignment horizontal="center" vertical="center" wrapText="1"/>
    </xf>
    <xf numFmtId="0" fontId="87" fillId="5" borderId="10" xfId="0" applyFont="1" applyFill="1" applyBorder="1" applyAlignment="1" applyProtection="1">
      <alignment horizontal="center" vertical="center" textRotation="255" wrapText="1"/>
    </xf>
    <xf numFmtId="0" fontId="87" fillId="5" borderId="3" xfId="0" applyFont="1" applyFill="1" applyBorder="1" applyAlignment="1" applyProtection="1">
      <alignment horizontal="center" vertical="center" textRotation="255" wrapText="1"/>
    </xf>
    <xf numFmtId="0" fontId="87" fillId="5" borderId="1" xfId="0" applyFont="1" applyFill="1" applyBorder="1" applyAlignment="1" applyProtection="1">
      <alignment horizontal="center" vertical="center" wrapText="1"/>
    </xf>
    <xf numFmtId="0" fontId="87" fillId="5" borderId="7" xfId="0" applyFont="1" applyFill="1" applyBorder="1" applyAlignment="1" applyProtection="1">
      <alignment horizontal="center" vertical="center" wrapText="1"/>
    </xf>
    <xf numFmtId="0" fontId="87" fillId="5" borderId="4" xfId="0" applyFont="1" applyFill="1" applyBorder="1" applyAlignment="1" applyProtection="1">
      <alignment horizontal="center" vertical="center" wrapText="1"/>
    </xf>
    <xf numFmtId="0" fontId="87" fillId="5" borderId="32" xfId="0" applyFont="1" applyFill="1" applyBorder="1" applyAlignment="1" applyProtection="1">
      <alignment horizontal="center" vertical="center" wrapText="1"/>
    </xf>
    <xf numFmtId="0" fontId="87" fillId="5" borderId="13" xfId="0" applyFont="1" applyFill="1" applyBorder="1" applyAlignment="1" applyProtection="1">
      <alignment horizontal="center" vertical="center" wrapText="1"/>
    </xf>
    <xf numFmtId="0" fontId="87" fillId="5" borderId="18"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wrapText="1"/>
    </xf>
    <xf numFmtId="0" fontId="87" fillId="5" borderId="20" xfId="0"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xf>
    <xf numFmtId="0" fontId="270" fillId="0" borderId="22" xfId="0" applyFont="1" applyFill="1" applyBorder="1" applyAlignment="1" applyProtection="1">
      <alignment horizontal="center" vertical="center" wrapText="1"/>
      <protection locked="0"/>
    </xf>
    <xf numFmtId="0" fontId="270" fillId="0" borderId="25" xfId="0" applyFont="1" applyFill="1" applyBorder="1" applyAlignment="1" applyProtection="1">
      <alignment horizontal="center" vertical="center" wrapText="1"/>
      <protection locked="0"/>
    </xf>
    <xf numFmtId="0" fontId="270" fillId="0" borderId="11" xfId="0" applyFont="1" applyFill="1" applyBorder="1" applyAlignment="1" applyProtection="1">
      <alignment horizontal="center" vertical="center" wrapText="1"/>
      <protection locked="0"/>
    </xf>
    <xf numFmtId="0" fontId="270" fillId="0" borderId="12" xfId="0" applyFont="1" applyFill="1" applyBorder="1" applyAlignment="1" applyProtection="1">
      <alignment horizontal="center" vertical="center" wrapText="1"/>
      <protection locked="0"/>
    </xf>
    <xf numFmtId="0" fontId="270" fillId="0" borderId="43" xfId="0" applyFont="1" applyFill="1" applyBorder="1" applyAlignment="1" applyProtection="1">
      <alignment horizontal="center" vertical="center" wrapText="1"/>
      <protection locked="0"/>
    </xf>
    <xf numFmtId="0" fontId="270" fillId="0" borderId="46" xfId="0" applyFont="1" applyFill="1" applyBorder="1" applyAlignment="1" applyProtection="1">
      <alignment horizontal="center" vertical="center" wrapText="1"/>
      <protection locked="0"/>
    </xf>
    <xf numFmtId="0" fontId="87" fillId="5" borderId="5" xfId="0" applyFont="1" applyFill="1" applyBorder="1" applyAlignment="1" applyProtection="1">
      <alignment horizontal="center" vertical="center" wrapText="1"/>
    </xf>
    <xf numFmtId="0" fontId="87" fillId="5" borderId="9" xfId="0" applyFont="1" applyFill="1" applyBorder="1" applyAlignment="1" applyProtection="1">
      <alignment horizontal="center" vertical="center" wrapText="1"/>
    </xf>
    <xf numFmtId="184" fontId="86" fillId="5" borderId="2" xfId="0" applyNumberFormat="1" applyFont="1" applyFill="1" applyBorder="1" applyAlignment="1" applyProtection="1">
      <alignment horizontal="center" vertical="center"/>
    </xf>
    <xf numFmtId="184" fontId="87" fillId="5" borderId="2" xfId="0" applyNumberFormat="1" applyFont="1" applyFill="1" applyBorder="1" applyAlignment="1" applyProtection="1">
      <alignment horizontal="center" vertical="center"/>
    </xf>
    <xf numFmtId="0" fontId="149" fillId="24" borderId="2" xfId="0" applyFont="1" applyFill="1" applyBorder="1" applyAlignment="1">
      <alignment horizontal="center" vertical="center"/>
    </xf>
    <xf numFmtId="0" fontId="148" fillId="0" borderId="2" xfId="0" applyFont="1" applyBorder="1" applyAlignment="1">
      <alignment horizontal="center" vertical="center"/>
    </xf>
    <xf numFmtId="0" fontId="152" fillId="5" borderId="26" xfId="0" applyFont="1" applyFill="1" applyBorder="1" applyAlignment="1" applyProtection="1">
      <alignment horizontal="center" vertical="center" wrapText="1"/>
    </xf>
    <xf numFmtId="0" fontId="152" fillId="5" borderId="39" xfId="0" applyFont="1" applyFill="1" applyBorder="1" applyAlignment="1" applyProtection="1">
      <alignment horizontal="center" vertical="center" wrapText="1"/>
    </xf>
    <xf numFmtId="0" fontId="152" fillId="5" borderId="87" xfId="0" applyFont="1" applyFill="1" applyBorder="1" applyAlignment="1" applyProtection="1">
      <alignment horizontal="center" vertical="center" wrapText="1"/>
    </xf>
    <xf numFmtId="0" fontId="152" fillId="5" borderId="63" xfId="0" applyFont="1" applyFill="1" applyBorder="1" applyAlignment="1" applyProtection="1">
      <alignment horizontal="center" vertical="center" wrapText="1"/>
    </xf>
    <xf numFmtId="0" fontId="155" fillId="5" borderId="11" xfId="0" applyFont="1" applyFill="1" applyBorder="1" applyAlignment="1" applyProtection="1">
      <alignment horizontal="center" vertical="center"/>
    </xf>
    <xf numFmtId="0" fontId="87" fillId="5" borderId="42" xfId="0" applyFont="1" applyFill="1" applyBorder="1" applyAlignment="1" applyProtection="1">
      <alignment horizontal="center" vertical="center" wrapText="1"/>
    </xf>
    <xf numFmtId="0" fontId="87" fillId="5" borderId="29" xfId="0" applyFont="1" applyFill="1" applyBorder="1" applyAlignment="1" applyProtection="1">
      <alignment horizontal="center" vertical="center" wrapText="1"/>
    </xf>
    <xf numFmtId="0" fontId="270" fillId="0" borderId="9" xfId="0" applyFont="1" applyFill="1" applyBorder="1" applyAlignment="1" applyProtection="1">
      <alignment horizontal="center" vertical="center" wrapText="1"/>
      <protection locked="0"/>
    </xf>
    <xf numFmtId="0" fontId="270" fillId="0" borderId="5" xfId="0" applyFont="1" applyFill="1" applyBorder="1" applyAlignment="1" applyProtection="1">
      <alignment horizontal="center" vertical="center" wrapText="1"/>
      <protection locked="0"/>
    </xf>
    <xf numFmtId="0" fontId="270" fillId="0" borderId="32" xfId="0" applyFont="1" applyFill="1" applyBorder="1" applyAlignment="1" applyProtection="1">
      <alignment horizontal="center" vertical="center" wrapText="1"/>
      <protection locked="0"/>
    </xf>
    <xf numFmtId="0" fontId="270" fillId="0" borderId="4" xfId="0" applyFont="1" applyFill="1" applyBorder="1" applyAlignment="1" applyProtection="1">
      <alignment horizontal="center" vertical="center" wrapText="1"/>
      <protection locked="0"/>
    </xf>
    <xf numFmtId="0" fontId="167" fillId="5" borderId="0" xfId="3" applyFont="1" applyFill="1" applyAlignment="1" applyProtection="1">
      <alignment horizontal="left" vertical="center"/>
    </xf>
    <xf numFmtId="49" fontId="129" fillId="5" borderId="53" xfId="0" applyNumberFormat="1" applyFont="1" applyFill="1" applyBorder="1" applyAlignment="1" applyProtection="1">
      <alignment horizontal="center" vertical="center" wrapText="1"/>
    </xf>
    <xf numFmtId="49" fontId="129" fillId="5" borderId="24" xfId="0" applyNumberFormat="1" applyFont="1" applyFill="1" applyBorder="1" applyAlignment="1" applyProtection="1">
      <alignment horizontal="center" vertical="center" wrapText="1"/>
    </xf>
    <xf numFmtId="49" fontId="162" fillId="5" borderId="31" xfId="0" applyNumberFormat="1" applyFont="1" applyFill="1" applyBorder="1" applyAlignment="1" applyProtection="1">
      <alignment horizontal="center" vertical="center" wrapText="1"/>
    </xf>
    <xf numFmtId="49" fontId="162" fillId="5" borderId="23" xfId="0" applyNumberFormat="1" applyFont="1" applyFill="1" applyBorder="1" applyAlignment="1" applyProtection="1">
      <alignment horizontal="center" vertical="center" wrapText="1"/>
    </xf>
    <xf numFmtId="0" fontId="172" fillId="5" borderId="0" xfId="3" applyFont="1" applyFill="1" applyAlignment="1" applyProtection="1">
      <alignment horizontal="center" vertical="center"/>
    </xf>
    <xf numFmtId="0" fontId="167" fillId="5" borderId="2" xfId="3" applyFont="1" applyFill="1" applyBorder="1" applyAlignment="1" applyProtection="1">
      <alignment horizontal="center" vertical="center"/>
    </xf>
    <xf numFmtId="0" fontId="279" fillId="5" borderId="10" xfId="0" applyFont="1" applyFill="1" applyBorder="1" applyAlignment="1" applyProtection="1">
      <alignment vertical="center" wrapText="1"/>
    </xf>
    <xf numFmtId="0" fontId="279" fillId="5" borderId="3" xfId="0" applyFont="1" applyFill="1" applyBorder="1" applyAlignment="1" applyProtection="1">
      <alignment vertical="center" wrapText="1"/>
    </xf>
    <xf numFmtId="0" fontId="279" fillId="5" borderId="21" xfId="0" applyFont="1" applyFill="1" applyBorder="1" applyAlignment="1" applyProtection="1">
      <alignment vertical="center" wrapText="1"/>
    </xf>
    <xf numFmtId="0" fontId="89" fillId="5" borderId="9" xfId="3" applyFont="1" applyFill="1" applyBorder="1" applyAlignment="1" applyProtection="1">
      <alignment horizontal="center" vertical="center" wrapText="1"/>
      <protection locked="0"/>
    </xf>
    <xf numFmtId="0" fontId="43" fillId="5" borderId="8" xfId="3" applyFont="1" applyFill="1" applyBorder="1" applyAlignment="1" applyProtection="1">
      <alignment horizontal="right" vertical="center" wrapText="1"/>
      <protection locked="0"/>
    </xf>
    <xf numFmtId="0" fontId="89" fillId="5" borderId="9" xfId="3" applyFont="1" applyFill="1" applyBorder="1" applyAlignment="1" applyProtection="1">
      <alignment horizontal="right" vertical="center" wrapText="1"/>
      <protection locked="0"/>
    </xf>
    <xf numFmtId="0" fontId="167" fillId="5" borderId="10" xfId="3" applyFont="1" applyFill="1" applyBorder="1" applyAlignment="1" applyProtection="1">
      <alignment horizontal="center" vertical="center"/>
    </xf>
    <xf numFmtId="0" fontId="167" fillId="5" borderId="3" xfId="3" applyFont="1" applyFill="1" applyBorder="1" applyAlignment="1" applyProtection="1">
      <alignment horizontal="center" vertical="center"/>
    </xf>
    <xf numFmtId="0" fontId="167" fillId="5" borderId="21" xfId="3" applyFont="1" applyFill="1" applyBorder="1" applyAlignment="1" applyProtection="1">
      <alignment horizontal="center" vertical="center"/>
    </xf>
    <xf numFmtId="0" fontId="167" fillId="5" borderId="10" xfId="3" applyFont="1" applyFill="1" applyBorder="1" applyAlignment="1" applyProtection="1">
      <alignment horizontal="center" vertical="center" wrapText="1"/>
    </xf>
    <xf numFmtId="0" fontId="167" fillId="5" borderId="21" xfId="3" applyFont="1" applyFill="1" applyBorder="1" applyAlignment="1" applyProtection="1">
      <alignment horizontal="center" vertical="center" wrapText="1"/>
    </xf>
    <xf numFmtId="0" fontId="203" fillId="5" borderId="0" xfId="3" applyFont="1" applyFill="1" applyAlignment="1" applyProtection="1">
      <alignment horizontal="center" vertical="center"/>
    </xf>
    <xf numFmtId="0" fontId="163" fillId="5" borderId="0" xfId="3" applyFont="1" applyFill="1" applyBorder="1" applyAlignment="1" applyProtection="1">
      <alignment horizontal="left" vertical="center"/>
    </xf>
    <xf numFmtId="0" fontId="169" fillId="5" borderId="1"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0" fontId="203" fillId="5" borderId="0" xfId="0" applyFont="1" applyFill="1" applyAlignment="1" applyProtection="1">
      <alignment horizontal="center" vertical="center"/>
    </xf>
    <xf numFmtId="0" fontId="125" fillId="5" borderId="0" xfId="0" applyFont="1" applyFill="1" applyAlignment="1" applyProtection="1">
      <alignment horizontal="left" vertical="center"/>
      <protection locked="0"/>
    </xf>
    <xf numFmtId="0" fontId="233" fillId="5" borderId="10" xfId="0" applyFont="1" applyFill="1" applyBorder="1" applyAlignment="1" applyProtection="1">
      <alignment vertical="top" wrapText="1"/>
    </xf>
    <xf numFmtId="0" fontId="233" fillId="5" borderId="18" xfId="0" applyFont="1" applyFill="1" applyBorder="1" applyAlignment="1" applyProtection="1">
      <alignment vertical="top" wrapText="1"/>
    </xf>
    <xf numFmtId="0" fontId="233" fillId="5" borderId="3" xfId="0" applyFont="1" applyFill="1" applyBorder="1" applyAlignment="1" applyProtection="1">
      <alignment vertical="top" wrapText="1"/>
    </xf>
    <xf numFmtId="0" fontId="233" fillId="5" borderId="21" xfId="0" applyFont="1" applyFill="1" applyBorder="1" applyAlignment="1" applyProtection="1">
      <alignment vertical="top" wrapText="1"/>
    </xf>
    <xf numFmtId="0" fontId="164" fillId="5" borderId="49" xfId="0" applyFont="1" applyFill="1" applyBorder="1" applyAlignment="1" applyProtection="1">
      <alignment horizontal="left" vertical="center" wrapText="1"/>
      <protection locked="0"/>
    </xf>
    <xf numFmtId="0" fontId="164" fillId="5" borderId="38" xfId="0" applyFont="1" applyFill="1" applyBorder="1" applyAlignment="1" applyProtection="1">
      <alignment horizontal="left" vertical="center" wrapText="1"/>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8" fillId="11" borderId="5" xfId="0" applyFont="1" applyFill="1" applyBorder="1" applyAlignment="1">
      <alignment horizontal="left" vertical="center"/>
    </xf>
    <xf numFmtId="0" fontId="238" fillId="11" borderId="8" xfId="0" applyFont="1" applyFill="1" applyBorder="1" applyAlignment="1">
      <alignment horizontal="left" vertical="center"/>
    </xf>
    <xf numFmtId="0" fontId="238" fillId="11" borderId="9" xfId="0" applyFont="1" applyFill="1" applyBorder="1" applyAlignment="1">
      <alignment horizontal="left" vertical="center"/>
    </xf>
    <xf numFmtId="0" fontId="229" fillId="11" borderId="2" xfId="0" applyFont="1" applyFill="1" applyBorder="1" applyAlignment="1">
      <alignment horizontal="center" vertical="center"/>
    </xf>
    <xf numFmtId="0" fontId="130" fillId="0" borderId="2" xfId="0" applyFont="1" applyBorder="1" applyAlignment="1">
      <alignment horizontal="center"/>
    </xf>
    <xf numFmtId="0" fontId="130" fillId="0" borderId="2" xfId="0" applyFont="1" applyBorder="1" applyAlignment="1"/>
    <xf numFmtId="0" fontId="229" fillId="5" borderId="11" xfId="0" applyFont="1" applyFill="1" applyBorder="1" applyAlignment="1">
      <alignment horizontal="left" vertical="center" wrapText="1"/>
    </xf>
    <xf numFmtId="0" fontId="130" fillId="0" borderId="2" xfId="0" applyFont="1" applyFill="1" applyBorder="1" applyAlignment="1">
      <alignment horizontal="center" vertical="center"/>
    </xf>
    <xf numFmtId="0" fontId="229" fillId="0" borderId="2" xfId="0" applyFont="1" applyFill="1" applyBorder="1" applyAlignment="1">
      <alignment horizontal="center" vertical="center"/>
    </xf>
    <xf numFmtId="0" fontId="229" fillId="5" borderId="2" xfId="0" applyFont="1" applyFill="1" applyBorder="1" applyAlignment="1">
      <alignment horizontal="left" vertical="center" wrapText="1"/>
    </xf>
    <xf numFmtId="0" fontId="238" fillId="5" borderId="81" xfId="0" applyFont="1" applyFill="1" applyBorder="1" applyAlignment="1">
      <alignment vertical="center"/>
    </xf>
    <xf numFmtId="0" fontId="238" fillId="5" borderId="14" xfId="0" applyFont="1" applyFill="1" applyBorder="1" applyAlignment="1">
      <alignment vertical="center"/>
    </xf>
    <xf numFmtId="0" fontId="238" fillId="5" borderId="32" xfId="0" applyFont="1" applyFill="1" applyBorder="1" applyAlignment="1">
      <alignment vertical="center"/>
    </xf>
    <xf numFmtId="0" fontId="238" fillId="5" borderId="54" xfId="0" applyFont="1" applyFill="1" applyBorder="1" applyAlignment="1">
      <alignment vertical="center"/>
    </xf>
    <xf numFmtId="0" fontId="238" fillId="5" borderId="61" xfId="0" applyFont="1" applyFill="1" applyBorder="1" applyAlignment="1">
      <alignment vertical="center"/>
    </xf>
    <xf numFmtId="0" fontId="238" fillId="5" borderId="67" xfId="0" applyFont="1" applyFill="1" applyBorder="1" applyAlignment="1">
      <alignment vertical="center"/>
    </xf>
    <xf numFmtId="0" fontId="235" fillId="5" borderId="64" xfId="0" applyFont="1" applyFill="1" applyBorder="1" applyAlignment="1">
      <alignment horizontal="left" vertical="center"/>
    </xf>
    <xf numFmtId="0" fontId="235" fillId="5" borderId="8" xfId="0" applyFont="1" applyFill="1" applyBorder="1" applyAlignment="1">
      <alignment horizontal="left" vertical="center"/>
    </xf>
    <xf numFmtId="0" fontId="235" fillId="5" borderId="9" xfId="0" applyFont="1" applyFill="1" applyBorder="1" applyAlignment="1">
      <alignment horizontal="left" vertical="center"/>
    </xf>
    <xf numFmtId="0" fontId="237" fillId="5" borderId="2" xfId="0" applyFont="1" applyFill="1" applyBorder="1" applyAlignment="1">
      <alignment horizontal="center" vertical="center"/>
    </xf>
    <xf numFmtId="0" fontId="237" fillId="5" borderId="12" xfId="0" applyFont="1" applyFill="1" applyBorder="1" applyAlignment="1">
      <alignment horizontal="center" vertical="center"/>
    </xf>
    <xf numFmtId="0" fontId="86" fillId="5" borderId="2" xfId="0" applyNumberFormat="1" applyFont="1" applyFill="1" applyBorder="1" applyAlignment="1" applyProtection="1">
      <alignment horizontal="center" vertical="center"/>
    </xf>
    <xf numFmtId="0" fontId="87" fillId="5" borderId="2" xfId="0" applyNumberFormat="1" applyFont="1" applyFill="1" applyBorder="1" applyAlignment="1" applyProtection="1">
      <alignment horizontal="center" vertical="center"/>
    </xf>
    <xf numFmtId="0" fontId="87" fillId="5" borderId="21" xfId="0" applyFont="1" applyFill="1" applyBorder="1" applyAlignment="1" applyProtection="1">
      <alignment horizontal="center" vertical="center" textRotation="255" wrapText="1"/>
    </xf>
    <xf numFmtId="0" fontId="87" fillId="5" borderId="14" xfId="0" applyFont="1" applyFill="1" applyBorder="1" applyAlignment="1" applyProtection="1">
      <alignment horizontal="center" vertical="center" wrapText="1"/>
    </xf>
    <xf numFmtId="0" fontId="87" fillId="5" borderId="0" xfId="0" applyFont="1" applyFill="1" applyBorder="1" applyAlignment="1" applyProtection="1">
      <alignment horizontal="center" vertical="center" wrapText="1"/>
    </xf>
    <xf numFmtId="0" fontId="87" fillId="5" borderId="19" xfId="0" applyFont="1" applyFill="1" applyBorder="1" applyAlignment="1" applyProtection="1">
      <alignment horizontal="center" vertical="center" wrapText="1"/>
    </xf>
    <xf numFmtId="0" fontId="87" fillId="5" borderId="8"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xf>
    <xf numFmtId="0" fontId="79" fillId="5" borderId="8" xfId="0" applyFont="1" applyFill="1" applyBorder="1" applyAlignment="1" applyProtection="1">
      <alignment horizontal="center" vertical="center"/>
    </xf>
    <xf numFmtId="0" fontId="79" fillId="5" borderId="9" xfId="0" applyFont="1" applyFill="1" applyBorder="1" applyAlignment="1" applyProtection="1">
      <alignment horizontal="center" vertical="center"/>
    </xf>
    <xf numFmtId="0" fontId="79" fillId="5" borderId="68" xfId="0" applyFont="1" applyFill="1" applyBorder="1" applyAlignment="1" applyProtection="1">
      <alignment horizontal="center" vertical="center"/>
      <protection locked="0"/>
    </xf>
    <xf numFmtId="0" fontId="79" fillId="5" borderId="61" xfId="0" applyFont="1" applyFill="1" applyBorder="1" applyAlignment="1" applyProtection="1">
      <alignment horizontal="center" vertical="center"/>
      <protection locked="0"/>
    </xf>
    <xf numFmtId="0" fontId="79" fillId="5" borderId="67" xfId="0" applyFont="1" applyFill="1" applyBorder="1" applyAlignment="1" applyProtection="1">
      <alignment horizontal="center" vertical="center"/>
      <protection locked="0"/>
    </xf>
    <xf numFmtId="0" fontId="238" fillId="0" borderId="0" xfId="10" applyFont="1" applyAlignment="1">
      <alignment horizontal="center" vertical="center"/>
    </xf>
    <xf numFmtId="0" fontId="160" fillId="0" borderId="0" xfId="10" applyFont="1" applyAlignment="1">
      <alignment horizontal="center" vertical="center"/>
    </xf>
    <xf numFmtId="0" fontId="242" fillId="0" borderId="0" xfId="10" applyFont="1" applyAlignment="1">
      <alignment horizontal="center" vertical="center"/>
    </xf>
    <xf numFmtId="0" fontId="244" fillId="12" borderId="129" xfId="10" applyFont="1" applyFill="1" applyBorder="1" applyAlignment="1" applyProtection="1">
      <alignment horizontal="center" vertical="center" wrapText="1"/>
    </xf>
    <xf numFmtId="0" fontId="244" fillId="12" borderId="123" xfId="10" applyFont="1" applyFill="1" applyBorder="1" applyAlignment="1" applyProtection="1">
      <alignment horizontal="center" vertical="center" wrapText="1"/>
    </xf>
    <xf numFmtId="0" fontId="244" fillId="12" borderId="125" xfId="10" applyFont="1" applyFill="1" applyBorder="1" applyAlignment="1" applyProtection="1">
      <alignment horizontal="center" vertical="center" wrapText="1"/>
    </xf>
    <xf numFmtId="0" fontId="155" fillId="12" borderId="129" xfId="10" applyFont="1" applyFill="1" applyBorder="1" applyAlignment="1" applyProtection="1">
      <alignment horizontal="center" vertical="center" wrapText="1"/>
    </xf>
    <xf numFmtId="0" fontId="155" fillId="12" borderId="123" xfId="10" applyFont="1" applyFill="1" applyBorder="1" applyAlignment="1" applyProtection="1">
      <alignment horizontal="center" vertical="center" wrapText="1"/>
    </xf>
    <xf numFmtId="0" fontId="155" fillId="12" borderId="125" xfId="10" applyFont="1" applyFill="1" applyBorder="1" applyAlignment="1" applyProtection="1">
      <alignment horizontal="center" vertical="center" wrapText="1"/>
    </xf>
    <xf numFmtId="0" fontId="244" fillId="12" borderId="119" xfId="10" applyFont="1" applyFill="1" applyBorder="1" applyAlignment="1" applyProtection="1">
      <alignment horizontal="center" vertical="center" wrapText="1"/>
    </xf>
    <xf numFmtId="0" fontId="281" fillId="0" borderId="2" xfId="15" applyFont="1" applyBorder="1" applyAlignment="1">
      <alignment horizontal="center" vertical="center"/>
    </xf>
    <xf numFmtId="0" fontId="179" fillId="0" borderId="2" xfId="15" applyFont="1" applyBorder="1" applyAlignment="1">
      <alignment horizontal="center" vertical="center"/>
    </xf>
    <xf numFmtId="0" fontId="0" fillId="6" borderId="2" xfId="0" applyFill="1" applyBorder="1" applyAlignment="1">
      <alignment horizontal="center" vertical="center"/>
    </xf>
    <xf numFmtId="0" fontId="148" fillId="0" borderId="5" xfId="0" applyFont="1" applyBorder="1" applyAlignment="1">
      <alignment horizontal="center" vertical="center"/>
    </xf>
    <xf numFmtId="0" fontId="148" fillId="0" borderId="9" xfId="0" applyFont="1" applyBorder="1" applyAlignment="1">
      <alignment horizontal="center" vertical="center"/>
    </xf>
    <xf numFmtId="0" fontId="149" fillId="23" borderId="2" xfId="0" applyFont="1" applyFill="1" applyBorder="1" applyAlignment="1">
      <alignment horizontal="center" vertical="center"/>
    </xf>
    <xf numFmtId="0" fontId="0" fillId="0" borderId="2" xfId="0" applyBorder="1" applyAlignment="1">
      <alignment horizontal="center" vertical="center"/>
    </xf>
    <xf numFmtId="0" fontId="176" fillId="22" borderId="35" xfId="0" applyFont="1" applyFill="1" applyBorder="1" applyAlignment="1">
      <alignment horizontal="center" vertical="center" wrapText="1"/>
    </xf>
    <xf numFmtId="0" fontId="176" fillId="22" borderId="156" xfId="0" applyFont="1" applyFill="1" applyBorder="1" applyAlignment="1">
      <alignment horizontal="center" vertical="center" wrapText="1"/>
    </xf>
    <xf numFmtId="0" fontId="282" fillId="22" borderId="35" xfId="0" applyFont="1" applyFill="1" applyBorder="1" applyAlignment="1">
      <alignment horizontal="center" vertical="center" wrapText="1"/>
    </xf>
    <xf numFmtId="0" fontId="171" fillId="6" borderId="37" xfId="0" applyFont="1" applyFill="1" applyBorder="1" applyAlignment="1">
      <alignment horizontal="center" vertical="center"/>
    </xf>
    <xf numFmtId="0" fontId="159" fillId="6" borderId="37" xfId="0" applyFont="1" applyFill="1" applyBorder="1" applyAlignment="1">
      <alignment horizontal="center" vertical="center"/>
    </xf>
    <xf numFmtId="0" fontId="171" fillId="6" borderId="0" xfId="0" applyFont="1" applyFill="1" applyAlignment="1">
      <alignment horizontal="center" vertical="center"/>
    </xf>
    <xf numFmtId="0" fontId="159" fillId="6" borderId="0" xfId="0" applyFont="1" applyFill="1" applyAlignment="1">
      <alignment horizontal="center" vertical="center"/>
    </xf>
    <xf numFmtId="49" fontId="176" fillId="22" borderId="35" xfId="0" applyNumberFormat="1" applyFont="1" applyFill="1" applyBorder="1" applyAlignment="1">
      <alignment horizontal="center" vertical="center" wrapText="1"/>
    </xf>
    <xf numFmtId="49" fontId="176" fillId="22" borderId="156" xfId="0" applyNumberFormat="1" applyFont="1" applyFill="1" applyBorder="1" applyAlignment="1">
      <alignment horizontal="center" vertical="center" wrapText="1"/>
    </xf>
    <xf numFmtId="0" fontId="170" fillId="0" borderId="11" xfId="0" applyFont="1" applyBorder="1" applyAlignment="1">
      <alignment horizontal="center" vertical="center"/>
    </xf>
    <xf numFmtId="0" fontId="148" fillId="0" borderId="2" xfId="0" applyFont="1" applyFill="1" applyBorder="1" applyAlignment="1">
      <alignment horizontal="center" vertical="center"/>
    </xf>
    <xf numFmtId="2" fontId="0" fillId="0" borderId="2" xfId="0" applyNumberFormat="1" applyBorder="1" applyAlignment="1">
      <alignment horizontal="center" vertical="center"/>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991;&#20214;/&#12304;&#27979;&#31639;&#12305;2016-1-E-3-123%20&#21271;&#20140;&#24066;&#24310;&#24198;&#21439;&#24247;&#24196;&#38215;&#35199;&#26705;&#22253;&#26449;&#2133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土地估价师、土地估价师</v>
      </c>
      <c r="N4" s="2904" t="str">
        <f>'预评函-1'!A28</f>
        <v>——</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受贵公司委托，我公司对出让国有建设用地使用权市场价格进行了预评估。</v>
      </c>
      <c r="AM6" s="2927"/>
    </row>
    <row r="7" spans="1:55" s="2901" customFormat="1">
      <c r="A7" s="2902" t="s">
        <v>2660</v>
      </c>
      <c r="B7" s="2903" t="str">
        <f>'预评函-1'!A6</f>
        <v>估价对象为使用的、位于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2018年5月2日（评估专业人员勘察现场之日）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2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5" thickBot="1">
      <c r="A21" s="2924" t="s">
        <v>2677</v>
      </c>
      <c r="B21" s="2925" t="str">
        <f>'预评函-1'!A28</f>
        <v>——</v>
      </c>
    </row>
    <row r="22" spans="1:48" ht="15" thickTop="1">
      <c r="A22" s="2913" t="s">
        <v>2678</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估价期日：2018年5月2日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10976</v>
      </c>
    </row>
    <row r="47" spans="1:2">
      <c r="A47" s="2902" t="s">
        <v>2727</v>
      </c>
      <c r="B47" s="2903">
        <f ca="1">'预评函-2'!Q5</f>
        <v>33060</v>
      </c>
    </row>
    <row r="48" spans="1:2">
      <c r="A48" s="2902" t="s">
        <v>2728</v>
      </c>
      <c r="B48" s="2903">
        <f ca="1">'预评函-2'!R5</f>
        <v>199923</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土地估价师</v>
      </c>
    </row>
    <row r="70" spans="1:2">
      <c r="A70" s="2902" t="s">
        <v>2693</v>
      </c>
      <c r="B70" s="2909">
        <f>'预评函-3'!B20</f>
        <v>0</v>
      </c>
    </row>
    <row r="71" spans="1:2">
      <c r="A71" s="2902" t="s">
        <v>2694</v>
      </c>
      <c r="B71" s="2903" t="str">
        <f>'预评函-3'!A21</f>
        <v>土地估价师</v>
      </c>
    </row>
    <row r="72" spans="1:2" s="2917" customFormat="1" ht="15" thickBot="1">
      <c r="A72" s="2924" t="s">
        <v>2694</v>
      </c>
      <c r="B72" s="2930">
        <f>'预评函-3'!B21</f>
        <v>0</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C31" sqref="C31:D31"/>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83" t="str">
        <f>IF(B10="北京市","北京市",C10)&amp;F10&amp;B16&amp;"国有建设用地使用权"&amp;B9&amp;"预评估"</f>
        <v>出让国有建设用地使用权市场价格预评估</v>
      </c>
      <c r="C1" s="3284"/>
      <c r="D1" s="3284"/>
      <c r="E1" s="3284"/>
      <c r="F1" s="3284"/>
      <c r="G1" s="3284"/>
      <c r="H1" s="3284"/>
      <c r="I1" s="3285"/>
      <c r="J1" s="1693"/>
      <c r="K1" s="2479"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出让国有建设用地使用权</v>
      </c>
      <c r="L2" s="1722"/>
      <c r="M2" s="1722"/>
      <c r="N2" s="1693"/>
      <c r="O2" s="1694"/>
      <c r="P2" s="1693"/>
      <c r="Q2" s="1693"/>
      <c r="R2" s="1693"/>
      <c r="S2" s="1693"/>
      <c r="T2" s="1693"/>
      <c r="U2" s="1693"/>
    </row>
    <row r="3" spans="1:21">
      <c r="A3" s="1660" t="s">
        <v>1941</v>
      </c>
      <c r="B3" s="1661">
        <v>43222</v>
      </c>
      <c r="C3" s="1662" t="s">
        <v>1997</v>
      </c>
      <c r="D3" s="1661">
        <v>43222</v>
      </c>
      <c r="E3" s="1693"/>
      <c r="F3" s="1693"/>
      <c r="G3" s="1693"/>
      <c r="H3" s="1659"/>
      <c r="I3" s="1694"/>
      <c r="J3" s="1693"/>
      <c r="K3" s="1773"/>
      <c r="L3" s="1722"/>
      <c r="M3" s="1722"/>
      <c r="N3" s="1693"/>
      <c r="O3" s="1694"/>
      <c r="P3" s="1693"/>
      <c r="Q3" s="1693"/>
      <c r="R3" s="1693"/>
      <c r="S3" s="1693"/>
      <c r="T3" s="1693"/>
      <c r="U3" s="1693"/>
    </row>
    <row r="4" spans="1:21" ht="29.25" thickBot="1">
      <c r="A4" s="1663" t="s">
        <v>1942</v>
      </c>
      <c r="B4" s="1842" t="s">
        <v>2890</v>
      </c>
      <c r="C4" s="1845">
        <f>SUMIF(土地估价师,B4,估价师及机构信息!E3:E24)</f>
        <v>0</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2982</v>
      </c>
      <c r="C8" s="1670"/>
      <c r="D8" s="3289"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t="s">
        <v>2983</v>
      </c>
      <c r="C9" s="1674"/>
      <c r="D9" s="3290"/>
      <c r="E9" s="1673"/>
      <c r="F9" s="1746"/>
      <c r="G9" s="1741"/>
      <c r="H9" s="1741"/>
      <c r="I9" s="1742"/>
      <c r="J9" s="1693"/>
      <c r="K9" s="1773"/>
      <c r="L9" s="1722"/>
      <c r="M9" s="1722"/>
      <c r="N9" s="1693"/>
      <c r="O9" s="1694"/>
      <c r="P9" s="1693"/>
      <c r="Q9" s="1693"/>
      <c r="R9" s="1693"/>
      <c r="S9" s="1693"/>
      <c r="T9" s="1693"/>
      <c r="U9" s="1693"/>
    </row>
    <row r="10" spans="1:21" ht="15" thickTop="1">
      <c r="A10" s="1743" t="s">
        <v>2001</v>
      </c>
      <c r="B10" s="1718"/>
      <c r="C10" s="1675"/>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86"/>
      <c r="C12" s="3287"/>
      <c r="D12" s="3288"/>
      <c r="E12" s="1698" t="s">
        <v>2063</v>
      </c>
      <c r="F12" s="3304" t="s">
        <v>2891</v>
      </c>
      <c r="G12" s="3305"/>
      <c r="H12" s="3305"/>
      <c r="I12" s="3306"/>
      <c r="J12" s="1693"/>
      <c r="K12" s="1773"/>
      <c r="L12" s="1722"/>
      <c r="M12" s="1722"/>
      <c r="N12" s="1693"/>
      <c r="O12" s="1694"/>
      <c r="P12" s="1693"/>
      <c r="Q12" s="1693"/>
      <c r="R12" s="1693"/>
      <c r="S12" s="1693"/>
      <c r="T12" s="1693"/>
      <c r="U12" s="1693"/>
    </row>
    <row r="13" spans="1:21">
      <c r="A13" s="1686" t="s">
        <v>2061</v>
      </c>
      <c r="B13" s="3286"/>
      <c r="C13" s="3287"/>
      <c r="D13" s="3288"/>
      <c r="E13" s="1698" t="s">
        <v>2063</v>
      </c>
      <c r="F13" s="3304" t="s">
        <v>2892</v>
      </c>
      <c r="G13" s="3305"/>
      <c r="H13" s="3305"/>
      <c r="I13" s="3306"/>
      <c r="J13" s="1693"/>
      <c r="K13" s="1773"/>
      <c r="L13" s="1722"/>
      <c r="M13" s="1722"/>
      <c r="N13" s="1693"/>
      <c r="O13" s="1694"/>
      <c r="P13" s="1693"/>
      <c r="Q13" s="1693"/>
      <c r="R13" s="1693"/>
      <c r="S13" s="1693"/>
      <c r="T13" s="1693"/>
      <c r="U13" s="1693"/>
    </row>
    <row r="14" spans="1:21">
      <c r="A14" s="1660" t="s">
        <v>2064</v>
      </c>
      <c r="B14" s="1698"/>
      <c r="C14" s="1844" t="s">
        <v>3009</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3012</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27.17</v>
      </c>
      <c r="J19" s="1693"/>
      <c r="K19" s="1773"/>
      <c r="L19" s="1722"/>
      <c r="M19" s="1722"/>
      <c r="N19" s="1693"/>
      <c r="O19" s="1694"/>
      <c r="P19" s="1693"/>
      <c r="Q19" s="1693"/>
      <c r="R19" s="1693"/>
      <c r="S19" s="1693"/>
      <c r="T19" s="1693"/>
      <c r="U19" s="1693"/>
    </row>
    <row r="20" spans="1:21">
      <c r="A20" s="1785"/>
      <c r="B20" s="1786"/>
      <c r="C20" s="1787" t="s">
        <v>2062</v>
      </c>
      <c r="D20" s="3301"/>
      <c r="E20" s="3302"/>
      <c r="F20" s="3302"/>
      <c r="G20" s="3302"/>
      <c r="H20" s="3302"/>
      <c r="I20" s="3303"/>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291" t="s">
        <v>2000</v>
      </c>
      <c r="F21" s="3292"/>
      <c r="G21" s="3292"/>
      <c r="H21" s="3292"/>
      <c r="I21" s="3293"/>
      <c r="J21" s="1693"/>
      <c r="K21" s="1773"/>
      <c r="L21" s="1722"/>
      <c r="M21" s="1722"/>
      <c r="N21" s="1693"/>
      <c r="O21" s="1694"/>
      <c r="P21" s="1693"/>
      <c r="Q21" s="1693"/>
      <c r="R21" s="1693"/>
      <c r="S21" s="1693"/>
      <c r="T21" s="1693"/>
      <c r="U21" s="1693"/>
    </row>
    <row r="22" spans="1:21">
      <c r="A22" s="3178" t="s">
        <v>951</v>
      </c>
      <c r="B22" s="1660" t="s">
        <v>1963</v>
      </c>
      <c r="C22" s="1685">
        <f>'数据-汇总表'!D3</f>
        <v>182153.37</v>
      </c>
      <c r="D22" s="1686" t="s">
        <v>1962</v>
      </c>
      <c r="E22" s="3291" t="s">
        <v>2893</v>
      </c>
      <c r="F22" s="3292"/>
      <c r="G22" s="3292"/>
      <c r="H22" s="3292"/>
      <c r="I22" s="3293"/>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94" t="s">
        <v>1968</v>
      </c>
      <c r="C24" s="3295"/>
      <c r="D24" s="3296" t="s">
        <v>1969</v>
      </c>
      <c r="E24" s="3297"/>
      <c r="F24" s="1707" t="s">
        <v>1970</v>
      </c>
      <c r="G24" s="1693"/>
      <c r="H24" s="1693"/>
      <c r="I24" s="1706"/>
      <c r="J24" s="1693"/>
      <c r="K24" s="3282"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28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28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309" t="s">
        <v>2003</v>
      </c>
      <c r="B31" s="1763" t="s">
        <v>2004</v>
      </c>
      <c r="C31" s="3307"/>
      <c r="D31" s="3308"/>
      <c r="E31" s="1693"/>
      <c r="F31" s="1693"/>
      <c r="G31" s="1693"/>
      <c r="H31" s="1693"/>
      <c r="I31" s="1706"/>
      <c r="J31" s="1693"/>
      <c r="K31" s="2482"/>
      <c r="L31" s="1693"/>
      <c r="M31" s="1693"/>
      <c r="N31" s="1693"/>
      <c r="O31" s="1693"/>
      <c r="P31" s="1693"/>
      <c r="Q31" s="1693"/>
      <c r="R31" s="1693"/>
      <c r="S31" s="1693"/>
      <c r="T31" s="1693"/>
      <c r="U31" s="1693"/>
    </row>
    <row r="32" spans="1:21">
      <c r="A32" s="3309"/>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309"/>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310"/>
      <c r="B34" s="1660" t="s">
        <v>2007</v>
      </c>
      <c r="C34" s="3311"/>
      <c r="D34" s="3312"/>
      <c r="E34" s="1693"/>
      <c r="F34" s="1693"/>
      <c r="G34" s="1693"/>
      <c r="H34" s="1693"/>
      <c r="I34" s="1706"/>
      <c r="J34" s="1693"/>
      <c r="K34" s="2482"/>
      <c r="L34" s="1693"/>
      <c r="M34" s="1693"/>
      <c r="N34" s="1693"/>
      <c r="O34" s="1693"/>
      <c r="P34" s="1693"/>
      <c r="Q34" s="1693"/>
      <c r="R34" s="1693"/>
      <c r="S34" s="1693"/>
      <c r="T34" s="1693"/>
      <c r="U34" s="1693"/>
    </row>
    <row r="35" spans="1:21">
      <c r="A35" s="3313" t="s">
        <v>846</v>
      </c>
      <c r="B35" s="1721"/>
      <c r="C35" s="1775" t="str">
        <f>IF(B35="场地平整","——","具体情况：")</f>
        <v>具体情况：</v>
      </c>
      <c r="D35" s="3315"/>
      <c r="E35" s="3316"/>
      <c r="F35" s="3316"/>
      <c r="G35" s="3316"/>
      <c r="H35" s="3316"/>
      <c r="I35" s="3317"/>
      <c r="J35" s="1693"/>
      <c r="K35" s="1774"/>
      <c r="L35" s="1722"/>
      <c r="M35" s="1722"/>
      <c r="N35" s="1693"/>
      <c r="O35" s="1694"/>
      <c r="P35" s="1693"/>
      <c r="Q35" s="1693"/>
      <c r="R35" s="1693"/>
      <c r="S35" s="1693"/>
      <c r="T35" s="1693"/>
      <c r="U35" s="1693"/>
    </row>
    <row r="36" spans="1:21">
      <c r="A36" s="3309"/>
      <c r="B36" s="3318" t="s">
        <v>2056</v>
      </c>
      <c r="C36" s="3319"/>
      <c r="D36" s="1791"/>
      <c r="E36" s="3320"/>
      <c r="F36" s="3320"/>
      <c r="G36" s="1686" t="str">
        <f>IF(B35="场地未平整","估价结果处理","")</f>
        <v/>
      </c>
      <c r="H36" s="3321"/>
      <c r="I36" s="3321"/>
      <c r="J36" s="1693"/>
      <c r="K36" s="1774"/>
      <c r="L36" s="1722"/>
      <c r="M36" s="1722"/>
      <c r="N36" s="1693"/>
      <c r="O36" s="1694"/>
      <c r="P36" s="1693"/>
      <c r="Q36" s="1693"/>
      <c r="R36" s="1693"/>
      <c r="S36" s="1693"/>
      <c r="T36" s="1693"/>
      <c r="U36" s="1693"/>
    </row>
    <row r="37" spans="1:21" ht="28.5">
      <c r="A37" s="3309"/>
      <c r="B37" s="3298"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309"/>
      <c r="B38" s="3299"/>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310"/>
      <c r="B39" s="330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281" t="s">
        <v>1987</v>
      </c>
      <c r="T40" s="1730" t="str">
        <f>NUMBERSTRING(7-K40,1)&amp;"通"</f>
        <v>七通</v>
      </c>
      <c r="U40" s="1693"/>
    </row>
    <row r="41" spans="1:21">
      <c r="A41" s="1662"/>
      <c r="B41" s="3314" t="s">
        <v>1721</v>
      </c>
      <c r="C41" s="3314"/>
      <c r="D41" s="3314"/>
      <c r="E41" s="331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81"/>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2894</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2991</v>
      </c>
      <c r="J9" s="51"/>
      <c r="K9" s="3042" t="s">
        <v>2991</v>
      </c>
      <c r="L9" s="51"/>
      <c r="M9" s="3042" t="s">
        <v>2991</v>
      </c>
      <c r="N9" s="51"/>
      <c r="O9" s="59" t="s">
        <v>2991</v>
      </c>
      <c r="P9" s="51"/>
      <c r="Q9" s="59" t="s">
        <v>2991</v>
      </c>
      <c r="R9" s="51"/>
      <c r="S9" s="59" t="s">
        <v>2991</v>
      </c>
      <c r="T9" s="51"/>
      <c r="U9" s="59" t="s">
        <v>2997</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2984</v>
      </c>
      <c r="J11" s="71"/>
      <c r="K11" s="3043" t="s">
        <v>2992</v>
      </c>
      <c r="L11" s="71"/>
      <c r="M11" s="70" t="s">
        <v>2993</v>
      </c>
      <c r="N11" s="71"/>
      <c r="O11" s="70" t="s">
        <v>2994</v>
      </c>
      <c r="P11" s="71"/>
      <c r="Q11" s="70" t="s">
        <v>2995</v>
      </c>
      <c r="R11" s="71"/>
      <c r="S11" s="70" t="s">
        <v>2996</v>
      </c>
      <c r="T11" s="71"/>
      <c r="U11" s="70" t="s">
        <v>2998</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6"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333" t="s">
        <v>202</v>
      </c>
      <c r="B2" s="3333"/>
      <c r="C2" s="3333"/>
      <c r="D2" s="1975" t="s">
        <v>203</v>
      </c>
      <c r="E2" s="106" t="s">
        <v>204</v>
      </c>
      <c r="F2" s="1984"/>
      <c r="G2" s="1198"/>
      <c r="H2" s="1199"/>
      <c r="I2" s="1200" t="s">
        <v>856</v>
      </c>
      <c r="J2" s="1984"/>
      <c r="K2" s="1984"/>
      <c r="L2" s="1984"/>
    </row>
    <row r="3" spans="1:16" ht="15.75" thickBot="1">
      <c r="A3" s="3334" t="s">
        <v>205</v>
      </c>
      <c r="B3" s="3334"/>
      <c r="C3" s="3334"/>
      <c r="D3" s="107">
        <f>'数据-基础表'!AY6</f>
        <v>182153.37</v>
      </c>
      <c r="E3" s="107">
        <f>'数据-基础表'!AZ5</f>
        <v>60473.499999999985</v>
      </c>
      <c r="F3" s="1984"/>
      <c r="G3" s="280" t="s">
        <v>857</v>
      </c>
      <c r="H3" s="275" t="s">
        <v>858</v>
      </c>
      <c r="I3" s="1976">
        <f>ROUND('数据-基础表'!B3/'数据-基础表'!A3,2)</f>
        <v>0.33</v>
      </c>
      <c r="J3" s="1984"/>
      <c r="K3" s="1984"/>
      <c r="L3" s="1984"/>
    </row>
    <row r="4" spans="1:16" ht="15">
      <c r="A4" s="3335"/>
      <c r="B4" s="3336"/>
      <c r="C4" s="3337"/>
      <c r="D4" s="108" t="s">
        <v>203</v>
      </c>
      <c r="E4" s="109" t="s">
        <v>204</v>
      </c>
      <c r="F4" s="1984"/>
      <c r="G4" s="1201"/>
      <c r="H4" s="275" t="s">
        <v>859</v>
      </c>
      <c r="I4" s="1976">
        <f>ROUND(SUMIF('数据-基础表'!I9:AS9,"地上",'数据-基础表'!I5:AS5)/'数据-基础表'!A3,2)</f>
        <v>0.33</v>
      </c>
      <c r="J4" s="1984"/>
      <c r="K4" s="1984"/>
      <c r="L4" s="1984"/>
    </row>
    <row r="5" spans="1:16">
      <c r="A5" s="110" t="s">
        <v>206</v>
      </c>
      <c r="B5" s="3338" t="s">
        <v>229</v>
      </c>
      <c r="C5" s="3338"/>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338" t="s">
        <v>207</v>
      </c>
      <c r="C6" s="3338"/>
      <c r="D6" s="111">
        <f>ROUND($D$3*E6/$E$3,2)</f>
        <v>169800.67</v>
      </c>
      <c r="E6" s="112">
        <f>E3-E5</f>
        <v>56372.499999999985</v>
      </c>
      <c r="F6" s="1984"/>
      <c r="G6" s="1201"/>
      <c r="H6" s="275" t="s">
        <v>859</v>
      </c>
      <c r="I6" s="1976">
        <f>ROUND(F31/D31,2)</f>
        <v>0.33</v>
      </c>
      <c r="J6" s="1984"/>
      <c r="K6" s="1984"/>
      <c r="L6" s="1984"/>
    </row>
    <row r="7" spans="1:16" ht="15">
      <c r="A7" s="3330"/>
      <c r="B7" s="3331"/>
      <c r="C7" s="3332"/>
      <c r="D7" s="108" t="s">
        <v>203</v>
      </c>
      <c r="E7" s="114" t="s">
        <v>230</v>
      </c>
      <c r="F7" s="1984"/>
      <c r="G7" s="1156" t="s">
        <v>1645</v>
      </c>
      <c r="H7" s="1157"/>
      <c r="I7" s="1846">
        <v>1</v>
      </c>
      <c r="J7" s="1984"/>
      <c r="K7" s="1984"/>
      <c r="L7" s="1984"/>
    </row>
    <row r="8" spans="1:16">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178806.6</v>
      </c>
      <c r="E16" s="120">
        <f>SUM(E8:E15)</f>
        <v>59362.400000000001</v>
      </c>
      <c r="F16" s="1984"/>
      <c r="G16" s="1986"/>
      <c r="H16" s="968" t="s">
        <v>218</v>
      </c>
      <c r="I16" s="969"/>
      <c r="J16" s="1984"/>
      <c r="K16" s="3324" t="s">
        <v>2569</v>
      </c>
      <c r="L16" s="3325"/>
      <c r="M16" s="3325"/>
      <c r="N16" s="3325"/>
      <c r="O16" s="3325"/>
      <c r="P16" s="3326"/>
    </row>
    <row r="17" spans="1:19" ht="15">
      <c r="A17" s="121" t="s">
        <v>215</v>
      </c>
      <c r="B17" s="122" t="s">
        <v>216</v>
      </c>
      <c r="C17" s="2298" t="s">
        <v>2315</v>
      </c>
      <c r="D17" s="108" t="s">
        <v>203</v>
      </c>
      <c r="E17" s="124" t="s">
        <v>204</v>
      </c>
      <c r="F17" s="125"/>
      <c r="G17" s="1365"/>
      <c r="H17" s="970" t="s">
        <v>217</v>
      </c>
      <c r="I17" s="971" t="s">
        <v>2314</v>
      </c>
      <c r="J17" s="1984"/>
      <c r="K17" s="3327" t="s">
        <v>2570</v>
      </c>
      <c r="L17" s="3328"/>
      <c r="M17" s="3329"/>
      <c r="N17" s="3327" t="s">
        <v>2571</v>
      </c>
      <c r="O17" s="3328"/>
      <c r="P17" s="3329"/>
      <c r="R17" s="2299" t="s">
        <v>2313</v>
      </c>
      <c r="S17" s="144"/>
    </row>
    <row r="18" spans="1:19" ht="15">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c r="A19" s="133"/>
      <c r="B19" s="115" t="s">
        <v>224</v>
      </c>
      <c r="C19" s="3048" t="s">
        <v>2999</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c r="A20" s="138"/>
      <c r="B20" s="115" t="s">
        <v>225</v>
      </c>
      <c r="C20" s="3048" t="s">
        <v>3000</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c r="A21" s="138"/>
      <c r="B21" s="115" t="s">
        <v>225</v>
      </c>
      <c r="C21" s="3048" t="s">
        <v>3001</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c r="A22" s="138"/>
      <c r="B22" s="115" t="s">
        <v>225</v>
      </c>
      <c r="C22" s="3187" t="s">
        <v>3002</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c r="A23" s="138"/>
      <c r="B23" s="115" t="s">
        <v>225</v>
      </c>
      <c r="C23" s="139" t="s">
        <v>3003</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c r="A24" s="138"/>
      <c r="B24" s="115" t="s">
        <v>225</v>
      </c>
      <c r="C24" s="139" t="s">
        <v>3004</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c r="A25" s="138"/>
      <c r="B25" s="115" t="s">
        <v>225</v>
      </c>
      <c r="C25" s="3187" t="s">
        <v>3005</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4" sqref="F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43222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3011</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27.17</v>
      </c>
      <c r="G6" s="175">
        <f>IF(ISERROR(ROUND(POWER(1+H6,D6-F6)*(POWER(1+H6,F6)-1)/(POWER(1+H6,D6)-1),3)),0,ROUND(POWER(1+H6,D6-F6)*(POWER(1+H6,F6)-1)/(POWER(1+H6,D6)-1),3))</f>
        <v>0.74</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0.15</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27.17</v>
      </c>
      <c r="AF6" s="141"/>
      <c r="AG6" s="1213">
        <f>IF(AF6="",0,AE6-AF6)</f>
        <v>0</v>
      </c>
      <c r="AH6" s="141"/>
      <c r="AI6" s="187">
        <v>365</v>
      </c>
      <c r="AJ6" s="188"/>
      <c r="AK6" s="189"/>
      <c r="AL6" s="190"/>
      <c r="AM6" s="3063"/>
      <c r="AN6" s="2416" t="s">
        <v>3014</v>
      </c>
      <c r="AO6" s="2000"/>
      <c r="AP6" s="1204">
        <f>ROUND(1-1/(1+H6)^F6,3)</f>
        <v>0.60699999999999998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27.17</v>
      </c>
      <c r="G7" s="175">
        <f t="shared" ref="G7:G11" si="2">IF(ISERROR(ROUND(POWER(1+H7,D7-F7)*(POWER(1+H7,F7)-1)/(POWER(1+H7,D7)-1),3)),0,ROUND(POWER(1+H7,D7-F7)*(POWER(1+H7,F7)-1)/(POWER(1+H7,D7)-1),3))</f>
        <v>0.74</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v>0.15</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27.17</v>
      </c>
      <c r="AF7" s="141"/>
      <c r="AG7" s="1213">
        <f t="shared" ref="AG7:AG13" si="8">IF(AF7="",0,AE7-AF7)</f>
        <v>0</v>
      </c>
      <c r="AH7" s="141"/>
      <c r="AI7" s="187">
        <v>365</v>
      </c>
      <c r="AJ7" s="188"/>
      <c r="AK7" s="189"/>
      <c r="AL7" s="190"/>
      <c r="AM7" s="2414"/>
      <c r="AN7" s="2416" t="s">
        <v>3022</v>
      </c>
      <c r="AO7" s="2000"/>
      <c r="AP7" s="1204">
        <f t="shared" ref="AP7:AP13" si="9">ROUND(1-1/(1+H7)^F7,3)</f>
        <v>0.60699999999999998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27.17</v>
      </c>
      <c r="G8" s="175">
        <f t="shared" si="2"/>
        <v>0.74</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v>0.15</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27.17</v>
      </c>
      <c r="AF8" s="141"/>
      <c r="AG8" s="1213">
        <f t="shared" si="8"/>
        <v>0</v>
      </c>
      <c r="AH8" s="141"/>
      <c r="AI8" s="187">
        <v>365</v>
      </c>
      <c r="AJ8" s="188"/>
      <c r="AK8" s="189"/>
      <c r="AL8" s="190"/>
      <c r="AM8" s="2414"/>
      <c r="AN8" s="2416" t="s">
        <v>3023</v>
      </c>
      <c r="AO8" s="2000"/>
      <c r="AP8" s="1204">
        <f t="shared" si="9"/>
        <v>0.60699999999999998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27.17</v>
      </c>
      <c r="G9" s="175">
        <f t="shared" si="2"/>
        <v>0.74</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v>0.15</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27.17</v>
      </c>
      <c r="AF9" s="141"/>
      <c r="AG9" s="1213">
        <f t="shared" si="8"/>
        <v>0</v>
      </c>
      <c r="AH9" s="141"/>
      <c r="AI9" s="187">
        <v>365</v>
      </c>
      <c r="AJ9" s="188"/>
      <c r="AK9" s="189"/>
      <c r="AL9" s="190"/>
      <c r="AM9" s="2414"/>
      <c r="AN9" s="2416" t="s">
        <v>3024</v>
      </c>
      <c r="AO9" s="2000"/>
      <c r="AP9" s="1204">
        <f t="shared" si="9"/>
        <v>0.60699999999999998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27.17</v>
      </c>
      <c r="G10" s="175">
        <f t="shared" si="2"/>
        <v>0.74</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v>0.15</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27.17</v>
      </c>
      <c r="AF10" s="141"/>
      <c r="AG10" s="1213">
        <f t="shared" si="8"/>
        <v>0</v>
      </c>
      <c r="AH10" s="141"/>
      <c r="AI10" s="187">
        <v>365</v>
      </c>
      <c r="AJ10" s="188"/>
      <c r="AK10" s="189"/>
      <c r="AL10" s="190"/>
      <c r="AM10" s="2414"/>
      <c r="AN10" s="2416" t="s">
        <v>3025</v>
      </c>
      <c r="AO10" s="2000"/>
      <c r="AP10" s="1204">
        <f t="shared" si="9"/>
        <v>0.60699999999999998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27.17</v>
      </c>
      <c r="G11" s="175">
        <f t="shared" si="2"/>
        <v>0.74</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v>0.15</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27.17</v>
      </c>
      <c r="AF11" s="141"/>
      <c r="AG11" s="1213">
        <f t="shared" si="8"/>
        <v>0</v>
      </c>
      <c r="AH11" s="141"/>
      <c r="AI11" s="187">
        <v>365</v>
      </c>
      <c r="AJ11" s="188"/>
      <c r="AK11" s="196"/>
      <c r="AL11" s="197"/>
      <c r="AM11" s="1817"/>
      <c r="AN11" s="2416" t="s">
        <v>3026</v>
      </c>
      <c r="AO11" s="2000"/>
      <c r="AP11" s="1204">
        <f t="shared" si="9"/>
        <v>0.60699999999999998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27.17</v>
      </c>
      <c r="G12" s="175">
        <f>IF(ISERROR(ROUND(POWER(1+H12,D12-F12)*(POWER(1+H12,F12)-1)/(POWER(1+H12,D12)-1),3)),0,ROUND(POWER(1+H12,D12-F12)*(POWER(1+H12,F12)-1)/(POWER(1+H12,D12)-1),3))</f>
        <v>0.74</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v>0.15</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0.60699999999999998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27.17</v>
      </c>
      <c r="G13" s="175">
        <f>IF(ISERROR(ROUND(POWER(1+H13,D13-F13)*(POWER(1+H13,F13)-1)/(POWER(1+H13,D13)-1),3)),0,ROUND(POWER(1+H13,D13-F13)*(POWER(1+H13,F13)-1)/(POWER(1+H13,D13)-1),3))</f>
        <v>0.74</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0.60699999999999998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0.74</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0.15</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0.60699999999999998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1</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2</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250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250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1409</v>
      </c>
      <c r="C53" s="3100" t="s">
        <v>2906</v>
      </c>
      <c r="D53" s="3101"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2908</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2909</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2910</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2911</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2912</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2913</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6"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39" t="s">
        <v>1663</v>
      </c>
      <c r="B1" s="3340"/>
      <c r="C1" s="3340"/>
      <c r="D1" s="3340"/>
      <c r="E1" s="3340"/>
      <c r="F1" s="3340"/>
      <c r="G1" s="3340"/>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5" t="s">
        <v>2924</v>
      </c>
      <c r="D3" s="2009"/>
      <c r="E3" s="1229" t="s">
        <v>1666</v>
      </c>
      <c r="F3" s="1230" t="s">
        <v>1654</v>
      </c>
      <c r="G3" s="3109" t="s">
        <v>2923</v>
      </c>
      <c r="H3" s="2008"/>
      <c r="I3" s="2008"/>
      <c r="J3" s="2008"/>
      <c r="K3" s="2008"/>
      <c r="L3" s="2008"/>
      <c r="M3" s="2008"/>
      <c r="N3" s="2008"/>
      <c r="O3" s="2008"/>
      <c r="P3" s="2008"/>
      <c r="Q3" s="2008"/>
      <c r="R3" s="2008"/>
    </row>
    <row r="4" spans="1:18" ht="41.25">
      <c r="A4" s="1229"/>
      <c r="B4" s="1231" t="s">
        <v>1667</v>
      </c>
      <c r="C4" s="3106" t="s">
        <v>2925</v>
      </c>
      <c r="D4" s="2009"/>
      <c r="E4" s="1232"/>
      <c r="F4" s="1233" t="s">
        <v>1668</v>
      </c>
      <c r="G4" s="3107" t="s">
        <v>2920</v>
      </c>
      <c r="H4" s="2008"/>
      <c r="I4" s="2008"/>
      <c r="J4" s="2008"/>
      <c r="K4" s="2008"/>
      <c r="L4" s="2008"/>
      <c r="M4" s="2008"/>
      <c r="N4" s="2008"/>
      <c r="O4" s="2008"/>
      <c r="P4" s="2008"/>
      <c r="Q4" s="2008"/>
      <c r="R4" s="2008"/>
    </row>
    <row r="5" spans="1:18" ht="41.25">
      <c r="A5" s="1229"/>
      <c r="B5" s="1231" t="s">
        <v>1669</v>
      </c>
      <c r="C5" s="3106" t="s">
        <v>2926</v>
      </c>
      <c r="D5" s="2009"/>
      <c r="E5" s="1232"/>
      <c r="F5" s="1231" t="s">
        <v>2549</v>
      </c>
      <c r="G5" s="3107" t="s">
        <v>2921</v>
      </c>
      <c r="H5" s="2008"/>
      <c r="I5" s="2008"/>
      <c r="J5" s="2008"/>
      <c r="K5" s="2008"/>
      <c r="L5" s="2008"/>
      <c r="M5" s="2008"/>
      <c r="N5" s="2008"/>
      <c r="O5" s="2008"/>
      <c r="P5" s="2008"/>
      <c r="Q5" s="2008"/>
      <c r="R5" s="2008"/>
    </row>
    <row r="6" spans="1:18" ht="54">
      <c r="A6" s="1229"/>
      <c r="B6" s="1231" t="s">
        <v>1655</v>
      </c>
      <c r="C6" s="3107" t="s">
        <v>2920</v>
      </c>
      <c r="D6" s="2009"/>
      <c r="E6" s="1232"/>
      <c r="F6" s="1231" t="s">
        <v>2550</v>
      </c>
      <c r="G6" s="3107" t="s">
        <v>2918</v>
      </c>
      <c r="H6" s="2008"/>
      <c r="I6" s="2008"/>
      <c r="J6" s="2008"/>
      <c r="K6" s="2008"/>
      <c r="L6" s="2008"/>
      <c r="M6" s="2008"/>
      <c r="N6" s="2008"/>
      <c r="O6" s="2008"/>
      <c r="P6" s="2008"/>
      <c r="Q6" s="2008"/>
      <c r="R6" s="2008"/>
    </row>
    <row r="7" spans="1:18" ht="41.25" thickBot="1">
      <c r="A7" s="1229"/>
      <c r="B7" s="1231" t="s">
        <v>2549</v>
      </c>
      <c r="C7" s="3107" t="s">
        <v>2921</v>
      </c>
      <c r="D7" s="2010"/>
      <c r="E7" s="1234"/>
      <c r="F7" s="1235" t="s">
        <v>1670</v>
      </c>
      <c r="G7" s="3110" t="s">
        <v>2922</v>
      </c>
      <c r="H7" s="2008"/>
      <c r="I7" s="2008"/>
      <c r="J7" s="2008"/>
      <c r="K7" s="2008"/>
      <c r="L7" s="2008"/>
      <c r="M7" s="2008"/>
      <c r="N7" s="2008"/>
      <c r="O7" s="2008"/>
      <c r="P7" s="2008"/>
      <c r="Q7" s="2008"/>
      <c r="R7" s="2008"/>
    </row>
    <row r="8" spans="1:18" ht="27">
      <c r="A8" s="1229"/>
      <c r="B8" s="1231" t="s">
        <v>2550</v>
      </c>
      <c r="C8" s="3107" t="s">
        <v>2918</v>
      </c>
      <c r="D8" s="2010"/>
      <c r="E8" s="2010"/>
      <c r="F8" s="1553"/>
      <c r="G8" s="1553"/>
      <c r="H8" s="2008"/>
      <c r="I8" s="2008"/>
      <c r="J8" s="2008"/>
      <c r="K8" s="2008"/>
      <c r="L8" s="2008"/>
      <c r="M8" s="2008"/>
      <c r="N8" s="2008"/>
      <c r="O8" s="2008"/>
      <c r="P8" s="2008"/>
      <c r="Q8" s="2008"/>
      <c r="R8" s="2008"/>
    </row>
    <row r="9" spans="1:18" ht="40.5">
      <c r="A9" s="1229"/>
      <c r="B9" s="1231" t="s">
        <v>1656</v>
      </c>
      <c r="C9" s="3106" t="s">
        <v>2919</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估价对象位于XX开发区，园区建设成熟度XX，产业集聚程度XX</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该园区内是否有污染型企业，绿化情况，卫生条件，整体环境状况判断</v>
      </c>
    </row>
    <row r="19" spans="1:7" ht="27">
      <c r="A19" s="2613"/>
      <c r="B19" s="1247" t="s">
        <v>1659</v>
      </c>
      <c r="C19" s="2818"/>
      <c r="D19" s="2009"/>
      <c r="E19" s="2610"/>
      <c r="F19" s="1231" t="s">
        <v>2549</v>
      </c>
      <c r="G19" s="1005" t="str">
        <f>G5</f>
        <v>估价对象所在区域公共配套设施齐备情况</v>
      </c>
    </row>
    <row r="20" spans="1:7" ht="40.5">
      <c r="A20" s="2613"/>
      <c r="B20" s="1247" t="s">
        <v>1660</v>
      </c>
      <c r="C20" s="1246" t="str">
        <f>C9</f>
        <v>区域自然环境：；人文环境；综合评价环境状况一般</v>
      </c>
      <c r="D20" s="2010"/>
      <c r="E20" s="2610"/>
      <c r="F20" s="1231" t="s">
        <v>2550</v>
      </c>
      <c r="G20" s="1005" t="str">
        <f>G6</f>
        <v>估价对象所在区域基础设施水平</v>
      </c>
    </row>
    <row r="21" spans="1:7" ht="27">
      <c r="A21" s="2613"/>
      <c r="B21" s="1231" t="s">
        <v>2549</v>
      </c>
      <c r="C21" s="1005" t="str">
        <f>C7</f>
        <v>估价对象所在区域公共配套设施齐备情况</v>
      </c>
      <c r="D21" s="2009"/>
      <c r="E21" s="2610"/>
      <c r="F21" s="1247" t="s">
        <v>1661</v>
      </c>
      <c r="G21" s="3111"/>
    </row>
    <row r="22" spans="1:7" ht="27">
      <c r="A22" s="2613"/>
      <c r="B22" s="1231" t="s">
        <v>2550</v>
      </c>
      <c r="C22" s="1005" t="str">
        <f>C8</f>
        <v>估价对象所在区域基础设施水平</v>
      </c>
      <c r="D22" s="2009"/>
      <c r="E22" s="2610"/>
      <c r="F22" s="1247" t="s">
        <v>1671</v>
      </c>
      <c r="G22" s="2818"/>
    </row>
    <row r="23" spans="1:7" ht="15" thickBot="1">
      <c r="A23" s="2613"/>
      <c r="B23" s="1247" t="s">
        <v>1661</v>
      </c>
      <c r="C23" s="3111"/>
      <c r="E23" s="2611"/>
      <c r="F23" s="1248" t="s">
        <v>1675</v>
      </c>
      <c r="G23" s="3112"/>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9" t="s">
        <v>2845</v>
      </c>
      <c r="B1" s="3069">
        <f>SUM(B14:B23)</f>
        <v>60473.499999999985</v>
      </c>
      <c r="C1" s="3070"/>
      <c r="D1" s="3070"/>
      <c r="E1" s="3070"/>
      <c r="F1" s="3070"/>
    </row>
    <row r="2" spans="1:9" ht="16.5">
      <c r="A2" s="3069" t="s">
        <v>2846</v>
      </c>
      <c r="B2" s="3069">
        <f>SUM(C14:C23)</f>
        <v>182153.37</v>
      </c>
      <c r="C2" s="3070"/>
      <c r="D2" s="3070"/>
      <c r="E2" s="3070"/>
      <c r="F2" s="3070"/>
    </row>
    <row r="3" spans="1:9" ht="16.5">
      <c r="A3" s="3069" t="s">
        <v>2847</v>
      </c>
      <c r="B3" s="3071">
        <f>项目基本情况!D3</f>
        <v>43222</v>
      </c>
      <c r="C3" s="3070"/>
      <c r="D3" s="3070"/>
      <c r="E3" s="3070"/>
      <c r="F3" s="3070"/>
    </row>
    <row r="4" spans="1:9" ht="33">
      <c r="A4" s="3069" t="s">
        <v>2848</v>
      </c>
      <c r="B4" s="3069" t="s">
        <v>2849</v>
      </c>
      <c r="C4" s="3069" t="s">
        <v>2850</v>
      </c>
      <c r="D4" s="3069" t="s">
        <v>2851</v>
      </c>
      <c r="E4" s="3070"/>
      <c r="F4" s="3070"/>
    </row>
    <row r="5" spans="1:9" ht="16.5">
      <c r="A5" s="3069" t="s">
        <v>2852</v>
      </c>
      <c r="B5" s="3069">
        <f ca="1">SUM(D14:D23)</f>
        <v>199923</v>
      </c>
      <c r="C5" s="3069">
        <f ca="1">ROUND(B5*10000/$B$1,0)</f>
        <v>33060</v>
      </c>
      <c r="D5" s="3069">
        <f ca="1">ROUND(B5*10000/$B$2,0)</f>
        <v>10976</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60473.499999999985</v>
      </c>
      <c r="C14" s="3073">
        <f>结果表!K38</f>
        <v>182153.37</v>
      </c>
      <c r="D14" s="3073">
        <f ca="1">结果表!C42</f>
        <v>199923</v>
      </c>
      <c r="E14" s="3073">
        <f ca="1">ROUND(D14*10000/B14,0)</f>
        <v>33060</v>
      </c>
      <c r="F14" s="3073">
        <f ca="1">ROUND(D14*10000/C14,0)</f>
        <v>10976</v>
      </c>
      <c r="G14" s="3073" t="str">
        <f>结果表!C44</f>
        <v>——</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6"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386" t="str">
        <f>项目基本情况!K2</f>
        <v>出让国有建设用地使用权</v>
      </c>
      <c r="B2" s="3387"/>
      <c r="C2" s="3388"/>
      <c r="D2" s="3388"/>
      <c r="E2" s="3388"/>
      <c r="F2" s="3388"/>
      <c r="G2" s="3387"/>
      <c r="H2" s="3387"/>
      <c r="I2" s="3389"/>
      <c r="J2" s="2030"/>
      <c r="K2" s="2029"/>
      <c r="L2" s="2029"/>
      <c r="M2" s="2029"/>
      <c r="N2" s="2029"/>
      <c r="O2" s="2029"/>
      <c r="P2" s="2029"/>
      <c r="Q2" s="2029"/>
      <c r="R2" s="2029"/>
      <c r="S2" s="2029"/>
      <c r="T2" s="2029"/>
      <c r="U2" s="2029"/>
      <c r="V2" s="2029"/>
    </row>
    <row r="3" spans="1:22" ht="14.25">
      <c r="A3" s="3397" t="s">
        <v>297</v>
      </c>
      <c r="B3" s="3398"/>
      <c r="C3" s="3398"/>
      <c r="D3" s="3398"/>
      <c r="E3" s="3398"/>
      <c r="F3" s="3398"/>
      <c r="G3" s="3398"/>
      <c r="H3" s="3398"/>
      <c r="I3" s="3398"/>
      <c r="J3" s="2030"/>
      <c r="K3" s="2029"/>
      <c r="L3" s="2029"/>
      <c r="M3" s="2029"/>
      <c r="N3" s="2029"/>
      <c r="O3" s="2029"/>
      <c r="P3" s="2029"/>
      <c r="Q3" s="2029"/>
      <c r="R3" s="2029"/>
      <c r="S3" s="2029"/>
      <c r="T3" s="2029"/>
      <c r="U3" s="2029"/>
      <c r="V3" s="2029"/>
    </row>
    <row r="4" spans="1:22" ht="14.25">
      <c r="A4" s="258" t="s">
        <v>298</v>
      </c>
      <c r="B4" s="259" t="s">
        <v>299</v>
      </c>
      <c r="C4" s="260" t="s">
        <v>2955</v>
      </c>
      <c r="D4" s="260" t="s">
        <v>3191</v>
      </c>
      <c r="E4" s="3361" t="s">
        <v>300</v>
      </c>
      <c r="F4" s="3403"/>
      <c r="G4" s="3403"/>
      <c r="H4" s="3403"/>
      <c r="I4" s="3362"/>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390" t="s">
        <v>301</v>
      </c>
      <c r="B5" s="3391">
        <v>25</v>
      </c>
      <c r="C5" s="3399">
        <v>0</v>
      </c>
      <c r="D5" s="3402">
        <f>10-C5</f>
        <v>10</v>
      </c>
      <c r="E5" s="261" t="s">
        <v>302</v>
      </c>
      <c r="F5" s="262"/>
      <c r="G5" s="262"/>
      <c r="H5" s="262"/>
      <c r="I5" s="263"/>
      <c r="J5" s="2030"/>
      <c r="K5" s="2029"/>
      <c r="L5" s="2029"/>
      <c r="M5" s="2029"/>
      <c r="N5" s="2029"/>
      <c r="O5" s="2029"/>
      <c r="P5" s="2029"/>
      <c r="Q5" s="2029"/>
      <c r="R5" s="2029"/>
      <c r="S5" s="2029"/>
      <c r="T5" s="2029"/>
      <c r="U5" s="2029"/>
      <c r="V5" s="2029"/>
    </row>
    <row r="6" spans="1:22" ht="14.25">
      <c r="A6" s="3390"/>
      <c r="B6" s="3391"/>
      <c r="C6" s="3400"/>
      <c r="D6" s="3402"/>
      <c r="E6" s="261" t="s">
        <v>303</v>
      </c>
      <c r="F6" s="262"/>
      <c r="G6" s="262"/>
      <c r="H6" s="262"/>
      <c r="I6" s="263"/>
      <c r="J6" s="2030"/>
      <c r="K6" s="2029"/>
      <c r="L6" s="2029"/>
      <c r="M6" s="2029"/>
      <c r="N6" s="2029"/>
      <c r="O6" s="2029"/>
      <c r="P6" s="2029"/>
      <c r="Q6" s="2029"/>
      <c r="R6" s="2029"/>
      <c r="S6" s="2029"/>
      <c r="T6" s="2029"/>
      <c r="U6" s="2029"/>
      <c r="V6" s="2029"/>
    </row>
    <row r="7" spans="1:22" ht="14.25">
      <c r="A7" s="3390"/>
      <c r="B7" s="3391"/>
      <c r="C7" s="3401"/>
      <c r="D7" s="3402"/>
      <c r="E7" s="261" t="s">
        <v>304</v>
      </c>
      <c r="F7" s="262"/>
      <c r="G7" s="262"/>
      <c r="H7" s="262"/>
      <c r="I7" s="263"/>
      <c r="J7" s="2030"/>
      <c r="K7" s="2029"/>
      <c r="L7" s="2029"/>
      <c r="M7" s="2029"/>
      <c r="N7" s="2029"/>
      <c r="O7" s="2029"/>
      <c r="P7" s="2029"/>
      <c r="Q7" s="2029"/>
      <c r="R7" s="2029"/>
      <c r="S7" s="2029"/>
      <c r="T7" s="2029"/>
      <c r="U7" s="2029"/>
      <c r="V7" s="2029"/>
    </row>
    <row r="8" spans="1:22" ht="14.25">
      <c r="A8" s="3390" t="s">
        <v>305</v>
      </c>
      <c r="B8" s="3391">
        <v>15</v>
      </c>
      <c r="C8" s="3399"/>
      <c r="D8" s="3402"/>
      <c r="E8" s="261" t="s">
        <v>306</v>
      </c>
      <c r="F8" s="262"/>
      <c r="G8" s="262"/>
      <c r="H8" s="262"/>
      <c r="I8" s="263"/>
      <c r="J8" s="2030"/>
      <c r="K8" s="2029"/>
      <c r="L8" s="2029"/>
      <c r="M8" s="2029"/>
      <c r="N8" s="2029"/>
      <c r="O8" s="2029"/>
      <c r="P8" s="2029"/>
      <c r="Q8" s="2029"/>
      <c r="R8" s="2029"/>
      <c r="S8" s="2029"/>
      <c r="T8" s="2029"/>
      <c r="U8" s="2029"/>
      <c r="V8" s="2029"/>
    </row>
    <row r="9" spans="1:22" ht="14.25">
      <c r="A9" s="3390"/>
      <c r="B9" s="3391"/>
      <c r="C9" s="3401"/>
      <c r="D9" s="3402"/>
      <c r="E9" s="261" t="s">
        <v>307</v>
      </c>
      <c r="F9" s="262"/>
      <c r="G9" s="262"/>
      <c r="H9" s="262"/>
      <c r="I9" s="263"/>
      <c r="J9" s="2030"/>
      <c r="K9" s="2029"/>
      <c r="L9" s="2029"/>
      <c r="M9" s="2029"/>
      <c r="N9" s="2029"/>
      <c r="O9" s="2029"/>
      <c r="P9" s="2029"/>
      <c r="Q9" s="2029"/>
      <c r="R9" s="2029"/>
      <c r="S9" s="2029"/>
      <c r="T9" s="2029"/>
      <c r="U9" s="2029"/>
      <c r="V9" s="2029"/>
    </row>
    <row r="10" spans="1:22" ht="14.25">
      <c r="A10" s="3390" t="s">
        <v>308</v>
      </c>
      <c r="B10" s="3391">
        <v>15</v>
      </c>
      <c r="C10" s="3399"/>
      <c r="D10" s="3402"/>
      <c r="E10" s="261" t="s">
        <v>309</v>
      </c>
      <c r="F10" s="262"/>
      <c r="G10" s="262"/>
      <c r="H10" s="262"/>
      <c r="I10" s="263"/>
      <c r="J10" s="2030"/>
      <c r="K10" s="2029"/>
      <c r="L10" s="2029"/>
      <c r="M10" s="2029"/>
      <c r="N10" s="2029"/>
      <c r="O10" s="2029"/>
      <c r="P10" s="2029"/>
      <c r="Q10" s="2029"/>
      <c r="R10" s="2029"/>
      <c r="S10" s="2029"/>
      <c r="T10" s="2029"/>
      <c r="U10" s="2029"/>
      <c r="V10" s="2029"/>
    </row>
    <row r="11" spans="1:22" ht="14.25">
      <c r="A11" s="3390"/>
      <c r="B11" s="3391"/>
      <c r="C11" s="3401"/>
      <c r="D11" s="3402"/>
      <c r="E11" s="261" t="s">
        <v>310</v>
      </c>
      <c r="F11" s="262"/>
      <c r="G11" s="262"/>
      <c r="H11" s="262"/>
      <c r="I11" s="263"/>
      <c r="J11" s="2030"/>
      <c r="K11" s="2029"/>
      <c r="L11" s="2029"/>
      <c r="M11" s="2029"/>
      <c r="N11" s="2029"/>
      <c r="O11" s="2029"/>
      <c r="P11" s="2029"/>
      <c r="Q11" s="2029"/>
      <c r="R11" s="2029"/>
      <c r="S11" s="2029"/>
      <c r="T11" s="2029"/>
      <c r="U11" s="2029"/>
      <c r="V11" s="2029"/>
    </row>
    <row r="12" spans="1:22" ht="14.25">
      <c r="A12" s="3390" t="s">
        <v>311</v>
      </c>
      <c r="B12" s="3391">
        <v>15</v>
      </c>
      <c r="C12" s="3399"/>
      <c r="D12" s="3402"/>
      <c r="E12" s="261" t="s">
        <v>312</v>
      </c>
      <c r="F12" s="262"/>
      <c r="G12" s="262"/>
      <c r="H12" s="262"/>
      <c r="I12" s="263"/>
      <c r="J12" s="2030"/>
      <c r="K12" s="2029"/>
      <c r="L12" s="2029"/>
      <c r="M12" s="2029"/>
      <c r="N12" s="2029"/>
      <c r="O12" s="2029"/>
      <c r="P12" s="2029"/>
      <c r="Q12" s="2029"/>
      <c r="R12" s="2029"/>
      <c r="S12" s="2029"/>
      <c r="T12" s="2029"/>
      <c r="U12" s="2029"/>
      <c r="V12" s="2029"/>
    </row>
    <row r="13" spans="1:22" ht="14.25">
      <c r="A13" s="3390"/>
      <c r="B13" s="3391"/>
      <c r="C13" s="3401"/>
      <c r="D13" s="3402"/>
      <c r="E13" s="261" t="s">
        <v>313</v>
      </c>
      <c r="F13" s="262"/>
      <c r="G13" s="262"/>
      <c r="H13" s="262"/>
      <c r="I13" s="263"/>
      <c r="J13" s="2030"/>
      <c r="K13" s="2029"/>
      <c r="L13" s="2029"/>
      <c r="M13" s="2029"/>
      <c r="N13" s="2029"/>
      <c r="O13" s="2029"/>
      <c r="P13" s="2029"/>
      <c r="Q13" s="2029"/>
      <c r="R13" s="2029"/>
      <c r="S13" s="2029"/>
      <c r="T13" s="2029"/>
      <c r="U13" s="2029"/>
      <c r="V13" s="2029"/>
    </row>
    <row r="14" spans="1:22" ht="14.25">
      <c r="A14" s="3390" t="s">
        <v>314</v>
      </c>
      <c r="B14" s="3391">
        <v>30</v>
      </c>
      <c r="C14" s="3399"/>
      <c r="D14" s="3402"/>
      <c r="E14" s="261" t="s">
        <v>315</v>
      </c>
      <c r="F14" s="262"/>
      <c r="G14" s="262"/>
      <c r="H14" s="262"/>
      <c r="I14" s="263"/>
      <c r="J14" s="2030"/>
      <c r="K14" s="2029"/>
      <c r="L14" s="2029"/>
      <c r="M14" s="2029"/>
      <c r="N14" s="2029"/>
      <c r="O14" s="2029"/>
      <c r="P14" s="2029"/>
      <c r="Q14" s="2029"/>
      <c r="R14" s="2029"/>
      <c r="S14" s="2029"/>
      <c r="T14" s="2029"/>
      <c r="U14" s="2029"/>
      <c r="V14" s="2029"/>
    </row>
    <row r="15" spans="1:22" ht="14.25">
      <c r="A15" s="3390"/>
      <c r="B15" s="3391"/>
      <c r="C15" s="3400"/>
      <c r="D15" s="3402"/>
      <c r="E15" s="261" t="s">
        <v>316</v>
      </c>
      <c r="F15" s="262"/>
      <c r="G15" s="262"/>
      <c r="H15" s="262"/>
      <c r="I15" s="263"/>
      <c r="J15" s="2030"/>
      <c r="K15" s="2029"/>
      <c r="L15" s="2029"/>
      <c r="M15" s="2029"/>
      <c r="N15" s="2029"/>
      <c r="O15" s="2029"/>
      <c r="P15" s="2029"/>
      <c r="Q15" s="2029"/>
      <c r="R15" s="2029"/>
      <c r="S15" s="2029"/>
      <c r="T15" s="2029"/>
      <c r="U15" s="2029"/>
      <c r="V15" s="2029"/>
    </row>
    <row r="16" spans="1:22" ht="14.25">
      <c r="A16" s="3390"/>
      <c r="B16" s="3391"/>
      <c r="C16" s="3401"/>
      <c r="D16" s="3402"/>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14128</v>
      </c>
      <c r="D19" s="271">
        <f ca="1">SUMIF(INDIRECT("'"&amp;D4&amp;"'"&amp;"!A:A"),结果表!B19,INDIRECT("'"&amp;D4&amp;"'"&amp;"!B:B"))</f>
        <v>199923</v>
      </c>
      <c r="E19" s="268" t="s">
        <v>322</v>
      </c>
      <c r="F19" s="269" t="s">
        <v>321</v>
      </c>
      <c r="G19" s="272">
        <f ca="1">ROUND(C19*$C$18+D19*$D$18,0)</f>
        <v>199923</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2336</v>
      </c>
      <c r="D20" s="277">
        <f ca="1">SUMIF(INDIRECT("'"&amp;D4&amp;"'"&amp;"!A:A"),结果表!B20,INDIRECT("'"&amp;D4&amp;"'"&amp;"!B:B"))</f>
        <v>33060</v>
      </c>
      <c r="E20" s="274"/>
      <c r="F20" s="275" t="s">
        <v>324</v>
      </c>
      <c r="G20" s="278">
        <f ca="1">ROUND(C20*$C$18+D20*$D$18,0)</f>
        <v>33060</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776</v>
      </c>
      <c r="D21" s="151">
        <f ca="1">SUMIF(INDIRECT("'"&amp;D4&amp;"'"&amp;"!A:A"),结果表!B21,INDIRECT("'"&amp;D4&amp;"'"&amp;"!B:B"))</f>
        <v>10976</v>
      </c>
      <c r="E21" s="274"/>
      <c r="F21" s="280" t="s">
        <v>326</v>
      </c>
      <c r="G21" s="282">
        <f ca="1">ROUND(C21*$C$18+D21*$D$18,0)</f>
        <v>10976</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13.150835220838053</v>
      </c>
      <c r="E22" s="284"/>
      <c r="F22" s="285"/>
      <c r="G22" s="286">
        <f ca="1">ROUND(G19/('数据-汇总表'!D3/666.67),0)</f>
        <v>732</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63"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05"/>
      <c r="B25" s="1321" t="s">
        <v>330</v>
      </c>
      <c r="C25" s="290">
        <f>IF(B30=0,0,C30)</f>
        <v>0</v>
      </c>
      <c r="D25" s="291"/>
      <c r="E25" s="311"/>
      <c r="F25" s="311"/>
      <c r="G25" s="311"/>
      <c r="H25" s="311"/>
      <c r="I25" s="311"/>
      <c r="J25" s="2029"/>
      <c r="K25" s="1255" t="str">
        <f ca="1">项目基本情况!B16&amp;"国有建设用地使用权价格："&amp;O38&amp;"万元"</f>
        <v>出让国有建设用地使用权价格：199923万元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大写金额：人民币壹拾玖亿玖仟玖佰贰拾叁万元整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单位面积地价：10976元/平方米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楼面地价：33060元/平方米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0" t="s">
        <v>335</v>
      </c>
      <c r="B30" s="309"/>
      <c r="C30" s="309"/>
      <c r="D30" s="310"/>
      <c r="E30" s="3161"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336</v>
      </c>
      <c r="B32" s="1381" t="s">
        <v>1688</v>
      </c>
      <c r="C32" s="1382">
        <f ca="1">G19-C24</f>
        <v>199923</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339</v>
      </c>
      <c r="B33" s="1384" t="s">
        <v>1690</v>
      </c>
      <c r="C33" s="264">
        <f ca="1">ROUND(C32*10000/'数据-汇总表'!E3,0)</f>
        <v>33060</v>
      </c>
      <c r="D33" s="1385" t="s">
        <v>1691</v>
      </c>
      <c r="E33" s="3363"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10976</v>
      </c>
      <c r="D34" s="1387" t="s">
        <v>1691</v>
      </c>
      <c r="E34" s="3364"/>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732</v>
      </c>
      <c r="D35" s="1390" t="s">
        <v>1693</v>
      </c>
      <c r="E35" s="3365"/>
      <c r="F35" s="301" t="s">
        <v>341</v>
      </c>
      <c r="G35" s="982"/>
      <c r="H35" s="981" t="s">
        <v>342</v>
      </c>
      <c r="I35" s="311"/>
      <c r="J35" s="2029"/>
      <c r="K35" s="3369" t="s">
        <v>349</v>
      </c>
      <c r="L35" s="3369" t="s">
        <v>350</v>
      </c>
      <c r="M35" s="1264" t="s">
        <v>351</v>
      </c>
      <c r="N35" s="3369" t="s">
        <v>352</v>
      </c>
      <c r="O35" s="3369" t="s">
        <v>353</v>
      </c>
      <c r="P35" s="2029"/>
      <c r="V35" s="2029"/>
    </row>
    <row r="36" spans="1:26" ht="16.5" customHeight="1">
      <c r="A36" s="303" t="s">
        <v>343</v>
      </c>
      <c r="B36" s="304" t="s">
        <v>332</v>
      </c>
      <c r="C36" s="305" t="s">
        <v>344</v>
      </c>
      <c r="D36" s="305" t="s">
        <v>345</v>
      </c>
      <c r="E36" s="306" t="s">
        <v>346</v>
      </c>
      <c r="F36" s="311"/>
      <c r="G36" s="311"/>
      <c r="H36" s="311"/>
      <c r="I36" s="311"/>
      <c r="J36" s="2031"/>
      <c r="K36" s="3370"/>
      <c r="L36" s="3370"/>
      <c r="M36" s="1266" t="s">
        <v>354</v>
      </c>
      <c r="N36" s="3370"/>
      <c r="O36" s="3370"/>
      <c r="P36" s="2029"/>
      <c r="V36" s="2029"/>
    </row>
    <row r="37" spans="1:26" ht="16.5" customHeight="1" thickBot="1">
      <c r="A37" s="1260" t="s">
        <v>347</v>
      </c>
      <c r="B37" s="307"/>
      <c r="C37" s="294"/>
      <c r="D37" s="294"/>
      <c r="E37" s="295"/>
      <c r="F37" s="311"/>
      <c r="G37" s="311"/>
      <c r="H37" s="311"/>
      <c r="I37" s="311"/>
      <c r="J37" s="2031"/>
      <c r="K37" s="3371"/>
      <c r="L37" s="3371"/>
      <c r="M37" s="1267"/>
      <c r="N37" s="3371"/>
      <c r="O37" s="3371"/>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10976</v>
      </c>
      <c r="N38" s="1269">
        <f ca="1">C33</f>
        <v>33060</v>
      </c>
      <c r="O38" s="1270">
        <f ca="1">C32</f>
        <v>199923</v>
      </c>
      <c r="P38" s="2029"/>
      <c r="V38" s="2029"/>
    </row>
    <row r="39" spans="1:26" ht="16.5" customHeight="1" thickBot="1">
      <c r="A39" s="1265"/>
      <c r="B39" s="308"/>
      <c r="C39" s="309"/>
      <c r="D39" s="309"/>
      <c r="E39" s="310"/>
      <c r="F39" s="311"/>
      <c r="G39" s="311"/>
      <c r="H39" s="311"/>
      <c r="I39" s="311"/>
      <c r="J39" s="2031"/>
      <c r="K39" s="3346" t="str">
        <f>MID(A44,3,LEN(A44)-2)</f>
        <v/>
      </c>
      <c r="L39" s="3347"/>
      <c r="M39" s="3347"/>
      <c r="N39" s="3348"/>
      <c r="O39" s="1392" t="str">
        <f>C44</f>
        <v>——</v>
      </c>
      <c r="P39" s="2029"/>
      <c r="V39" s="2029"/>
    </row>
    <row r="40" spans="1:26" ht="19.5" thickBot="1">
      <c r="A40" s="104" t="s">
        <v>872</v>
      </c>
      <c r="B40" s="311"/>
      <c r="C40" s="311"/>
      <c r="D40" s="311"/>
      <c r="E40" s="311"/>
      <c r="F40" s="311"/>
      <c r="G40" s="311"/>
      <c r="H40" s="311"/>
      <c r="I40" s="311"/>
      <c r="J40" s="2031"/>
      <c r="K40" s="3346" t="str">
        <f t="shared" ref="K40:K41" si="0">MID(A45,3,LEN(A45)-2)</f>
        <v/>
      </c>
      <c r="L40" s="3347"/>
      <c r="M40" s="3347"/>
      <c r="N40" s="3348"/>
      <c r="O40" s="1392" t="str">
        <f>C45</f>
        <v>——</v>
      </c>
      <c r="P40" s="2029"/>
      <c r="V40" s="2029"/>
    </row>
    <row r="41" spans="1:26" ht="16.5" thickBot="1">
      <c r="A41" s="312" t="s">
        <v>355</v>
      </c>
      <c r="B41" s="313"/>
      <c r="C41" s="314" t="s">
        <v>356</v>
      </c>
      <c r="D41" s="315" t="s">
        <v>357</v>
      </c>
      <c r="E41" s="315" t="s">
        <v>358</v>
      </c>
      <c r="F41" s="316" t="s">
        <v>359</v>
      </c>
      <c r="G41" s="311"/>
      <c r="H41" s="311"/>
      <c r="I41" s="311"/>
      <c r="J41" s="2031"/>
      <c r="K41" s="3346" t="str">
        <f t="shared" si="0"/>
        <v/>
      </c>
      <c r="L41" s="3347"/>
      <c r="M41" s="3347"/>
      <c r="N41" s="3348"/>
      <c r="O41" s="1392" t="str">
        <f>C46</f>
        <v>——</v>
      </c>
      <c r="P41" s="2029"/>
      <c r="V41" s="2029"/>
    </row>
    <row r="42" spans="1:26" ht="29.25">
      <c r="A42" s="3406" t="s">
        <v>2069</v>
      </c>
      <c r="B42" s="3407"/>
      <c r="C42" s="264">
        <f ca="1">C32</f>
        <v>199923</v>
      </c>
      <c r="D42" s="317">
        <f ca="1">C33</f>
        <v>33060</v>
      </c>
      <c r="E42" s="317">
        <f ca="1">C34</f>
        <v>10976</v>
      </c>
      <c r="F42" s="318">
        <f ca="1">C35</f>
        <v>732</v>
      </c>
      <c r="G42" s="311"/>
      <c r="H42" s="311"/>
      <c r="I42" s="319"/>
      <c r="J42" s="2031"/>
      <c r="K42" s="1271" t="s">
        <v>360</v>
      </c>
      <c r="L42" s="2048" t="s">
        <v>361</v>
      </c>
      <c r="M42" s="1272" t="s">
        <v>362</v>
      </c>
      <c r="N42" s="2049" t="s">
        <v>363</v>
      </c>
      <c r="O42" s="2050" t="s">
        <v>364</v>
      </c>
      <c r="P42" s="2029"/>
      <c r="V42" s="2029"/>
    </row>
    <row r="43" spans="1:26" ht="18">
      <c r="A43" s="3416" t="s">
        <v>2733</v>
      </c>
      <c r="B43" s="3417"/>
      <c r="C43" s="264">
        <f>IF(H33="正常操作",G33+G34+G35,G34+G35)</f>
        <v>0</v>
      </c>
      <c r="D43" s="317" t="s">
        <v>43</v>
      </c>
      <c r="E43" s="317" t="s">
        <v>44</v>
      </c>
      <c r="F43" s="318" t="s">
        <v>44</v>
      </c>
      <c r="G43" s="2891" t="s">
        <v>951</v>
      </c>
      <c r="H43" s="311"/>
      <c r="I43" s="319"/>
      <c r="J43" s="2031"/>
      <c r="K43" s="1273" t="str">
        <f>C4</f>
        <v>基准地价</v>
      </c>
      <c r="L43" s="1274">
        <f ca="1">IF(L42="估价结果/万元",C19,C20)</f>
        <v>14128</v>
      </c>
      <c r="M43" s="1275">
        <f>C18</f>
        <v>0</v>
      </c>
      <c r="N43" s="1276">
        <f ca="1">IF(N42="测算结果/万元",G19,G20)</f>
        <v>199923</v>
      </c>
      <c r="O43" s="1277">
        <f ca="1">IF(O42="最终结果/万元",C32,C33)</f>
        <v>199923</v>
      </c>
      <c r="P43" s="2029"/>
      <c r="V43" s="2029"/>
    </row>
    <row r="44" spans="1:26" ht="18.75" thickBot="1">
      <c r="A44" s="3406" t="str">
        <f>IF(OR(项目基本情况!E8="抵押价格",项目基本情况!E8="已注销及未注销"),"3.抵押价格","——")</f>
        <v>——</v>
      </c>
      <c r="B44" s="340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199923</v>
      </c>
      <c r="M44" s="1280">
        <f>D18</f>
        <v>1</v>
      </c>
      <c r="N44" s="1281"/>
      <c r="O44" s="1282"/>
      <c r="P44" s="2029"/>
      <c r="V44" s="2029"/>
    </row>
    <row r="45" spans="1:26" ht="15">
      <c r="A45" s="3411" t="str">
        <f>IF(项目基本情况!E8="已注销及未注销","4.抵押担保权已注销时的抵押价格",IF(项目基本情况!E8="已注销","3.抵押担保权已注销时的抵押价格","——"))</f>
        <v>——</v>
      </c>
      <c r="B45" s="341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08" t="str">
        <f>IF(项目基本情况!E9="抵押净值",IF(A45="——","4.抵押净值","5.抵押净值"),"——")</f>
        <v>——</v>
      </c>
      <c r="B46" s="340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74" t="s">
        <v>373</v>
      </c>
      <c r="B63" s="3375"/>
      <c r="C63" s="3376"/>
      <c r="D63" s="341">
        <f ca="1">ROUND(C42*F63,0)</f>
        <v>119954</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413" t="s">
        <v>377</v>
      </c>
      <c r="B64" s="3414"/>
      <c r="C64" s="3414"/>
      <c r="D64" s="3414"/>
      <c r="E64" s="3414"/>
      <c r="F64" s="3414"/>
      <c r="G64" s="3415"/>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410" t="s">
        <v>385</v>
      </c>
      <c r="B66" s="3381"/>
      <c r="C66" s="3381"/>
      <c r="D66" s="261">
        <f ca="1">IF(H66="情况1",0,IF(H66="情况2",D70,IF(H66="情况3",D71,IF(H66="情况4",D72))))</f>
        <v>6398</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350" t="s">
        <v>384</v>
      </c>
      <c r="M66" s="3351"/>
      <c r="N66" s="2483"/>
      <c r="O66" s="2484"/>
      <c r="P66" s="2485"/>
      <c r="Q66" s="2029"/>
      <c r="R66" s="2029"/>
      <c r="S66" s="2029"/>
      <c r="T66" s="2029"/>
      <c r="U66" s="2029"/>
      <c r="V66" s="2029"/>
    </row>
    <row r="67" spans="1:22" ht="25.5" customHeight="1">
      <c r="A67" s="352" t="s">
        <v>389</v>
      </c>
      <c r="B67" s="3393" t="s">
        <v>390</v>
      </c>
      <c r="C67" s="3393"/>
      <c r="D67" s="353">
        <v>0</v>
      </c>
      <c r="E67" s="41" t="s">
        <v>391</v>
      </c>
      <c r="F67" s="62" t="s">
        <v>21</v>
      </c>
      <c r="G67" s="3377"/>
      <c r="H67" s="311"/>
      <c r="I67" s="1292"/>
      <c r="J67" s="2036"/>
      <c r="K67" s="1977">
        <v>2</v>
      </c>
      <c r="L67" s="3349" t="s">
        <v>388</v>
      </c>
      <c r="M67" s="3349"/>
      <c r="N67" s="1325">
        <f>'数据-取费表'!B2</f>
        <v>43222</v>
      </c>
      <c r="O67" s="1325"/>
      <c r="P67" s="1325"/>
      <c r="Q67" s="2029"/>
      <c r="R67" s="2029"/>
      <c r="S67" s="2029"/>
      <c r="T67" s="2029"/>
      <c r="U67" s="2029"/>
      <c r="V67" s="2029"/>
    </row>
    <row r="68" spans="1:22" ht="25.5" customHeight="1">
      <c r="A68" s="354"/>
      <c r="B68" s="3393" t="s">
        <v>393</v>
      </c>
      <c r="C68" s="3393"/>
      <c r="D68" s="355"/>
      <c r="E68" s="77"/>
      <c r="F68" s="356"/>
      <c r="G68" s="3378"/>
      <c r="H68" s="311"/>
      <c r="I68" s="1292"/>
      <c r="J68" s="2036"/>
      <c r="K68" s="1977">
        <v>3</v>
      </c>
      <c r="L68" s="3349" t="s">
        <v>392</v>
      </c>
      <c r="M68" s="3349"/>
      <c r="N68" s="1293">
        <f ca="1">C42</f>
        <v>199923</v>
      </c>
      <c r="O68" s="1293"/>
      <c r="P68" s="1293"/>
      <c r="Q68" s="2029"/>
      <c r="R68" s="2029"/>
      <c r="S68" s="2029"/>
      <c r="T68" s="2029"/>
      <c r="U68" s="2029"/>
      <c r="V68" s="2029"/>
    </row>
    <row r="69" spans="1:22" ht="12" customHeight="1">
      <c r="A69" s="357"/>
      <c r="B69" s="3393" t="s">
        <v>394</v>
      </c>
      <c r="C69" s="3393"/>
      <c r="D69" s="358"/>
      <c r="E69" s="73"/>
      <c r="F69" s="356"/>
      <c r="G69" s="3379"/>
      <c r="H69" s="311"/>
      <c r="I69" s="1292"/>
      <c r="J69" s="2036"/>
      <c r="K69" s="1294">
        <v>4</v>
      </c>
      <c r="L69" s="3355" t="s">
        <v>2884</v>
      </c>
      <c r="M69" s="3356"/>
      <c r="N69" s="1295" t="str">
        <f>C44</f>
        <v>——</v>
      </c>
      <c r="O69" s="1295"/>
      <c r="P69" s="1295"/>
      <c r="Q69" s="2029"/>
      <c r="R69" s="2029"/>
      <c r="S69" s="2029"/>
      <c r="T69" s="2029"/>
      <c r="U69" s="2029"/>
      <c r="V69" s="2029"/>
    </row>
    <row r="70" spans="1:22" ht="24" customHeight="1">
      <c r="A70" s="359" t="s">
        <v>395</v>
      </c>
      <c r="B70" s="3393" t="s">
        <v>396</v>
      </c>
      <c r="C70" s="3393"/>
      <c r="D70" s="358">
        <f ca="1">ROUND(D63*'数据-取费表'!B41/(1+'数据-取费表'!C42),0)</f>
        <v>6398</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392" t="s">
        <v>404</v>
      </c>
      <c r="C71" s="3404"/>
      <c r="D71" s="358">
        <f ca="1">ROUND(D63*'数据-取费表'!B41/(1+'数据-取费表'!C42),0)</f>
        <v>6398</v>
      </c>
      <c r="E71" s="17" t="s">
        <v>397</v>
      </c>
      <c r="F71" s="360">
        <f>'数据-取费表'!B41</f>
        <v>5.6000000000000001E-2</v>
      </c>
      <c r="G71" s="361"/>
      <c r="H71" s="311"/>
      <c r="I71" s="1292"/>
      <c r="J71" s="2036"/>
      <c r="K71" s="3085" t="s">
        <v>398</v>
      </c>
      <c r="L71" s="3357" t="s">
        <v>399</v>
      </c>
      <c r="M71" s="3357"/>
      <c r="N71" s="3085" t="s">
        <v>400</v>
      </c>
      <c r="O71" s="3085" t="s">
        <v>401</v>
      </c>
      <c r="P71" s="3085" t="s">
        <v>402</v>
      </c>
      <c r="Q71" s="2029"/>
      <c r="R71" s="2029"/>
      <c r="S71" s="2029"/>
      <c r="T71" s="2029"/>
      <c r="U71" s="2029"/>
      <c r="V71" s="2029"/>
    </row>
    <row r="72" spans="1:22" ht="12" customHeight="1">
      <c r="A72" s="359" t="s">
        <v>406</v>
      </c>
      <c r="B72" s="3392" t="s">
        <v>407</v>
      </c>
      <c r="C72" s="3404"/>
      <c r="D72" s="358">
        <f ca="1">C86</f>
        <v>6286</v>
      </c>
      <c r="E72" s="73" t="s">
        <v>408</v>
      </c>
      <c r="F72" s="360">
        <f>'数据-取费表'!B41</f>
        <v>5.6000000000000001E-2</v>
      </c>
      <c r="G72" s="361"/>
      <c r="H72" s="1298"/>
      <c r="I72" s="1292"/>
      <c r="J72" s="2036"/>
      <c r="K72" s="1977">
        <v>1</v>
      </c>
      <c r="L72" s="3354" t="s">
        <v>405</v>
      </c>
      <c r="M72" s="3354"/>
      <c r="N72" s="1296">
        <f ca="1">D66</f>
        <v>6398</v>
      </c>
      <c r="O72" s="1860" t="str">
        <f>E66</f>
        <v>销售额×税（费）率</v>
      </c>
      <c r="P72" s="1297">
        <f>F66</f>
        <v>5.6000000000000001E-2</v>
      </c>
      <c r="Q72" s="2029"/>
      <c r="R72" s="2029"/>
      <c r="S72" s="2029"/>
      <c r="T72" s="2029"/>
      <c r="U72" s="2029"/>
      <c r="V72" s="2029"/>
    </row>
    <row r="73" spans="1:22" ht="24" customHeight="1">
      <c r="A73" s="3380" t="s">
        <v>410</v>
      </c>
      <c r="B73" s="3381"/>
      <c r="C73" s="3381"/>
      <c r="D73" s="362">
        <f>IF(H73="个人住宅",0,ROUND(D63*I73,0))</f>
        <v>0</v>
      </c>
      <c r="E73" s="17" t="s">
        <v>411</v>
      </c>
      <c r="F73" s="360" t="str">
        <f>IF(H73="正常",I73,"免征")</f>
        <v>免征</v>
      </c>
      <c r="G73" s="361"/>
      <c r="H73" s="191" t="s">
        <v>2458</v>
      </c>
      <c r="I73" s="360">
        <f>'数据-取费表'!B49</f>
        <v>5.0000000000000001E-4</v>
      </c>
      <c r="J73" s="2036"/>
      <c r="K73" s="1977">
        <v>2</v>
      </c>
      <c r="L73" s="3354" t="s">
        <v>409</v>
      </c>
      <c r="M73" s="3354"/>
      <c r="N73" s="1296">
        <f t="shared" ref="N73:P74" si="1">D73</f>
        <v>0</v>
      </c>
      <c r="O73" s="1860" t="str">
        <f t="shared" si="1"/>
        <v>销售额×税（费）率</v>
      </c>
      <c r="P73" s="1297" t="str">
        <f t="shared" si="1"/>
        <v>免征</v>
      </c>
      <c r="Q73" s="2029"/>
      <c r="R73" s="2029"/>
      <c r="S73" s="2029"/>
      <c r="T73" s="2029"/>
      <c r="U73" s="2029"/>
      <c r="V73" s="2029"/>
    </row>
    <row r="74" spans="1:22" ht="24.75">
      <c r="A74" s="3380" t="s">
        <v>414</v>
      </c>
      <c r="B74" s="3381"/>
      <c r="C74" s="3381"/>
      <c r="D74" s="362">
        <f ca="1">IF(H74="个人住宅",D75,D76)</f>
        <v>67239</v>
      </c>
      <c r="E74" s="17" t="s">
        <v>415</v>
      </c>
      <c r="F74" s="360" t="str">
        <f>IF(H74="正常",F76,"免征")</f>
        <v>——</v>
      </c>
      <c r="G74" s="983" t="s">
        <v>416</v>
      </c>
      <c r="H74" s="363" t="s">
        <v>412</v>
      </c>
      <c r="I74" s="42"/>
      <c r="J74" s="2036"/>
      <c r="K74" s="1977">
        <v>3</v>
      </c>
      <c r="L74" s="3354" t="s">
        <v>413</v>
      </c>
      <c r="M74" s="3354"/>
      <c r="N74" s="1296">
        <f t="shared" ca="1" si="1"/>
        <v>67239</v>
      </c>
      <c r="O74" s="1860" t="str">
        <f t="shared" si="1"/>
        <v>增值额×税（费）率</v>
      </c>
      <c r="P74" s="1299" t="str">
        <f t="shared" si="1"/>
        <v>——</v>
      </c>
      <c r="Q74" s="2029"/>
      <c r="R74" s="2029"/>
      <c r="S74" s="2029"/>
      <c r="T74" s="2029"/>
      <c r="U74" s="2029"/>
      <c r="V74" s="2029"/>
    </row>
    <row r="75" spans="1:22" ht="24">
      <c r="A75" s="359" t="s">
        <v>417</v>
      </c>
      <c r="B75" s="3361" t="s">
        <v>418</v>
      </c>
      <c r="C75" s="3362"/>
      <c r="D75" s="364">
        <v>0</v>
      </c>
      <c r="E75" s="41" t="s">
        <v>419</v>
      </c>
      <c r="F75" s="365"/>
      <c r="G75" s="361"/>
      <c r="H75" s="42"/>
      <c r="I75" s="42"/>
      <c r="J75" s="2036"/>
      <c r="K75" s="3078">
        <f>IF(H77="非个人房产","",4)</f>
        <v>4</v>
      </c>
      <c r="L75" s="3354" t="str">
        <f>IF(H77="非个人房产","——","个人所得税")</f>
        <v>个人所得税</v>
      </c>
      <c r="M75" s="3354"/>
      <c r="N75" s="1300">
        <f ca="1">D77</f>
        <v>1200</v>
      </c>
      <c r="O75" s="1873" t="str">
        <f>E77</f>
        <v>销售额×税（费）率</v>
      </c>
      <c r="P75" s="1301">
        <f>F77</f>
        <v>0.01</v>
      </c>
      <c r="Q75" s="2029"/>
      <c r="R75" s="2029"/>
      <c r="S75" s="2029"/>
      <c r="T75" s="2029"/>
      <c r="U75" s="2029"/>
      <c r="V75" s="2029"/>
    </row>
    <row r="76" spans="1:22" ht="24.75">
      <c r="A76" s="359" t="s">
        <v>395</v>
      </c>
      <c r="B76" s="3361" t="s">
        <v>421</v>
      </c>
      <c r="C76" s="3403"/>
      <c r="D76" s="362">
        <f ca="1">IF(H76="转让取得",C99,C115)</f>
        <v>67239</v>
      </c>
      <c r="E76" s="17" t="s">
        <v>422</v>
      </c>
      <c r="F76" s="53" t="s">
        <v>21</v>
      </c>
      <c r="G76" s="361"/>
      <c r="H76" s="363" t="s">
        <v>423</v>
      </c>
      <c r="I76" s="42"/>
      <c r="J76" s="2036"/>
      <c r="K76" s="3078" t="str">
        <f>IF(项目基本情况!K6="上海银行",IF(K75="",4,K75+1),"")</f>
        <v/>
      </c>
      <c r="L76" s="3342" t="str">
        <f>IF(项目基本情况!K6="上海银行","其他处置费用","")</f>
        <v/>
      </c>
      <c r="M76" s="3343"/>
      <c r="N76" s="1296" t="str">
        <f>IF(项目基本情况!K6="上海银行",N89,"")</f>
        <v/>
      </c>
      <c r="O76" s="3344" t="str">
        <f>IF(项目基本情况!K6="上海银行","包含处置中涉及的律师、诉讼、拍卖、评估等费用","")</f>
        <v/>
      </c>
      <c r="P76" s="3345"/>
      <c r="Q76" s="2029"/>
      <c r="R76" s="2029"/>
      <c r="S76" s="2029"/>
      <c r="T76" s="2029"/>
      <c r="U76" s="2029"/>
      <c r="V76" s="2029"/>
    </row>
    <row r="77" spans="1:22" ht="26.25" thickBot="1">
      <c r="A77" s="3372" t="s">
        <v>425</v>
      </c>
      <c r="B77" s="3373"/>
      <c r="C77" s="3373"/>
      <c r="D77" s="366">
        <f ca="1">IF(H77="非个人房产","——",IF(H77="个人住宅",0,ROUND(D63*I77,0)))</f>
        <v>1200</v>
      </c>
      <c r="E77" s="367" t="str">
        <f>IF(H77="非个人房产","——","销售额×税（费）率")</f>
        <v>销售额×税（费）率</v>
      </c>
      <c r="F77" s="368">
        <f>IF(H77="非个人房产","——",IF(H77="个人住宅","免征",I77))</f>
        <v>0.01</v>
      </c>
      <c r="G77" s="984" t="s">
        <v>416</v>
      </c>
      <c r="H77" s="363" t="s">
        <v>2885</v>
      </c>
      <c r="I77" s="369">
        <v>0.01</v>
      </c>
      <c r="J77" s="2036"/>
      <c r="K77" s="3368">
        <f>IF(AND(K75="",K76=""),4,IF(项目基本情况!K6="上海银行",K76+1,K75+1))</f>
        <v>5</v>
      </c>
      <c r="L77" s="3354" t="s">
        <v>2886</v>
      </c>
      <c r="M77" s="3084" t="s">
        <v>420</v>
      </c>
      <c r="N77" s="1302"/>
      <c r="O77" s="1303">
        <f ca="1">SUMIF(N72:N76,"&lt;9e307")</f>
        <v>74837</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368"/>
      <c r="L78" s="3354"/>
      <c r="M78" s="3084" t="s">
        <v>424</v>
      </c>
      <c r="N78" s="1302"/>
      <c r="O78" s="1303" t="str">
        <f ca="1">NUMBERSTRING(INT(O77*10000),2)&amp;"元整"</f>
        <v>柒亿肆仟捌佰叁拾柒万元整</v>
      </c>
      <c r="P78" s="1304"/>
      <c r="Q78" s="2029"/>
      <c r="R78" s="2029"/>
      <c r="S78" s="2029"/>
      <c r="T78" s="2029"/>
      <c r="U78" s="2029"/>
      <c r="V78" s="2029"/>
    </row>
    <row r="79" spans="1:22" ht="13.5" thickBot="1">
      <c r="A79" s="3358" t="s">
        <v>426</v>
      </c>
      <c r="B79" s="3358"/>
      <c r="C79" s="3358"/>
      <c r="D79" s="3358"/>
      <c r="E79" s="3358"/>
      <c r="F79" s="42"/>
      <c r="G79" s="42"/>
      <c r="H79" s="1003"/>
      <c r="I79" s="311"/>
      <c r="J79" s="2036"/>
      <c r="K79" s="3352">
        <f>K77+1</f>
        <v>6</v>
      </c>
      <c r="L79" s="3354" t="s">
        <v>2887</v>
      </c>
      <c r="M79" s="3084" t="s">
        <v>420</v>
      </c>
      <c r="N79" s="1302"/>
      <c r="O79" s="1303" t="e">
        <f ca="1">N69-O77</f>
        <v>#VALUE!</v>
      </c>
      <c r="P79" s="1304"/>
      <c r="Q79" s="2029"/>
      <c r="R79" s="2029"/>
      <c r="S79" s="2029"/>
      <c r="T79" s="2029"/>
      <c r="U79" s="2029"/>
      <c r="V79" s="2029"/>
    </row>
    <row r="80" spans="1:22" ht="12.75">
      <c r="A80" s="3359" t="s">
        <v>427</v>
      </c>
      <c r="B80" s="3360"/>
      <c r="C80" s="994"/>
      <c r="D80" s="994" t="s">
        <v>428</v>
      </c>
      <c r="E80" s="370" t="s">
        <v>429</v>
      </c>
      <c r="F80" s="42"/>
      <c r="G80" s="42"/>
      <c r="H80" s="1003"/>
      <c r="I80" s="311"/>
      <c r="J80" s="2029"/>
      <c r="K80" s="3353"/>
      <c r="L80" s="3354"/>
      <c r="M80" s="3084"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114242</v>
      </c>
      <c r="D81" s="373"/>
      <c r="E81" s="374"/>
      <c r="F81" s="42"/>
      <c r="G81" s="42"/>
      <c r="H81" s="1003"/>
      <c r="I81" s="311"/>
      <c r="J81" s="2029"/>
      <c r="K81" s="3078">
        <f>K79+1</f>
        <v>7</v>
      </c>
      <c r="L81" s="3366" t="s">
        <v>2888</v>
      </c>
      <c r="M81" s="3367"/>
      <c r="N81" s="1306"/>
      <c r="O81" s="1307" t="e">
        <f ca="1">ROUND(O79*10000/'数据-汇总表'!E3,0)</f>
        <v>#VALUE!</v>
      </c>
      <c r="P81" s="1308"/>
      <c r="Q81" s="2029"/>
      <c r="R81" s="2029"/>
      <c r="S81" s="2029"/>
      <c r="T81" s="2029"/>
      <c r="U81" s="2029"/>
      <c r="V81" s="2029"/>
    </row>
    <row r="82" spans="1:26" ht="13.5" thickTop="1">
      <c r="A82" s="375" t="s">
        <v>1824</v>
      </c>
      <c r="B82" s="376" t="s">
        <v>431</v>
      </c>
      <c r="C82" s="377">
        <f ca="1">D63</f>
        <v>119954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341"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12.75">
      <c r="A84" s="381" t="s">
        <v>1826</v>
      </c>
      <c r="B84" s="382" t="s">
        <v>433</v>
      </c>
      <c r="C84" s="383">
        <v>2000</v>
      </c>
      <c r="D84" s="384" t="s">
        <v>19</v>
      </c>
      <c r="E84" s="3125" t="s">
        <v>2943</v>
      </c>
      <c r="F84" s="42"/>
      <c r="G84" s="42"/>
      <c r="H84" s="1003"/>
      <c r="I84" s="311"/>
      <c r="J84" s="2029"/>
      <c r="K84" s="3341"/>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1827</v>
      </c>
      <c r="B85" s="382" t="s">
        <v>434</v>
      </c>
      <c r="C85" s="385">
        <f ca="1">C81-C84</f>
        <v>112242</v>
      </c>
      <c r="D85" s="378" t="s">
        <v>19</v>
      </c>
      <c r="E85" s="379"/>
      <c r="F85" s="42"/>
      <c r="G85" s="42"/>
      <c r="H85" s="1003"/>
      <c r="I85" s="311"/>
      <c r="J85" s="2029"/>
      <c r="K85" s="3341"/>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1828</v>
      </c>
      <c r="B86" s="387" t="s">
        <v>435</v>
      </c>
      <c r="C86" s="388">
        <f ca="1">IF(C85&lt;=0,0,ROUND(C85*D86,0))</f>
        <v>6286</v>
      </c>
      <c r="D86" s="389">
        <f>'数据-取费表'!B41</f>
        <v>5.6000000000000001E-2</v>
      </c>
      <c r="E86" s="390"/>
      <c r="F86" s="42"/>
      <c r="G86" s="42"/>
      <c r="H86" s="1003"/>
      <c r="I86" s="311"/>
      <c r="J86" s="2029"/>
      <c r="K86" s="3341"/>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1"/>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5" thickBot="1">
      <c r="A88" s="3395" t="s">
        <v>436</v>
      </c>
      <c r="B88" s="3396"/>
      <c r="C88" s="3396"/>
      <c r="D88" s="3396"/>
      <c r="E88" s="3396"/>
      <c r="F88" s="3396"/>
      <c r="G88" s="3396"/>
      <c r="H88" s="3396"/>
      <c r="I88" s="1315"/>
      <c r="J88" s="2037"/>
      <c r="K88" s="3341"/>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4.25">
      <c r="A89" s="3359" t="s">
        <v>427</v>
      </c>
      <c r="B89" s="3360"/>
      <c r="C89" s="994"/>
      <c r="D89" s="994" t="s">
        <v>428</v>
      </c>
      <c r="E89" s="391" t="s">
        <v>437</v>
      </c>
      <c r="F89" s="392"/>
      <c r="G89" s="392"/>
      <c r="H89" s="393"/>
      <c r="I89" s="1316"/>
      <c r="J89" s="2039"/>
      <c r="K89" s="3341"/>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114242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3246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392" t="s">
        <v>446</v>
      </c>
      <c r="F94" s="3393"/>
      <c r="G94" s="3393"/>
      <c r="H94" s="339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685</v>
      </c>
      <c r="D96" s="406">
        <f>'数据-取费表'!B43</f>
        <v>6.000000000000001E-3</v>
      </c>
      <c r="E96" s="3382" t="s">
        <v>2431</v>
      </c>
      <c r="F96" s="3383"/>
      <c r="G96" s="3383"/>
      <c r="H96" s="338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110996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34.194701170671593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65462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95" t="s">
        <v>453</v>
      </c>
      <c r="B101" s="3396"/>
      <c r="C101" s="3396"/>
      <c r="D101" s="3396"/>
      <c r="E101" s="3396"/>
      <c r="F101" s="3396"/>
      <c r="G101" s="3396"/>
      <c r="H101" s="339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59" t="s">
        <v>427</v>
      </c>
      <c r="B102" s="3360"/>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114242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1375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385" t="s">
        <v>461</v>
      </c>
      <c r="F109" s="3383"/>
      <c r="G109" s="3383"/>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385" t="s">
        <v>463</v>
      </c>
      <c r="F110" s="3383"/>
      <c r="G110" s="3383"/>
      <c r="H110" s="338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685</v>
      </c>
      <c r="D111" s="406">
        <f>'数据-取费表'!B43</f>
        <v>6.000000000000001E-3</v>
      </c>
      <c r="E111" s="3382" t="s">
        <v>2431</v>
      </c>
      <c r="F111" s="3383"/>
      <c r="G111" s="3383"/>
      <c r="H111" s="338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385" t="s">
        <v>2456</v>
      </c>
      <c r="F112" s="3383"/>
      <c r="G112" s="3383"/>
      <c r="H112" s="338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112867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82.085090909090908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67239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2"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5">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3"/>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2976</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368</v>
      </c>
      <c r="D33" s="467">
        <f ca="1">C34</f>
        <v>0.15440000000000001</v>
      </c>
      <c r="E33" s="469" t="s">
        <v>494</v>
      </c>
      <c r="F33" s="479">
        <f ca="1">IF(B1="",'数据-取费表'!Q16,INDIRECT("'数据-取费表'!q"&amp;$K$1))</f>
        <v>0.15</v>
      </c>
      <c r="G33" s="2841"/>
      <c r="H33" s="2842"/>
      <c r="I33" s="2842"/>
      <c r="J33" s="2842"/>
      <c r="K33" s="2843"/>
    </row>
    <row r="34" spans="1:11" s="2124" customFormat="1" ht="13.5" customHeight="1">
      <c r="A34" s="375" t="s">
        <v>1856</v>
      </c>
      <c r="B34" s="2888" t="s">
        <v>500</v>
      </c>
      <c r="C34" s="472">
        <f ca="1">ROUND((1+C25)*F33,4)</f>
        <v>0.15440000000000001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368</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43503.2145856188</v>
      </c>
      <c r="C2" s="2105"/>
      <c r="D2" s="2105"/>
      <c r="E2" s="2105"/>
      <c r="F2" s="2105"/>
      <c r="G2" s="2105"/>
      <c r="H2" s="2105"/>
      <c r="I2" s="2105"/>
      <c r="J2" s="2105"/>
      <c r="K2" s="2105"/>
    </row>
    <row r="3" spans="1:41" s="2042" customFormat="1" ht="18" customHeight="1">
      <c r="A3" s="1379" t="s">
        <v>1684</v>
      </c>
      <c r="B3" s="425">
        <f ca="1">ROUND(B2*10000/IF(B1="",'数据-汇总表'!E3,INDIRECT("'数据-取费表'!K"&amp;$K$1)),0)</f>
        <v>7194</v>
      </c>
      <c r="C3" s="2105"/>
      <c r="D3" s="2105"/>
      <c r="E3" s="2105"/>
      <c r="F3" s="2105"/>
      <c r="G3" s="2105"/>
      <c r="H3" s="2105"/>
      <c r="I3" s="2105"/>
      <c r="J3" s="2105"/>
      <c r="K3" s="2105"/>
    </row>
    <row r="4" spans="1:41" s="2042" customFormat="1" ht="18" customHeight="1">
      <c r="A4" s="426" t="s">
        <v>467</v>
      </c>
      <c r="B4" s="427">
        <f ca="1">ROUND(B2*10000/IF(B1="",'数据-汇总表'!D3,INDIRECT("'数据-取费表'!R"&amp;$K$1)),0)</f>
        <v>2388</v>
      </c>
      <c r="C4" s="2062"/>
      <c r="D4" s="2105"/>
      <c r="E4" s="2105"/>
      <c r="F4" s="2105"/>
      <c r="G4" s="2105"/>
      <c r="H4" s="2105"/>
      <c r="I4" s="2105"/>
      <c r="J4" s="2105"/>
      <c r="K4" s="2105"/>
    </row>
    <row r="5" spans="1:41" s="2042" customFormat="1" ht="18" customHeight="1" thickBot="1">
      <c r="A5" s="429"/>
      <c r="B5" s="430">
        <f ca="1">ROUND(B2/(IF(B1="",'数据-汇总表'!D3,INDIRECT("'数据-取费表'!R"&amp;$K$1))/666.67),0)</f>
        <v>159</v>
      </c>
      <c r="C5" s="431" t="s">
        <v>468</v>
      </c>
      <c r="D5" s="2105"/>
      <c r="E5" s="2105"/>
      <c r="F5" s="2105"/>
      <c r="G5" s="2105"/>
      <c r="H5" s="2105"/>
      <c r="I5" s="2105"/>
      <c r="J5" s="2105"/>
      <c r="K5" s="2105"/>
    </row>
    <row r="6" spans="1:41" s="2112" customFormat="1" ht="16.5" customHeight="1">
      <c r="A6" s="432" t="s">
        <v>2655</v>
      </c>
      <c r="B6" s="433"/>
      <c r="C6" s="1623">
        <f ca="1">SUM(C10:K10)</f>
        <v>65322</v>
      </c>
      <c r="D6" s="2110"/>
      <c r="E6" s="2110"/>
      <c r="F6" s="2110"/>
      <c r="G6" s="2110"/>
      <c r="H6" s="2110"/>
      <c r="I6" s="2110"/>
      <c r="J6" s="2110"/>
      <c r="K6" s="2111"/>
    </row>
    <row r="7" spans="1:41" s="2114" customFormat="1" ht="15">
      <c r="A7" s="434" t="s">
        <v>469</v>
      </c>
      <c r="B7" s="435" t="s">
        <v>470</v>
      </c>
      <c r="C7" s="436" t="s">
        <v>2984</v>
      </c>
      <c r="D7" s="436" t="s">
        <v>2992</v>
      </c>
      <c r="E7" s="436" t="s">
        <v>2993</v>
      </c>
      <c r="F7" s="436" t="s">
        <v>2994</v>
      </c>
      <c r="G7" s="436" t="s">
        <v>2995</v>
      </c>
      <c r="H7" s="436" t="s">
        <v>2996</v>
      </c>
      <c r="I7" s="436" t="s">
        <v>2997</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23896</v>
      </c>
      <c r="D10" s="1625">
        <f ca="1">不动产收益法2!C40</f>
        <v>22096</v>
      </c>
      <c r="E10" s="1625">
        <f ca="1">不动产收益法3!C40</f>
        <v>1606</v>
      </c>
      <c r="F10" s="1626">
        <f ca="1">不动产收益法4!C40</f>
        <v>9636</v>
      </c>
      <c r="G10" s="1626">
        <f ca="1">不动产收益法5!C40</f>
        <v>4508</v>
      </c>
      <c r="H10" s="1626">
        <f ca="1">不动产收益法6!C40</f>
        <v>3580</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1604</v>
      </c>
      <c r="D24" s="489">
        <f ca="1">C26</f>
        <v>3.0000000000000001E-3</v>
      </c>
      <c r="E24" s="469" t="s">
        <v>506</v>
      </c>
      <c r="F24" s="479">
        <f ca="1">IF(B1="",'数据-取费表'!Q16,INDIRECT("'数据-取费表'!q"&amp;$K$1))</f>
        <v>0.15</v>
      </c>
      <c r="G24" s="444"/>
      <c r="H24" s="447"/>
      <c r="I24" s="447"/>
      <c r="J24" s="447"/>
      <c r="K24" s="448"/>
    </row>
    <row r="25" spans="1:14" s="2121" customFormat="1" ht="13.5" customHeight="1">
      <c r="A25" s="1633" t="s">
        <v>1848</v>
      </c>
      <c r="B25" s="1328" t="s">
        <v>2439</v>
      </c>
      <c r="C25" s="490">
        <f ca="1">ROUND((C18+C19)*F24,0)</f>
        <v>1604</v>
      </c>
      <c r="D25" s="472"/>
      <c r="E25" s="473"/>
      <c r="F25" s="480"/>
      <c r="G25" s="1326" t="s">
        <v>2436</v>
      </c>
      <c r="H25" s="457"/>
      <c r="I25" s="457"/>
      <c r="J25" s="457"/>
      <c r="K25" s="458"/>
    </row>
    <row r="26" spans="1:14" s="2121" customFormat="1" ht="13.5" customHeight="1">
      <c r="A26" s="1633" t="s">
        <v>1849</v>
      </c>
      <c r="B26" s="1328" t="s">
        <v>508</v>
      </c>
      <c r="C26" s="491">
        <f ca="1">ROUND(F20*F24,4)</f>
        <v>3.0000000000000001E-3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13590</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8154</v>
      </c>
      <c r="D30" s="493"/>
      <c r="E30" s="498"/>
      <c r="F30" s="499"/>
      <c r="G30" s="1329" t="s">
        <v>514</v>
      </c>
      <c r="H30" s="496"/>
      <c r="I30" s="496"/>
      <c r="J30" s="447"/>
      <c r="K30" s="448"/>
    </row>
    <row r="31" spans="1:14" s="2127" customFormat="1" ht="13.5" customHeight="1">
      <c r="A31" s="2507" t="s">
        <v>1865</v>
      </c>
      <c r="B31" s="1330"/>
      <c r="C31" s="500">
        <f ca="1">ROUND(C6*F31/(1+'数据-取费表'!C42),0)</f>
        <v>3484</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43503.2145856188</v>
      </c>
      <c r="D32" s="483"/>
      <c r="E32" s="483"/>
      <c r="F32" s="483"/>
      <c r="G32" s="2508" t="s">
        <v>2977</v>
      </c>
      <c r="H32" s="483"/>
      <c r="I32" s="483"/>
      <c r="J32" s="483"/>
      <c r="K32" s="485"/>
    </row>
    <row r="34" ht="12.75" customHeight="1"/>
  </sheetData>
  <sheetProtection password="C66D" sheet="1" objects="1" scenarios="1" formatCells="0" formatColumns="0" formatRows="0"/>
  <phoneticPr fontId="44"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53" t="str">
        <f>项目基本情况!B1</f>
        <v>出让国有建设用地使用权市场价格预评估</v>
      </c>
      <c r="C37" s="3253"/>
      <c r="D37" s="3253"/>
      <c r="E37" s="3253"/>
      <c r="F37" s="3253"/>
      <c r="G37" s="3253"/>
      <c r="H37" s="3253"/>
      <c r="I37" s="3253"/>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土地估价师、土地估价师</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440" t="s">
        <v>521</v>
      </c>
      <c r="D6" s="3441"/>
      <c r="E6" s="3440" t="s">
        <v>522</v>
      </c>
      <c r="F6" s="3441"/>
      <c r="G6" s="3440" t="s">
        <v>523</v>
      </c>
      <c r="H6" s="3441"/>
      <c r="I6" s="3440" t="s">
        <v>524</v>
      </c>
      <c r="J6" s="3441"/>
      <c r="K6" s="514" t="s">
        <v>525</v>
      </c>
      <c r="L6" s="2134"/>
      <c r="M6" s="2133"/>
      <c r="N6" s="2133"/>
      <c r="O6" s="2135"/>
      <c r="P6" s="3442" t="s">
        <v>526</v>
      </c>
      <c r="Q6" s="3443"/>
      <c r="R6" s="3428" t="s">
        <v>522</v>
      </c>
      <c r="S6" s="3429"/>
      <c r="T6" s="3428" t="s">
        <v>523</v>
      </c>
      <c r="U6" s="3429"/>
      <c r="V6" s="3448" t="s">
        <v>524</v>
      </c>
      <c r="W6" s="3448"/>
      <c r="X6" s="1567"/>
      <c r="Y6" s="3428" t="s">
        <v>526</v>
      </c>
      <c r="Z6" s="3429"/>
      <c r="AA6" s="3423" t="s">
        <v>522</v>
      </c>
      <c r="AB6" s="3424" t="s">
        <v>523</v>
      </c>
      <c r="AC6" s="3423" t="s">
        <v>524</v>
      </c>
    </row>
    <row r="7" spans="1:30" ht="20.25">
      <c r="A7" s="515"/>
      <c r="B7" s="516"/>
      <c r="C7" s="3451" t="s">
        <v>2932</v>
      </c>
      <c r="D7" s="3452"/>
      <c r="E7" s="3451" t="s">
        <v>2933</v>
      </c>
      <c r="F7" s="3452"/>
      <c r="G7" s="3451" t="s">
        <v>2934</v>
      </c>
      <c r="H7" s="3452"/>
      <c r="I7" s="3451" t="s">
        <v>2935</v>
      </c>
      <c r="J7" s="3452"/>
      <c r="K7" s="514"/>
      <c r="L7" s="2134"/>
      <c r="M7" s="2133"/>
      <c r="N7" s="2133"/>
      <c r="O7" s="2135"/>
      <c r="P7" s="3444"/>
      <c r="Q7" s="3445"/>
      <c r="R7" s="3430"/>
      <c r="S7" s="3431"/>
      <c r="T7" s="3430"/>
      <c r="U7" s="3431"/>
      <c r="V7" s="3448"/>
      <c r="W7" s="3448"/>
      <c r="X7" s="1567"/>
      <c r="Y7" s="3430"/>
      <c r="Z7" s="3431"/>
      <c r="AA7" s="3424"/>
      <c r="AB7" s="3424"/>
      <c r="AC7" s="3424"/>
    </row>
    <row r="8" spans="1:30" ht="21" thickBot="1">
      <c r="A8" s="515"/>
      <c r="B8" s="516"/>
      <c r="C8" s="3453" t="s">
        <v>2936</v>
      </c>
      <c r="D8" s="3454"/>
      <c r="E8" s="3453" t="s">
        <v>2936</v>
      </c>
      <c r="F8" s="3454"/>
      <c r="G8" s="3449" t="s">
        <v>2936</v>
      </c>
      <c r="H8" s="3450"/>
      <c r="I8" s="3449" t="s">
        <v>2936</v>
      </c>
      <c r="J8" s="3450"/>
      <c r="K8" s="514" t="s">
        <v>527</v>
      </c>
      <c r="L8" s="2134"/>
      <c r="M8" s="2133"/>
      <c r="N8" s="2133"/>
      <c r="O8" s="2135"/>
      <c r="P8" s="3446"/>
      <c r="Q8" s="3447"/>
      <c r="R8" s="3430"/>
      <c r="S8" s="3431"/>
      <c r="T8" s="3432"/>
      <c r="U8" s="3433"/>
      <c r="V8" s="3448"/>
      <c r="W8" s="3448"/>
      <c r="X8" s="1567"/>
      <c r="Y8" s="3432"/>
      <c r="Z8" s="3433"/>
      <c r="AA8" s="3425"/>
      <c r="AB8" s="3425"/>
      <c r="AC8" s="3425"/>
    </row>
    <row r="9" spans="1:30" s="1220" customFormat="1" ht="21" thickBot="1">
      <c r="A9" s="2937"/>
      <c r="B9" s="2944" t="s">
        <v>528</v>
      </c>
      <c r="C9" s="2936">
        <f>'数据-取费表'!B2</f>
        <v>43222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26" t="s">
        <v>529</v>
      </c>
      <c r="Q9" s="3435"/>
      <c r="R9" s="1568" t="s">
        <v>8</v>
      </c>
      <c r="S9" s="1569">
        <f t="shared" ref="S9:S17" si="0">F9</f>
        <v>0</v>
      </c>
      <c r="T9" s="1568" t="s">
        <v>8</v>
      </c>
      <c r="U9" s="1569">
        <f t="shared" ref="U9:U17" si="1">H9</f>
        <v>0</v>
      </c>
      <c r="V9" s="1568" t="s">
        <v>8</v>
      </c>
      <c r="W9" s="1569">
        <f t="shared" ref="W9:W17" si="2">J9</f>
        <v>0</v>
      </c>
      <c r="X9" s="1570"/>
      <c r="Y9" s="3426" t="s">
        <v>529</v>
      </c>
      <c r="Z9" s="3427"/>
      <c r="AA9" s="1571" t="e">
        <f>D9/F9</f>
        <v>#DIV/0!</v>
      </c>
      <c r="AB9" s="1571" t="e">
        <f>D9/H9</f>
        <v>#DIV/0!</v>
      </c>
      <c r="AC9" s="1571" t="e">
        <f>D9/J9</f>
        <v>#DIV/0!</v>
      </c>
    </row>
    <row r="10" spans="1:30" s="1220" customFormat="1" ht="21"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26" t="s">
        <v>532</v>
      </c>
      <c r="Q10" s="3427"/>
      <c r="R10" s="1568" t="s">
        <v>8</v>
      </c>
      <c r="S10" s="1569">
        <f t="shared" si="0"/>
        <v>0</v>
      </c>
      <c r="T10" s="1568" t="s">
        <v>8</v>
      </c>
      <c r="U10" s="1569">
        <f t="shared" si="1"/>
        <v>0</v>
      </c>
      <c r="V10" s="1568" t="s">
        <v>8</v>
      </c>
      <c r="W10" s="1569">
        <f t="shared" si="2"/>
        <v>0</v>
      </c>
      <c r="X10" s="1570"/>
      <c r="Y10" s="3426" t="s">
        <v>532</v>
      </c>
      <c r="Z10" s="3427"/>
      <c r="AA10" s="1571" t="e">
        <f t="shared" ref="AA10:AA47" si="3">D10/F10</f>
        <v>#DIV/0!</v>
      </c>
      <c r="AB10" s="1571" t="e">
        <f t="shared" ref="AB10:AB47" si="4">D10/H10</f>
        <v>#DIV/0!</v>
      </c>
      <c r="AC10" s="1571" t="e">
        <f t="shared" ref="AC10:AC47" si="5">D10/J10</f>
        <v>#DIV/0!</v>
      </c>
    </row>
    <row r="11" spans="1:30" s="1220" customFormat="1" ht="20.25">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34" t="s">
        <v>534</v>
      </c>
      <c r="Q11" s="1151" t="str">
        <f t="shared" ref="Q11:Q17" si="6">B11</f>
        <v>用途</v>
      </c>
      <c r="R11" s="1568" t="s">
        <v>8</v>
      </c>
      <c r="S11" s="1569">
        <f t="shared" si="0"/>
        <v>100</v>
      </c>
      <c r="T11" s="1568" t="s">
        <v>8</v>
      </c>
      <c r="U11" s="1569">
        <f t="shared" si="1"/>
        <v>100</v>
      </c>
      <c r="V11" s="1568" t="s">
        <v>8</v>
      </c>
      <c r="W11" s="1569">
        <f t="shared" si="2"/>
        <v>100</v>
      </c>
      <c r="X11" s="1570"/>
      <c r="Y11" s="3391" t="s">
        <v>535</v>
      </c>
      <c r="Z11" s="1150" t="str">
        <f t="shared" ref="Z11:Z17" si="7">Q11</f>
        <v>用途</v>
      </c>
      <c r="AA11" s="1571">
        <f t="shared" si="3"/>
        <v>1</v>
      </c>
      <c r="AB11" s="1571">
        <f t="shared" si="4"/>
        <v>1</v>
      </c>
      <c r="AC11" s="1571">
        <f t="shared" si="5"/>
        <v>1</v>
      </c>
    </row>
    <row r="12" spans="1:30" s="1338" customFormat="1" ht="27">
      <c r="A12" s="2940"/>
      <c r="B12" s="2945" t="s">
        <v>2760</v>
      </c>
      <c r="C12" s="910"/>
      <c r="D12" s="255">
        <v>100</v>
      </c>
      <c r="E12" s="529"/>
      <c r="F12" s="255">
        <f>ROUND(100/'数据-取费表'!G16,0)</f>
        <v>135</v>
      </c>
      <c r="G12" s="530"/>
      <c r="H12" s="255">
        <f>ROUND(100/'数据-取费表'!G16,0)</f>
        <v>135</v>
      </c>
      <c r="I12" s="530"/>
      <c r="J12" s="255">
        <f>ROUND(100/'数据-取费表'!G16,0)</f>
        <v>135</v>
      </c>
      <c r="K12" s="531"/>
      <c r="L12" s="2139"/>
      <c r="M12" s="2133"/>
      <c r="N12" s="2133"/>
      <c r="O12" s="2140"/>
      <c r="P12" s="3434"/>
      <c r="Q12" s="1151" t="str">
        <f t="shared" si="6"/>
        <v>土地使用年限（年）</v>
      </c>
      <c r="R12" s="1568" t="s">
        <v>8</v>
      </c>
      <c r="S12" s="1569">
        <f t="shared" si="0"/>
        <v>135</v>
      </c>
      <c r="T12" s="1568" t="s">
        <v>8</v>
      </c>
      <c r="U12" s="1569">
        <f t="shared" si="1"/>
        <v>135</v>
      </c>
      <c r="V12" s="1568" t="s">
        <v>8</v>
      </c>
      <c r="W12" s="1569">
        <f t="shared" si="2"/>
        <v>135</v>
      </c>
      <c r="X12" s="1570"/>
      <c r="Y12" s="3391"/>
      <c r="Z12" s="1150" t="str">
        <f t="shared" si="7"/>
        <v>土地使用年限（年）</v>
      </c>
      <c r="AA12" s="1571">
        <f t="shared" si="3"/>
        <v>0.7407407407407407</v>
      </c>
      <c r="AB12" s="1571">
        <f t="shared" si="4"/>
        <v>0.7407407407407407</v>
      </c>
      <c r="AC12" s="1571">
        <f t="shared" si="5"/>
        <v>0.7407407407407407</v>
      </c>
    </row>
    <row r="13" spans="1:30" ht="20.25">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34"/>
      <c r="Q13" s="1151" t="str">
        <f t="shared" si="6"/>
        <v>容积率</v>
      </c>
      <c r="R13" s="1568" t="s">
        <v>8</v>
      </c>
      <c r="S13" s="1569" t="e">
        <f t="shared" si="0"/>
        <v>#N/A</v>
      </c>
      <c r="T13" s="1568" t="s">
        <v>8</v>
      </c>
      <c r="U13" s="1569" t="e">
        <f t="shared" si="1"/>
        <v>#N/A</v>
      </c>
      <c r="V13" s="1568" t="s">
        <v>8</v>
      </c>
      <c r="W13" s="1569" t="e">
        <f t="shared" si="2"/>
        <v>#N/A</v>
      </c>
      <c r="X13" s="1570"/>
      <c r="Y13" s="3391"/>
      <c r="Z13" s="1150" t="str">
        <f t="shared" si="7"/>
        <v>容积率</v>
      </c>
      <c r="AA13" s="1571" t="e">
        <f t="shared" si="3"/>
        <v>#N/A</v>
      </c>
      <c r="AB13" s="1571" t="e">
        <f t="shared" si="4"/>
        <v>#N/A</v>
      </c>
      <c r="AC13" s="1571" t="e">
        <f t="shared" si="5"/>
        <v>#N/A</v>
      </c>
    </row>
    <row r="14" spans="1:30" s="1220" customFormat="1" ht="20.25">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34"/>
      <c r="Q14" s="1151" t="str">
        <f t="shared" si="6"/>
        <v>配建</v>
      </c>
      <c r="R14" s="1568" t="s">
        <v>8</v>
      </c>
      <c r="S14" s="1569">
        <f t="shared" si="0"/>
        <v>100</v>
      </c>
      <c r="T14" s="1568" t="s">
        <v>8</v>
      </c>
      <c r="U14" s="1569">
        <f t="shared" si="1"/>
        <v>100</v>
      </c>
      <c r="V14" s="1568" t="s">
        <v>8</v>
      </c>
      <c r="W14" s="1569">
        <f t="shared" si="2"/>
        <v>100</v>
      </c>
      <c r="X14" s="1570"/>
      <c r="Y14" s="3391"/>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34"/>
      <c r="Q15" s="1151">
        <f t="shared" si="6"/>
        <v>111</v>
      </c>
      <c r="R15" s="1568" t="s">
        <v>8</v>
      </c>
      <c r="S15" s="1569">
        <f t="shared" si="0"/>
        <v>100</v>
      </c>
      <c r="T15" s="1568" t="s">
        <v>8</v>
      </c>
      <c r="U15" s="1569">
        <f t="shared" si="1"/>
        <v>100</v>
      </c>
      <c r="V15" s="1568" t="s">
        <v>8</v>
      </c>
      <c r="W15" s="1569">
        <f t="shared" si="2"/>
        <v>100</v>
      </c>
      <c r="X15" s="1570"/>
      <c r="Y15" s="3391"/>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34"/>
      <c r="Q16" s="1151">
        <f t="shared" si="6"/>
        <v>111</v>
      </c>
      <c r="R16" s="1568" t="s">
        <v>8</v>
      </c>
      <c r="S16" s="1569">
        <f t="shared" si="0"/>
        <v>100</v>
      </c>
      <c r="T16" s="1568" t="s">
        <v>8</v>
      </c>
      <c r="U16" s="1569">
        <f t="shared" si="1"/>
        <v>100</v>
      </c>
      <c r="V16" s="1568" t="s">
        <v>8</v>
      </c>
      <c r="W16" s="1569">
        <f t="shared" si="2"/>
        <v>100</v>
      </c>
      <c r="X16" s="1570"/>
      <c r="Y16" s="3391"/>
      <c r="Z16" s="1150">
        <f t="shared" si="7"/>
        <v>111</v>
      </c>
      <c r="AA16" s="1571">
        <f>D16/F16</f>
        <v>1</v>
      </c>
      <c r="AB16" s="1571">
        <f>D16/H16</f>
        <v>1</v>
      </c>
      <c r="AC16" s="1571">
        <f>D16/J16</f>
        <v>1</v>
      </c>
    </row>
    <row r="17" spans="1:29" ht="99.75">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36" t="s">
        <v>539</v>
      </c>
      <c r="Q17" s="1572" t="str">
        <f t="shared" si="6"/>
        <v>居住社区成熟度</v>
      </c>
      <c r="R17" s="1573" t="s">
        <v>8</v>
      </c>
      <c r="S17" s="1574">
        <f t="shared" si="0"/>
        <v>100</v>
      </c>
      <c r="T17" s="1573" t="s">
        <v>8</v>
      </c>
      <c r="U17" s="1574">
        <f t="shared" si="1"/>
        <v>100</v>
      </c>
      <c r="V17" s="1573" t="s">
        <v>8</v>
      </c>
      <c r="W17" s="1574">
        <f t="shared" si="2"/>
        <v>100</v>
      </c>
      <c r="X17" s="1567"/>
      <c r="Y17" s="3436"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37"/>
      <c r="Q18" s="1572"/>
      <c r="R18" s="1573"/>
      <c r="S18" s="1574"/>
      <c r="T18" s="1573"/>
      <c r="U18" s="1574"/>
      <c r="V18" s="1573"/>
      <c r="W18" s="1574"/>
      <c r="X18" s="1567"/>
      <c r="Y18" s="3437"/>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37"/>
      <c r="Q19" s="1572" t="str">
        <f>B19</f>
        <v>商业繁华度</v>
      </c>
      <c r="R19" s="1573" t="s">
        <v>8</v>
      </c>
      <c r="S19" s="1574">
        <f>F19</f>
        <v>100</v>
      </c>
      <c r="T19" s="1573" t="s">
        <v>8</v>
      </c>
      <c r="U19" s="1574">
        <f>H19</f>
        <v>100</v>
      </c>
      <c r="V19" s="1573" t="s">
        <v>8</v>
      </c>
      <c r="W19" s="1574">
        <f>J19</f>
        <v>100</v>
      </c>
      <c r="X19" s="1567"/>
      <c r="Y19" s="3437"/>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37"/>
      <c r="Q20" s="1572"/>
      <c r="R20" s="1573"/>
      <c r="S20" s="1574"/>
      <c r="T20" s="1573"/>
      <c r="U20" s="1574"/>
      <c r="V20" s="1573"/>
      <c r="W20" s="1574"/>
      <c r="X20" s="1567"/>
      <c r="Y20" s="3437"/>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7"/>
      <c r="Q21" s="1572" t="str">
        <f>B21</f>
        <v>办公集聚程度</v>
      </c>
      <c r="R21" s="1573" t="s">
        <v>8</v>
      </c>
      <c r="S21" s="1574">
        <f>F21</f>
        <v>100</v>
      </c>
      <c r="T21" s="1573" t="s">
        <v>8</v>
      </c>
      <c r="U21" s="1574">
        <f>H21</f>
        <v>100</v>
      </c>
      <c r="V21" s="1573" t="s">
        <v>8</v>
      </c>
      <c r="W21" s="1574">
        <f>J21</f>
        <v>100</v>
      </c>
      <c r="X21" s="1567"/>
      <c r="Y21" s="3437"/>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37"/>
      <c r="Q22" s="1572"/>
      <c r="R22" s="1573"/>
      <c r="S22" s="1574"/>
      <c r="T22" s="1573"/>
      <c r="U22" s="1574"/>
      <c r="V22" s="1573"/>
      <c r="W22" s="1574"/>
      <c r="X22" s="1567"/>
      <c r="Y22" s="3437"/>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37"/>
      <c r="Q23" s="1572" t="str">
        <f>B23</f>
        <v>交通便捷度</v>
      </c>
      <c r="R23" s="1573" t="s">
        <v>8</v>
      </c>
      <c r="S23" s="1574">
        <f>F23</f>
        <v>100</v>
      </c>
      <c r="T23" s="1573" t="s">
        <v>8</v>
      </c>
      <c r="U23" s="1574">
        <f>H23</f>
        <v>100</v>
      </c>
      <c r="V23" s="1573" t="s">
        <v>8</v>
      </c>
      <c r="W23" s="1574">
        <f>J23</f>
        <v>100</v>
      </c>
      <c r="X23" s="1567"/>
      <c r="Y23" s="3437"/>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37"/>
      <c r="Q24" s="1572"/>
      <c r="R24" s="1573"/>
      <c r="S24" s="1574"/>
      <c r="T24" s="1573"/>
      <c r="U24" s="1574"/>
      <c r="V24" s="1573"/>
      <c r="W24" s="1574"/>
      <c r="X24" s="1567"/>
      <c r="Y24" s="3437"/>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37"/>
      <c r="Q25" s="1572" t="str">
        <f t="shared" ref="Q25:Q39" si="8">B25</f>
        <v>区域土地利用方向</v>
      </c>
      <c r="R25" s="1573" t="s">
        <v>8</v>
      </c>
      <c r="S25" s="1574">
        <f>F25</f>
        <v>100</v>
      </c>
      <c r="T25" s="1573" t="s">
        <v>8</v>
      </c>
      <c r="U25" s="1574">
        <f>H25</f>
        <v>100</v>
      </c>
      <c r="V25" s="1573" t="s">
        <v>8</v>
      </c>
      <c r="W25" s="1574">
        <f>J25</f>
        <v>100</v>
      </c>
      <c r="X25" s="1567"/>
      <c r="Y25" s="3437"/>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37"/>
      <c r="Q26" s="1572"/>
      <c r="R26" s="1573"/>
      <c r="S26" s="1574"/>
      <c r="T26" s="1573"/>
      <c r="U26" s="1574"/>
      <c r="V26" s="1573"/>
      <c r="W26" s="1574"/>
      <c r="X26" s="1567"/>
      <c r="Y26" s="3437"/>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37"/>
      <c r="Q27" s="1572" t="str">
        <f t="shared" si="8"/>
        <v>自然及人文环境状况</v>
      </c>
      <c r="R27" s="1573" t="s">
        <v>8</v>
      </c>
      <c r="S27" s="1574">
        <f>F27</f>
        <v>100</v>
      </c>
      <c r="T27" s="1573" t="s">
        <v>8</v>
      </c>
      <c r="U27" s="1574">
        <f>H27</f>
        <v>100</v>
      </c>
      <c r="V27" s="1573" t="s">
        <v>8</v>
      </c>
      <c r="W27" s="1574">
        <f>J27</f>
        <v>100</v>
      </c>
      <c r="X27" s="1567"/>
      <c r="Y27" s="3437"/>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37"/>
      <c r="Q28" s="1572"/>
      <c r="R28" s="1573"/>
      <c r="S28" s="1574"/>
      <c r="T28" s="1573"/>
      <c r="U28" s="1574"/>
      <c r="V28" s="1573"/>
      <c r="W28" s="1574"/>
      <c r="X28" s="1567"/>
      <c r="Y28" s="3437"/>
      <c r="Z28" s="1575"/>
      <c r="AA28" s="1576">
        <v>1</v>
      </c>
      <c r="AB28" s="1576">
        <v>1</v>
      </c>
      <c r="AC28" s="1576">
        <v>1</v>
      </c>
    </row>
    <row r="29" spans="1:29" s="1220"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37"/>
      <c r="Q29" s="1151" t="str">
        <f t="shared" si="8"/>
        <v>公共配套设施</v>
      </c>
      <c r="R29" s="1568" t="s">
        <v>8</v>
      </c>
      <c r="S29" s="1569">
        <f>F29</f>
        <v>100</v>
      </c>
      <c r="T29" s="1568" t="s">
        <v>8</v>
      </c>
      <c r="U29" s="1569">
        <f>H29</f>
        <v>100</v>
      </c>
      <c r="V29" s="1568" t="s">
        <v>8</v>
      </c>
      <c r="W29" s="1569">
        <f>J29</f>
        <v>100</v>
      </c>
      <c r="X29" s="1570"/>
      <c r="Y29" s="3437"/>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37"/>
      <c r="Q30" s="1151"/>
      <c r="R30" s="1568"/>
      <c r="S30" s="1569"/>
      <c r="T30" s="1568"/>
      <c r="U30" s="1569"/>
      <c r="V30" s="1568"/>
      <c r="W30" s="1569"/>
      <c r="X30" s="1570"/>
      <c r="Y30" s="3437"/>
      <c r="Z30" s="1150"/>
      <c r="AA30" s="1576">
        <v>1</v>
      </c>
      <c r="AB30" s="1576">
        <v>1</v>
      </c>
      <c r="AC30" s="1576">
        <v>1</v>
      </c>
    </row>
    <row r="31" spans="1:29" s="1220"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37"/>
      <c r="Q31" s="2603" t="str">
        <f t="shared" ref="Q31" si="9">B31</f>
        <v>基础设施水平</v>
      </c>
      <c r="R31" s="1568" t="s">
        <v>8</v>
      </c>
      <c r="S31" s="1569">
        <f>F31</f>
        <v>100</v>
      </c>
      <c r="T31" s="1568" t="s">
        <v>8</v>
      </c>
      <c r="U31" s="1569">
        <f>H31</f>
        <v>100</v>
      </c>
      <c r="V31" s="1568" t="s">
        <v>8</v>
      </c>
      <c r="W31" s="1569">
        <f>J31</f>
        <v>100</v>
      </c>
      <c r="X31" s="1570"/>
      <c r="Y31" s="3437"/>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437"/>
      <c r="Q32" s="2603"/>
      <c r="R32" s="1568"/>
      <c r="S32" s="1569"/>
      <c r="T32" s="1568"/>
      <c r="U32" s="1569"/>
      <c r="V32" s="1568"/>
      <c r="W32" s="1569"/>
      <c r="X32" s="1570"/>
      <c r="Y32" s="3437"/>
      <c r="Z32" s="2600"/>
      <c r="AA32" s="1576">
        <v>1</v>
      </c>
      <c r="AB32" s="1576">
        <v>1</v>
      </c>
      <c r="AC32" s="157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37"/>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7"/>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37"/>
      <c r="Q34" s="1572" t="str">
        <f t="shared" si="8"/>
        <v>毗邻道路的类型与等级</v>
      </c>
      <c r="R34" s="1573" t="s">
        <v>8</v>
      </c>
      <c r="S34" s="1574">
        <f t="shared" si="10"/>
        <v>100</v>
      </c>
      <c r="T34" s="1573" t="s">
        <v>8</v>
      </c>
      <c r="U34" s="1574">
        <f t="shared" si="11"/>
        <v>100</v>
      </c>
      <c r="V34" s="1573" t="s">
        <v>8</v>
      </c>
      <c r="W34" s="1574">
        <f t="shared" si="12"/>
        <v>100</v>
      </c>
      <c r="X34" s="1567"/>
      <c r="Y34" s="3437"/>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37"/>
      <c r="Q35" s="1572"/>
      <c r="R35" s="1573"/>
      <c r="S35" s="1574"/>
      <c r="T35" s="1573"/>
      <c r="U35" s="1574"/>
      <c r="V35" s="1573"/>
      <c r="W35" s="1574"/>
      <c r="X35" s="1567"/>
      <c r="Y35" s="3437"/>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7"/>
      <c r="Q36" s="1572" t="str">
        <f t="shared" si="8"/>
        <v>土地级别</v>
      </c>
      <c r="R36" s="1573" t="s">
        <v>8</v>
      </c>
      <c r="S36" s="1574">
        <f t="shared" si="10"/>
        <v>100</v>
      </c>
      <c r="T36" s="1573" t="s">
        <v>8</v>
      </c>
      <c r="U36" s="1574">
        <f t="shared" si="11"/>
        <v>100</v>
      </c>
      <c r="V36" s="1573" t="s">
        <v>8</v>
      </c>
      <c r="W36" s="1574">
        <f t="shared" si="12"/>
        <v>100</v>
      </c>
      <c r="X36" s="1567"/>
      <c r="Y36" s="3437"/>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37"/>
      <c r="Q37" s="1572">
        <f t="shared" si="8"/>
        <v>111</v>
      </c>
      <c r="R37" s="1573" t="s">
        <v>8</v>
      </c>
      <c r="S37" s="1574">
        <f t="shared" si="10"/>
        <v>100</v>
      </c>
      <c r="T37" s="1573" t="s">
        <v>8</v>
      </c>
      <c r="U37" s="1574">
        <f t="shared" si="11"/>
        <v>100</v>
      </c>
      <c r="V37" s="1573" t="s">
        <v>8</v>
      </c>
      <c r="W37" s="1574">
        <f t="shared" si="12"/>
        <v>100</v>
      </c>
      <c r="X37" s="1567"/>
      <c r="Y37" s="3437"/>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8" t="s">
        <v>549</v>
      </c>
      <c r="Q38" s="1572">
        <f t="shared" si="8"/>
        <v>111</v>
      </c>
      <c r="R38" s="1573" t="s">
        <v>8</v>
      </c>
      <c r="S38" s="1574">
        <f t="shared" si="10"/>
        <v>100</v>
      </c>
      <c r="T38" s="1573" t="s">
        <v>8</v>
      </c>
      <c r="U38" s="1574">
        <f t="shared" si="11"/>
        <v>100</v>
      </c>
      <c r="V38" s="1573" t="s">
        <v>8</v>
      </c>
      <c r="W38" s="1574">
        <f t="shared" si="12"/>
        <v>100</v>
      </c>
      <c r="X38" s="1567"/>
      <c r="Y38" s="3439"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9"/>
      <c r="Q39" s="1572">
        <f t="shared" si="8"/>
        <v>111</v>
      </c>
      <c r="R39" s="1577" t="s">
        <v>8</v>
      </c>
      <c r="S39" s="1578">
        <f t="shared" si="10"/>
        <v>100</v>
      </c>
      <c r="T39" s="1577" t="s">
        <v>8</v>
      </c>
      <c r="U39" s="1578">
        <f t="shared" si="11"/>
        <v>100</v>
      </c>
      <c r="V39" s="1577" t="s">
        <v>8</v>
      </c>
      <c r="W39" s="1578">
        <f t="shared" si="12"/>
        <v>100</v>
      </c>
      <c r="X39" s="1579"/>
      <c r="Y39" s="3439"/>
      <c r="Z39" s="1580">
        <f t="shared" si="13"/>
        <v>111</v>
      </c>
      <c r="AA39" s="1576">
        <f t="shared" si="3"/>
        <v>1</v>
      </c>
      <c r="AB39" s="1576">
        <f t="shared" si="4"/>
        <v>1</v>
      </c>
      <c r="AC39" s="1576">
        <f t="shared" si="5"/>
        <v>1</v>
      </c>
    </row>
    <row r="40" spans="1:29" ht="20.25">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39"/>
      <c r="Q40" s="1572" t="str">
        <f>B40</f>
        <v>宗地面积</v>
      </c>
      <c r="R40" s="1573" t="s">
        <v>8</v>
      </c>
      <c r="S40" s="1574" t="e">
        <f t="shared" si="10"/>
        <v>#N/A</v>
      </c>
      <c r="T40" s="1573" t="s">
        <v>8</v>
      </c>
      <c r="U40" s="1574" t="e">
        <f t="shared" si="11"/>
        <v>#N/A</v>
      </c>
      <c r="V40" s="1573" t="s">
        <v>8</v>
      </c>
      <c r="W40" s="1574" t="e">
        <f t="shared" si="12"/>
        <v>#N/A</v>
      </c>
      <c r="X40" s="1567"/>
      <c r="Y40" s="3439"/>
      <c r="Z40" s="1575" t="str">
        <f t="shared" si="13"/>
        <v>宗地面积</v>
      </c>
      <c r="AA40" s="1576" t="e">
        <f t="shared" si="3"/>
        <v>#N/A</v>
      </c>
      <c r="AB40" s="1576" t="e">
        <f t="shared" si="4"/>
        <v>#N/A</v>
      </c>
      <c r="AC40" s="1576"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39"/>
      <c r="Q41" s="1572" t="str">
        <f t="shared" ref="Q41:Q47" si="14">B41</f>
        <v>宗地形状</v>
      </c>
      <c r="R41" s="1573" t="s">
        <v>8</v>
      </c>
      <c r="S41" s="1574">
        <f t="shared" si="10"/>
        <v>100</v>
      </c>
      <c r="T41" s="1573" t="s">
        <v>8</v>
      </c>
      <c r="U41" s="1574">
        <f t="shared" si="11"/>
        <v>100</v>
      </c>
      <c r="V41" s="1573" t="s">
        <v>8</v>
      </c>
      <c r="W41" s="1574">
        <f t="shared" si="12"/>
        <v>100</v>
      </c>
      <c r="X41" s="1567"/>
      <c r="Y41" s="3439"/>
      <c r="Z41" s="1575" t="str">
        <f t="shared" si="13"/>
        <v>宗地形状</v>
      </c>
      <c r="AA41" s="1576">
        <f t="shared" si="3"/>
        <v>1</v>
      </c>
      <c r="AB41" s="1576">
        <f t="shared" si="4"/>
        <v>1</v>
      </c>
      <c r="AC41" s="1576">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39"/>
      <c r="Q42" s="1572" t="str">
        <f t="shared" si="14"/>
        <v>临街宽度及深度</v>
      </c>
      <c r="R42" s="1573" t="s">
        <v>8</v>
      </c>
      <c r="S42" s="1574">
        <f t="shared" si="10"/>
        <v>100</v>
      </c>
      <c r="T42" s="1573" t="s">
        <v>8</v>
      </c>
      <c r="U42" s="1574">
        <f t="shared" si="11"/>
        <v>100</v>
      </c>
      <c r="V42" s="1573" t="s">
        <v>8</v>
      </c>
      <c r="W42" s="1574">
        <f t="shared" si="12"/>
        <v>100</v>
      </c>
      <c r="X42" s="1567"/>
      <c r="Y42" s="3439"/>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39"/>
      <c r="Q43" s="1572" t="str">
        <f t="shared" si="14"/>
        <v>宗地开发程度</v>
      </c>
      <c r="R43" s="1568" t="s">
        <v>8</v>
      </c>
      <c r="S43" s="1569">
        <f t="shared" si="10"/>
        <v>100</v>
      </c>
      <c r="T43" s="1568" t="s">
        <v>8</v>
      </c>
      <c r="U43" s="1569">
        <f t="shared" si="11"/>
        <v>100</v>
      </c>
      <c r="V43" s="1568" t="s">
        <v>8</v>
      </c>
      <c r="W43" s="1569">
        <f t="shared" si="12"/>
        <v>100</v>
      </c>
      <c r="X43" s="1570"/>
      <c r="Y43" s="3439"/>
      <c r="Z43" s="1150" t="str">
        <f t="shared" si="13"/>
        <v>宗地开发程度</v>
      </c>
      <c r="AA43" s="1571">
        <f t="shared" si="3"/>
        <v>1</v>
      </c>
      <c r="AB43" s="1571">
        <f t="shared" si="4"/>
        <v>1</v>
      </c>
      <c r="AC43" s="1571">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39" t="s">
        <v>549</v>
      </c>
      <c r="Q44" s="1572" t="str">
        <f t="shared" si="14"/>
        <v>工程地质条件</v>
      </c>
      <c r="R44" s="1573" t="s">
        <v>8</v>
      </c>
      <c r="S44" s="1574">
        <f t="shared" si="10"/>
        <v>100</v>
      </c>
      <c r="T44" s="1573" t="s">
        <v>8</v>
      </c>
      <c r="U44" s="1574">
        <f t="shared" si="11"/>
        <v>100</v>
      </c>
      <c r="V44" s="1573" t="s">
        <v>8</v>
      </c>
      <c r="W44" s="1574">
        <f t="shared" si="12"/>
        <v>100</v>
      </c>
      <c r="X44" s="1567"/>
      <c r="Y44" s="3439"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9"/>
      <c r="Q45" s="1572">
        <f t="shared" si="14"/>
        <v>111</v>
      </c>
      <c r="R45" s="1573" t="s">
        <v>8</v>
      </c>
      <c r="S45" s="1574">
        <f t="shared" si="10"/>
        <v>100</v>
      </c>
      <c r="T45" s="1573" t="s">
        <v>8</v>
      </c>
      <c r="U45" s="1574">
        <f t="shared" si="11"/>
        <v>100</v>
      </c>
      <c r="V45" s="1573" t="s">
        <v>8</v>
      </c>
      <c r="W45" s="1574">
        <f t="shared" si="12"/>
        <v>100</v>
      </c>
      <c r="X45" s="1567"/>
      <c r="Y45" s="3439"/>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9"/>
      <c r="Q46" s="1572">
        <f t="shared" si="14"/>
        <v>111</v>
      </c>
      <c r="R46" s="1573" t="s">
        <v>8</v>
      </c>
      <c r="S46" s="1574">
        <f t="shared" si="10"/>
        <v>100</v>
      </c>
      <c r="T46" s="1573" t="s">
        <v>8</v>
      </c>
      <c r="U46" s="1574">
        <f t="shared" si="11"/>
        <v>100</v>
      </c>
      <c r="V46" s="1573" t="s">
        <v>8</v>
      </c>
      <c r="W46" s="1574">
        <f t="shared" si="12"/>
        <v>100</v>
      </c>
      <c r="X46" s="1567"/>
      <c r="Y46" s="3439"/>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9"/>
      <c r="Q47" s="1572">
        <f t="shared" si="14"/>
        <v>111</v>
      </c>
      <c r="R47" s="1577" t="s">
        <v>8</v>
      </c>
      <c r="S47" s="1578">
        <f t="shared" si="10"/>
        <v>100</v>
      </c>
      <c r="T47" s="1577" t="s">
        <v>8</v>
      </c>
      <c r="U47" s="1578">
        <f t="shared" si="11"/>
        <v>100</v>
      </c>
      <c r="V47" s="1577" t="s">
        <v>8</v>
      </c>
      <c r="W47" s="1578">
        <f t="shared" si="12"/>
        <v>100</v>
      </c>
      <c r="X47" s="1579"/>
      <c r="Y47" s="3439"/>
      <c r="Z47" s="1580">
        <f t="shared" si="13"/>
        <v>111</v>
      </c>
      <c r="AA47" s="1576">
        <f t="shared" si="3"/>
        <v>1</v>
      </c>
      <c r="AB47" s="1576">
        <f t="shared" si="4"/>
        <v>1</v>
      </c>
      <c r="AC47" s="1576">
        <f t="shared" si="5"/>
        <v>1</v>
      </c>
    </row>
    <row r="48" spans="1:29" ht="20.25">
      <c r="A48" s="607" t="s">
        <v>555</v>
      </c>
      <c r="B48" s="608" t="s">
        <v>2937</v>
      </c>
      <c r="C48" s="609" t="s">
        <v>1</v>
      </c>
      <c r="D48" s="610"/>
      <c r="E48" s="611"/>
      <c r="F48" s="612"/>
      <c r="G48" s="613"/>
      <c r="H48" s="614"/>
      <c r="I48" s="611"/>
      <c r="J48" s="614"/>
      <c r="K48" s="1340"/>
      <c r="L48" s="2145"/>
      <c r="M48" s="2133"/>
      <c r="N48" s="2133"/>
      <c r="O48" s="2146"/>
      <c r="P48" s="3434" t="str">
        <f>A48</f>
        <v>成交单价</v>
      </c>
      <c r="Q48" s="3434"/>
      <c r="R48" s="3448">
        <f>E48</f>
        <v>0</v>
      </c>
      <c r="S48" s="3448"/>
      <c r="T48" s="3448">
        <f>G48</f>
        <v>0</v>
      </c>
      <c r="U48" s="3448"/>
      <c r="V48" s="3448">
        <f>I48</f>
        <v>0</v>
      </c>
      <c r="W48" s="3448"/>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34" t="str">
        <f>A49</f>
        <v>比较价格（元/平方米）</v>
      </c>
      <c r="Q49" s="3434"/>
      <c r="R49" s="3458" t="e">
        <f>ROUND(PRODUCT(R48,AA9:AA47),0)</f>
        <v>#DIV/0!</v>
      </c>
      <c r="S49" s="3458"/>
      <c r="T49" s="3458" t="e">
        <f>ROUND(PRODUCT(T48,AB9:AB47),0)</f>
        <v>#DIV/0!</v>
      </c>
      <c r="U49" s="3458"/>
      <c r="V49" s="3458" t="e">
        <f>ROUND(PRODUCT(V48,AC9:AC47),0)</f>
        <v>#DIV/0!</v>
      </c>
      <c r="W49" s="3458"/>
      <c r="X49" s="1559"/>
      <c r="Y49" s="1559"/>
      <c r="Z49" s="1559"/>
      <c r="AA49" s="1559"/>
      <c r="AB49" s="1559"/>
      <c r="AC49" s="1559"/>
    </row>
    <row r="50" spans="1:29" ht="21" thickBot="1">
      <c r="A50" s="621" t="s">
        <v>2938</v>
      </c>
      <c r="B50" s="622"/>
      <c r="C50" s="623" t="e">
        <f>R50</f>
        <v>#DIV/0!</v>
      </c>
      <c r="D50" s="623"/>
      <c r="E50" s="623"/>
      <c r="F50" s="623"/>
      <c r="G50" s="623"/>
      <c r="H50" s="623"/>
      <c r="I50" s="623"/>
      <c r="J50" s="623"/>
      <c r="K50" s="1342"/>
      <c r="L50" s="2145"/>
      <c r="M50" s="2133"/>
      <c r="N50" s="2133"/>
      <c r="O50" s="2146"/>
      <c r="P50" s="3455" t="str">
        <f>A50</f>
        <v>估价对象XX用房的比较价格（楼面单价，元/平方米）</v>
      </c>
      <c r="Q50" s="3456"/>
      <c r="R50" s="3457" t="e">
        <f>ROUND(AVERAGE(R49:V49),0)</f>
        <v>#DIV/0!</v>
      </c>
      <c r="S50" s="3457"/>
      <c r="T50" s="3457"/>
      <c r="U50" s="3457"/>
      <c r="V50" s="3457"/>
      <c r="W50" s="345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418" t="s">
        <v>2283</v>
      </c>
      <c r="H57" s="3419"/>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t="e">
        <f>C50</f>
        <v>#DIV/0!</v>
      </c>
      <c r="C58" s="635">
        <v>1</v>
      </c>
      <c r="D58" s="2229">
        <v>1</v>
      </c>
      <c r="E58" s="635">
        <f>'数据-汇总表'!E8+'数据-汇总表'!E9</f>
        <v>59362.400000000001</v>
      </c>
      <c r="F58" s="636" t="e">
        <f t="shared" ref="F58:F67" si="15">ROUND(B58*E58/10000,0)</f>
        <v>#DIV/0!</v>
      </c>
      <c r="G58" s="3420"/>
      <c r="H58" s="3421"/>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t="e">
        <f>ROUND($C$50*C59*D59,0)</f>
        <v>#DIV/0!</v>
      </c>
      <c r="C59" s="378">
        <f t="shared" ref="C59:C67" si="16">IF($C$57="北京市系数",I59,J59)</f>
        <v>0</v>
      </c>
      <c r="D59" s="2230">
        <v>0.25</v>
      </c>
      <c r="E59" s="639">
        <v>0</v>
      </c>
      <c r="F59" s="636" t="e">
        <f t="shared" si="15"/>
        <v>#DIV/0!</v>
      </c>
      <c r="G59" s="3422"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t="e">
        <f t="shared" ref="B60:B67" si="17">ROUND($C$50*C60*D60,0)</f>
        <v>#DIV/0!</v>
      </c>
      <c r="C60" s="378">
        <f t="shared" si="16"/>
        <v>0</v>
      </c>
      <c r="D60" s="2230">
        <v>0.25</v>
      </c>
      <c r="E60" s="639">
        <v>0</v>
      </c>
      <c r="F60" s="636" t="e">
        <f t="shared" si="15"/>
        <v>#DIV/0!</v>
      </c>
      <c r="G60" s="3422"/>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t="e">
        <f t="shared" si="17"/>
        <v>#DIV/0!</v>
      </c>
      <c r="C61" s="378">
        <f t="shared" si="16"/>
        <v>0</v>
      </c>
      <c r="D61" s="2230">
        <v>0.25</v>
      </c>
      <c r="E61" s="639">
        <v>0</v>
      </c>
      <c r="F61" s="636" t="e">
        <f t="shared" si="15"/>
        <v>#DIV/0!</v>
      </c>
      <c r="G61" s="3422"/>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t="e">
        <f t="shared" si="17"/>
        <v>#DIV/0!</v>
      </c>
      <c r="C62" s="378">
        <f t="shared" si="16"/>
        <v>0</v>
      </c>
      <c r="D62" s="2230">
        <v>0.25</v>
      </c>
      <c r="E62" s="639">
        <v>0</v>
      </c>
      <c r="F62" s="636" t="e">
        <f t="shared" si="15"/>
        <v>#DIV/0!</v>
      </c>
      <c r="G62" s="3422"/>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9"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2:F10"/>
  <sheetViews>
    <sheetView workbookViewId="0">
      <selection activeCell="D4" sqref="D4"/>
    </sheetView>
  </sheetViews>
  <sheetFormatPr defaultRowHeight="13.5"/>
  <cols>
    <col min="2" max="2" width="9" customWidth="1"/>
    <col min="3" max="3" width="23" customWidth="1"/>
    <col min="4" max="4" width="13" customWidth="1"/>
  </cols>
  <sheetData>
    <row r="2" spans="2:6" ht="24.75" customHeight="1">
      <c r="B2" s="3459" t="s">
        <v>3148</v>
      </c>
      <c r="C2" s="3459"/>
      <c r="D2" s="3459"/>
    </row>
    <row r="3" spans="2:6" ht="24.75" customHeight="1">
      <c r="B3" s="3239" t="s">
        <v>3149</v>
      </c>
      <c r="C3" s="3239" t="s">
        <v>3150</v>
      </c>
      <c r="D3" s="3239" t="s">
        <v>3153</v>
      </c>
    </row>
    <row r="4" spans="2:6" ht="24.75" customHeight="1">
      <c r="B4" s="3237">
        <v>1</v>
      </c>
      <c r="C4" s="3239" t="s">
        <v>3196</v>
      </c>
      <c r="D4" s="3237">
        <f ca="1">结果表!G19</f>
        <v>199923</v>
      </c>
    </row>
    <row r="5" spans="2:6" ht="24.75" customHeight="1">
      <c r="B5" s="3246">
        <v>2</v>
      </c>
      <c r="C5" s="3245" t="s">
        <v>3197</v>
      </c>
      <c r="D5" s="3246">
        <f ca="1">ROUND(F5*(结果表!G21-基准地价!C30)/10000,0)</f>
        <v>11554</v>
      </c>
      <c r="F5">
        <v>10879.7</v>
      </c>
    </row>
    <row r="6" spans="2:6" ht="24.75" customHeight="1">
      <c r="B6" s="3237">
        <v>3</v>
      </c>
      <c r="C6" s="3239" t="s">
        <v>3152</v>
      </c>
      <c r="D6" s="3243">
        <f>建筑物价格!Q55</f>
        <v>6233.5700000000006</v>
      </c>
    </row>
    <row r="7" spans="2:6" ht="24.75" customHeight="1">
      <c r="B7" s="3237">
        <v>4</v>
      </c>
      <c r="C7" s="3239" t="s">
        <v>3151</v>
      </c>
      <c r="D7" s="3237">
        <f>'附属物价格-树木'!F44</f>
        <v>212.25</v>
      </c>
    </row>
    <row r="8" spans="2:6" ht="24.75" customHeight="1">
      <c r="B8" s="3237">
        <v>5</v>
      </c>
      <c r="C8" s="3237" t="s">
        <v>3146</v>
      </c>
      <c r="D8" s="3237">
        <f>停产停业损失补偿!G9</f>
        <v>1367.6</v>
      </c>
    </row>
    <row r="9" spans="2:6" ht="24.75" customHeight="1">
      <c r="B9" s="3237">
        <v>6</v>
      </c>
      <c r="C9" s="3237" t="s">
        <v>3147</v>
      </c>
      <c r="D9" s="3237">
        <f>搬迁费!D5</f>
        <v>302.37</v>
      </c>
    </row>
    <row r="10" spans="2:6" ht="24.75" customHeight="1">
      <c r="B10" s="3460" t="s">
        <v>3154</v>
      </c>
      <c r="C10" s="3460"/>
      <c r="D10" s="3237">
        <f ca="1">SUM(D4:D9)</f>
        <v>219592.79</v>
      </c>
    </row>
  </sheetData>
  <mergeCells count="2">
    <mergeCell ref="B2:D2"/>
    <mergeCell ref="B10:C10"/>
  </mergeCells>
  <phoneticPr fontId="23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440" t="s">
        <v>521</v>
      </c>
      <c r="D6" s="3441"/>
      <c r="E6" s="3466" t="s">
        <v>522</v>
      </c>
      <c r="F6" s="3467"/>
      <c r="G6" s="3440" t="s">
        <v>523</v>
      </c>
      <c r="H6" s="3441"/>
      <c r="I6" s="3440" t="s">
        <v>524</v>
      </c>
      <c r="J6" s="3441"/>
      <c r="K6" s="514" t="s">
        <v>525</v>
      </c>
      <c r="L6" s="2134"/>
      <c r="M6" s="2135"/>
      <c r="N6" s="2135"/>
      <c r="O6" s="2135"/>
      <c r="P6" s="3442" t="s">
        <v>526</v>
      </c>
      <c r="Q6" s="3443"/>
      <c r="R6" s="3428" t="s">
        <v>522</v>
      </c>
      <c r="S6" s="3429"/>
      <c r="T6" s="3428" t="s">
        <v>523</v>
      </c>
      <c r="U6" s="3429"/>
      <c r="V6" s="3448" t="s">
        <v>524</v>
      </c>
      <c r="W6" s="3448"/>
      <c r="X6" s="1567"/>
      <c r="Y6" s="3428" t="s">
        <v>526</v>
      </c>
      <c r="Z6" s="3429"/>
      <c r="AA6" s="3423" t="s">
        <v>522</v>
      </c>
      <c r="AB6" s="3424" t="s">
        <v>523</v>
      </c>
      <c r="AC6" s="3423" t="s">
        <v>524</v>
      </c>
    </row>
    <row r="7" spans="1:29" ht="15">
      <c r="A7" s="515"/>
      <c r="B7" s="516"/>
      <c r="C7" s="3451" t="s">
        <v>2932</v>
      </c>
      <c r="D7" s="3452"/>
      <c r="E7" s="3468" t="s">
        <v>2933</v>
      </c>
      <c r="F7" s="3469"/>
      <c r="G7" s="3451" t="s">
        <v>2934</v>
      </c>
      <c r="H7" s="3452"/>
      <c r="I7" s="3451" t="s">
        <v>2935</v>
      </c>
      <c r="J7" s="3452"/>
      <c r="K7" s="514"/>
      <c r="L7" s="2134"/>
      <c r="M7" s="2135"/>
      <c r="N7" s="2135"/>
      <c r="O7" s="2135"/>
      <c r="P7" s="3444"/>
      <c r="Q7" s="3445"/>
      <c r="R7" s="3430"/>
      <c r="S7" s="3431"/>
      <c r="T7" s="3430"/>
      <c r="U7" s="3431"/>
      <c r="V7" s="3448"/>
      <c r="W7" s="3448"/>
      <c r="X7" s="1567"/>
      <c r="Y7" s="3430"/>
      <c r="Z7" s="3431"/>
      <c r="AA7" s="3424"/>
      <c r="AB7" s="3424"/>
      <c r="AC7" s="3424"/>
    </row>
    <row r="8" spans="1:29" ht="15.75" thickBot="1">
      <c r="A8" s="517"/>
      <c r="B8" s="518"/>
      <c r="C8" s="3449" t="s">
        <v>2936</v>
      </c>
      <c r="D8" s="3450"/>
      <c r="E8" s="3470" t="s">
        <v>2936</v>
      </c>
      <c r="F8" s="3471"/>
      <c r="G8" s="3449" t="s">
        <v>2936</v>
      </c>
      <c r="H8" s="3450"/>
      <c r="I8" s="3449" t="s">
        <v>2936</v>
      </c>
      <c r="J8" s="3450"/>
      <c r="K8" s="514" t="s">
        <v>527</v>
      </c>
      <c r="L8" s="2134"/>
      <c r="M8" s="2135"/>
      <c r="N8" s="2135"/>
      <c r="O8" s="2135"/>
      <c r="P8" s="3446"/>
      <c r="Q8" s="3447"/>
      <c r="R8" s="3430"/>
      <c r="S8" s="3431"/>
      <c r="T8" s="3432"/>
      <c r="U8" s="3433"/>
      <c r="V8" s="3448"/>
      <c r="W8" s="3448"/>
      <c r="X8" s="1567"/>
      <c r="Y8" s="3432"/>
      <c r="Z8" s="3433"/>
      <c r="AA8" s="3425"/>
      <c r="AB8" s="3425"/>
      <c r="AC8" s="3425"/>
    </row>
    <row r="9" spans="1:29" s="1220" customFormat="1" ht="15.75" thickBot="1">
      <c r="A9" s="2937"/>
      <c r="B9" s="2944" t="s">
        <v>528</v>
      </c>
      <c r="C9" s="519">
        <f>'数据-取费表'!B2</f>
        <v>43222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6" t="s">
        <v>529</v>
      </c>
      <c r="Q9" s="3435"/>
      <c r="R9" s="1568" t="s">
        <v>8</v>
      </c>
      <c r="S9" s="1569">
        <f t="shared" ref="S9:S17" si="0">F9</f>
        <v>0</v>
      </c>
      <c r="T9" s="1568" t="s">
        <v>8</v>
      </c>
      <c r="U9" s="1569">
        <f t="shared" ref="U9:U17" si="1">H9</f>
        <v>0</v>
      </c>
      <c r="V9" s="1568" t="s">
        <v>8</v>
      </c>
      <c r="W9" s="1569">
        <f t="shared" ref="W9:W17" si="2">J9</f>
        <v>0</v>
      </c>
      <c r="X9" s="1570"/>
      <c r="Y9" s="3426" t="s">
        <v>529</v>
      </c>
      <c r="Z9" s="3427"/>
      <c r="AA9" s="1571" t="e">
        <f>D9/F9</f>
        <v>#DIV/0!</v>
      </c>
      <c r="AB9" s="1571" t="e">
        <f>D9/H9</f>
        <v>#DIV/0!</v>
      </c>
      <c r="AC9" s="1571" t="e">
        <f>D9/J9</f>
        <v>#DIV/0!</v>
      </c>
    </row>
    <row r="10" spans="1:29" s="1220" customFormat="1" ht="15.75" thickBot="1">
      <c r="A10" s="2938"/>
      <c r="B10" s="294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6" t="s">
        <v>532</v>
      </c>
      <c r="Q10" s="3427"/>
      <c r="R10" s="1568" t="s">
        <v>8</v>
      </c>
      <c r="S10" s="1569">
        <f t="shared" si="0"/>
        <v>0</v>
      </c>
      <c r="T10" s="1568" t="s">
        <v>8</v>
      </c>
      <c r="U10" s="1569">
        <f t="shared" si="1"/>
        <v>0</v>
      </c>
      <c r="V10" s="1568" t="s">
        <v>8</v>
      </c>
      <c r="W10" s="1569">
        <f t="shared" si="2"/>
        <v>0</v>
      </c>
      <c r="X10" s="1570"/>
      <c r="Y10" s="3426" t="s">
        <v>532</v>
      </c>
      <c r="Z10" s="3427"/>
      <c r="AA10" s="1571" t="e">
        <f t="shared" ref="AA10:AA42" si="3">D10/F10</f>
        <v>#DIV/0!</v>
      </c>
      <c r="AB10" s="1571" t="e">
        <f t="shared" ref="AB10:AB42" si="4">D10/H10</f>
        <v>#DIV/0!</v>
      </c>
      <c r="AC10" s="1571" t="e">
        <f t="shared" ref="AC10:AC42" si="5">D10/J10</f>
        <v>#DIV/0!</v>
      </c>
    </row>
    <row r="11" spans="1:29" s="1220" customFormat="1" ht="15">
      <c r="A11" s="2939"/>
      <c r="B11" s="2946"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34" t="s">
        <v>534</v>
      </c>
      <c r="Q11" s="1151" t="str">
        <f t="shared" ref="Q11:Q17" si="6">B11</f>
        <v>用途</v>
      </c>
      <c r="R11" s="1568" t="s">
        <v>8</v>
      </c>
      <c r="S11" s="1569">
        <f t="shared" si="0"/>
        <v>100</v>
      </c>
      <c r="T11" s="1568" t="s">
        <v>8</v>
      </c>
      <c r="U11" s="1569">
        <f t="shared" si="1"/>
        <v>100</v>
      </c>
      <c r="V11" s="1568" t="s">
        <v>8</v>
      </c>
      <c r="W11" s="1569">
        <f t="shared" si="2"/>
        <v>100</v>
      </c>
      <c r="X11" s="1570"/>
      <c r="Y11" s="3391" t="s">
        <v>535</v>
      </c>
      <c r="Z11" s="1150" t="str">
        <f t="shared" ref="Z11:Z17" si="7">Q11</f>
        <v>用途</v>
      </c>
      <c r="AA11" s="1571">
        <f t="shared" si="3"/>
        <v>1</v>
      </c>
      <c r="AB11" s="1571">
        <f t="shared" si="4"/>
        <v>1</v>
      </c>
      <c r="AC11" s="1571">
        <f t="shared" si="5"/>
        <v>1</v>
      </c>
    </row>
    <row r="12" spans="1:29" s="1338" customFormat="1" ht="27">
      <c r="A12" s="2940"/>
      <c r="B12" s="2945" t="s">
        <v>2760</v>
      </c>
      <c r="C12" s="528"/>
      <c r="D12" s="255">
        <v>100</v>
      </c>
      <c r="E12" s="528"/>
      <c r="F12" s="255">
        <f>ROUND(100/'数据-取费表'!G16,0)</f>
        <v>135</v>
      </c>
      <c r="G12" s="528"/>
      <c r="H12" s="255">
        <f>ROUND(100/'数据-取费表'!G16,0)</f>
        <v>135</v>
      </c>
      <c r="I12" s="528"/>
      <c r="J12" s="255">
        <f>ROUND(100/'数据-取费表'!G16,0)</f>
        <v>135</v>
      </c>
      <c r="K12" s="531"/>
      <c r="L12" s="2139"/>
      <c r="M12" s="2179"/>
      <c r="N12" s="2179"/>
      <c r="O12" s="2140"/>
      <c r="P12" s="3434"/>
      <c r="Q12" s="1151" t="str">
        <f t="shared" si="6"/>
        <v>土地使用年限（年）</v>
      </c>
      <c r="R12" s="1568" t="s">
        <v>8</v>
      </c>
      <c r="S12" s="1569">
        <f t="shared" si="0"/>
        <v>135</v>
      </c>
      <c r="T12" s="1568" t="s">
        <v>8</v>
      </c>
      <c r="U12" s="1569">
        <f t="shared" si="1"/>
        <v>135</v>
      </c>
      <c r="V12" s="1568" t="s">
        <v>8</v>
      </c>
      <c r="W12" s="1569">
        <f t="shared" si="2"/>
        <v>135</v>
      </c>
      <c r="X12" s="1570"/>
      <c r="Y12" s="3391"/>
      <c r="Z12" s="1150" t="str">
        <f t="shared" si="7"/>
        <v>土地使用年限（年）</v>
      </c>
      <c r="AA12" s="1571">
        <f t="shared" si="3"/>
        <v>0.7407407407407407</v>
      </c>
      <c r="AB12" s="1571">
        <f t="shared" si="4"/>
        <v>0.7407407407407407</v>
      </c>
      <c r="AC12" s="1571">
        <f t="shared" si="5"/>
        <v>0.7407407407407407</v>
      </c>
    </row>
    <row r="13" spans="1:29" ht="15">
      <c r="A13" s="2941"/>
      <c r="B13" s="2945"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34"/>
      <c r="Q13" s="1151" t="str">
        <f t="shared" si="6"/>
        <v>容积率</v>
      </c>
      <c r="R13" s="1568" t="s">
        <v>8</v>
      </c>
      <c r="S13" s="1569" t="e">
        <f t="shared" si="0"/>
        <v>#N/A</v>
      </c>
      <c r="T13" s="1568" t="s">
        <v>8</v>
      </c>
      <c r="U13" s="1569" t="e">
        <f t="shared" si="1"/>
        <v>#N/A</v>
      </c>
      <c r="V13" s="1568" t="s">
        <v>8</v>
      </c>
      <c r="W13" s="1569" t="e">
        <f t="shared" si="2"/>
        <v>#N/A</v>
      </c>
      <c r="X13" s="1570"/>
      <c r="Y13" s="3391"/>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34"/>
      <c r="Q14" s="1151">
        <f t="shared" si="6"/>
        <v>111</v>
      </c>
      <c r="R14" s="1568" t="s">
        <v>8</v>
      </c>
      <c r="S14" s="1569">
        <f t="shared" si="0"/>
        <v>100</v>
      </c>
      <c r="T14" s="1568" t="s">
        <v>8</v>
      </c>
      <c r="U14" s="1569">
        <f t="shared" si="1"/>
        <v>100</v>
      </c>
      <c r="V14" s="1568" t="s">
        <v>8</v>
      </c>
      <c r="W14" s="1569">
        <f t="shared" si="2"/>
        <v>100</v>
      </c>
      <c r="X14" s="1570"/>
      <c r="Y14" s="3391"/>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34"/>
      <c r="Q15" s="1151">
        <f t="shared" si="6"/>
        <v>111</v>
      </c>
      <c r="R15" s="1568" t="s">
        <v>8</v>
      </c>
      <c r="S15" s="1569">
        <f t="shared" si="0"/>
        <v>100</v>
      </c>
      <c r="T15" s="1568" t="s">
        <v>8</v>
      </c>
      <c r="U15" s="1569">
        <f t="shared" si="1"/>
        <v>100</v>
      </c>
      <c r="V15" s="1568" t="s">
        <v>8</v>
      </c>
      <c r="W15" s="1569">
        <f t="shared" si="2"/>
        <v>100</v>
      </c>
      <c r="X15" s="1570"/>
      <c r="Y15" s="3391"/>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34"/>
      <c r="Q16" s="1151">
        <f t="shared" si="6"/>
        <v>111</v>
      </c>
      <c r="R16" s="1568" t="s">
        <v>8</v>
      </c>
      <c r="S16" s="1569">
        <f t="shared" si="0"/>
        <v>100</v>
      </c>
      <c r="T16" s="1568" t="s">
        <v>8</v>
      </c>
      <c r="U16" s="1569">
        <f t="shared" si="1"/>
        <v>100</v>
      </c>
      <c r="V16" s="1568" t="s">
        <v>8</v>
      </c>
      <c r="W16" s="1569">
        <f t="shared" si="2"/>
        <v>100</v>
      </c>
      <c r="X16" s="1570"/>
      <c r="Y16" s="3391"/>
      <c r="Z16" s="1150">
        <f t="shared" si="7"/>
        <v>111</v>
      </c>
      <c r="AA16" s="1571">
        <f t="shared" si="3"/>
        <v>1</v>
      </c>
      <c r="AB16" s="1571">
        <f t="shared" si="4"/>
        <v>1</v>
      </c>
      <c r="AC16" s="1571">
        <f t="shared" si="5"/>
        <v>1</v>
      </c>
    </row>
    <row r="17" spans="1:29" ht="57">
      <c r="A17" s="2935" t="s">
        <v>2757</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6" t="s">
        <v>539</v>
      </c>
      <c r="Q17" s="1572" t="str">
        <f t="shared" si="6"/>
        <v>产业集聚程度</v>
      </c>
      <c r="R17" s="1573" t="s">
        <v>8</v>
      </c>
      <c r="S17" s="1574">
        <f t="shared" si="0"/>
        <v>100</v>
      </c>
      <c r="T17" s="1573" t="s">
        <v>8</v>
      </c>
      <c r="U17" s="1574">
        <f t="shared" si="1"/>
        <v>100</v>
      </c>
      <c r="V17" s="1573" t="s">
        <v>8</v>
      </c>
      <c r="W17" s="1574">
        <f t="shared" si="2"/>
        <v>100</v>
      </c>
      <c r="X17" s="1567"/>
      <c r="Y17" s="3436"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7"/>
      <c r="Q18" s="1572"/>
      <c r="R18" s="1573"/>
      <c r="S18" s="1574"/>
      <c r="T18" s="1573"/>
      <c r="U18" s="1574"/>
      <c r="V18" s="1573"/>
      <c r="W18" s="1574"/>
      <c r="X18" s="1567"/>
      <c r="Y18" s="3437"/>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7"/>
      <c r="Q19" s="1572" t="str">
        <f>B19</f>
        <v>交通便捷度</v>
      </c>
      <c r="R19" s="1573" t="s">
        <v>8</v>
      </c>
      <c r="S19" s="1574">
        <f>F19</f>
        <v>100</v>
      </c>
      <c r="T19" s="1573" t="s">
        <v>8</v>
      </c>
      <c r="U19" s="1574">
        <f>H19</f>
        <v>100</v>
      </c>
      <c r="V19" s="1573" t="s">
        <v>8</v>
      </c>
      <c r="W19" s="1574">
        <f>J19</f>
        <v>100</v>
      </c>
      <c r="X19" s="1567"/>
      <c r="Y19" s="3437"/>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37"/>
      <c r="Q20" s="1572"/>
      <c r="R20" s="1573"/>
      <c r="S20" s="1574"/>
      <c r="T20" s="1573"/>
      <c r="U20" s="1574"/>
      <c r="V20" s="1573"/>
      <c r="W20" s="1574"/>
      <c r="X20" s="1567"/>
      <c r="Y20" s="3437"/>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37"/>
      <c r="Q21" s="1572" t="str">
        <f t="shared" ref="Q21:Q35" si="8">B21</f>
        <v>区域土地利用方向</v>
      </c>
      <c r="R21" s="1573" t="s">
        <v>8</v>
      </c>
      <c r="S21" s="1574">
        <f>F21</f>
        <v>100</v>
      </c>
      <c r="T21" s="1573" t="s">
        <v>8</v>
      </c>
      <c r="U21" s="1574">
        <f>H21</f>
        <v>100</v>
      </c>
      <c r="V21" s="1573" t="s">
        <v>8</v>
      </c>
      <c r="W21" s="1574">
        <f>J21</f>
        <v>100</v>
      </c>
      <c r="X21" s="1567"/>
      <c r="Y21" s="3437"/>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37"/>
      <c r="Q22" s="1572"/>
      <c r="R22" s="1573"/>
      <c r="S22" s="1574"/>
      <c r="T22" s="1573"/>
      <c r="U22" s="1574"/>
      <c r="V22" s="1573"/>
      <c r="W22" s="1574"/>
      <c r="X22" s="1567"/>
      <c r="Y22" s="3437"/>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7"/>
      <c r="Q23" s="1572" t="str">
        <f t="shared" si="8"/>
        <v>环境状况</v>
      </c>
      <c r="R23" s="1573" t="s">
        <v>8</v>
      </c>
      <c r="S23" s="1574">
        <f>F23</f>
        <v>100</v>
      </c>
      <c r="T23" s="1573" t="s">
        <v>8</v>
      </c>
      <c r="U23" s="1574">
        <f>H23</f>
        <v>100</v>
      </c>
      <c r="V23" s="1573" t="s">
        <v>8</v>
      </c>
      <c r="W23" s="1574">
        <f>J23</f>
        <v>100</v>
      </c>
      <c r="X23" s="1567"/>
      <c r="Y23" s="3437"/>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7"/>
      <c r="Q24" s="1572"/>
      <c r="R24" s="1573"/>
      <c r="S24" s="1574"/>
      <c r="T24" s="1573"/>
      <c r="U24" s="1574"/>
      <c r="V24" s="1573"/>
      <c r="W24" s="1574"/>
      <c r="X24" s="1567"/>
      <c r="Y24" s="3437"/>
      <c r="Z24" s="1575"/>
      <c r="AA24" s="1576">
        <v>1</v>
      </c>
      <c r="AB24" s="1576">
        <v>1</v>
      </c>
      <c r="AC24" s="1576">
        <v>1</v>
      </c>
    </row>
    <row r="25" spans="1:29" s="1220" customFormat="1" ht="42.75">
      <c r="A25" s="577"/>
      <c r="B25" s="2618"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7"/>
      <c r="Q25" s="1151" t="str">
        <f t="shared" si="8"/>
        <v>公共配套设施</v>
      </c>
      <c r="R25" s="1568" t="s">
        <v>8</v>
      </c>
      <c r="S25" s="1569">
        <f>F25</f>
        <v>100</v>
      </c>
      <c r="T25" s="1568" t="s">
        <v>8</v>
      </c>
      <c r="U25" s="1569">
        <f>H25</f>
        <v>100</v>
      </c>
      <c r="V25" s="1568" t="s">
        <v>8</v>
      </c>
      <c r="W25" s="1569">
        <f>J25</f>
        <v>100</v>
      </c>
      <c r="X25" s="1570"/>
      <c r="Y25" s="3437"/>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37"/>
      <c r="Q26" s="1151"/>
      <c r="R26" s="1568"/>
      <c r="S26" s="1569"/>
      <c r="T26" s="1568"/>
      <c r="U26" s="1569"/>
      <c r="V26" s="1568"/>
      <c r="W26" s="1569"/>
      <c r="X26" s="1570"/>
      <c r="Y26" s="3437"/>
      <c r="Z26" s="1150"/>
      <c r="AA26" s="1571">
        <v>1</v>
      </c>
      <c r="AB26" s="1571">
        <v>1</v>
      </c>
      <c r="AC26" s="1571">
        <v>1</v>
      </c>
    </row>
    <row r="27" spans="1:29" s="1220" customFormat="1" ht="28.5">
      <c r="A27" s="577"/>
      <c r="B27" s="2618"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7"/>
      <c r="Q27" s="2603" t="str">
        <f t="shared" ref="Q27" si="9">B27</f>
        <v>基础设施水平</v>
      </c>
      <c r="R27" s="1568" t="s">
        <v>8</v>
      </c>
      <c r="S27" s="1569">
        <f>F27</f>
        <v>100</v>
      </c>
      <c r="T27" s="1568" t="s">
        <v>8</v>
      </c>
      <c r="U27" s="1569">
        <f>H27</f>
        <v>100</v>
      </c>
      <c r="V27" s="1568" t="s">
        <v>8</v>
      </c>
      <c r="W27" s="1569">
        <f>J27</f>
        <v>100</v>
      </c>
      <c r="X27" s="1570"/>
      <c r="Y27" s="3437"/>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37"/>
      <c r="Q28" s="2603"/>
      <c r="R28" s="1568"/>
      <c r="S28" s="1569"/>
      <c r="T28" s="1568"/>
      <c r="U28" s="1569"/>
      <c r="V28" s="1568"/>
      <c r="W28" s="1569"/>
      <c r="X28" s="1570"/>
      <c r="Y28" s="3437"/>
      <c r="Z28" s="2600"/>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7"/>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7"/>
      <c r="Z29" s="1575" t="str">
        <f t="shared" ref="Z29:Z42" si="13">Q29</f>
        <v>临街状况</v>
      </c>
      <c r="AA29" s="1576">
        <f t="shared" si="3"/>
        <v>1</v>
      </c>
      <c r="AB29" s="1576">
        <f t="shared" si="4"/>
        <v>1</v>
      </c>
      <c r="AC29" s="1576">
        <f t="shared" si="5"/>
        <v>1</v>
      </c>
    </row>
    <row r="30" spans="1:29" ht="27">
      <c r="A30" s="532"/>
      <c r="B30" s="922" t="s">
        <v>547</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7"/>
      <c r="Q30" s="1572" t="str">
        <f t="shared" si="8"/>
        <v>毗邻道路的类型与等级</v>
      </c>
      <c r="R30" s="1573" t="s">
        <v>8</v>
      </c>
      <c r="S30" s="1574">
        <f t="shared" si="10"/>
        <v>100</v>
      </c>
      <c r="T30" s="1573" t="s">
        <v>8</v>
      </c>
      <c r="U30" s="1574">
        <f t="shared" si="11"/>
        <v>100</v>
      </c>
      <c r="V30" s="1573" t="s">
        <v>8</v>
      </c>
      <c r="W30" s="1574">
        <f t="shared" si="12"/>
        <v>100</v>
      </c>
      <c r="X30" s="1567"/>
      <c r="Y30" s="3437"/>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7"/>
      <c r="Q31" s="1572"/>
      <c r="R31" s="1573"/>
      <c r="S31" s="1574"/>
      <c r="T31" s="1573"/>
      <c r="U31" s="1574"/>
      <c r="V31" s="1573"/>
      <c r="W31" s="1574"/>
      <c r="X31" s="1567"/>
      <c r="Y31" s="3437"/>
      <c r="Z31" s="1575"/>
      <c r="AA31" s="1576">
        <v>1</v>
      </c>
      <c r="AB31" s="1576">
        <v>1</v>
      </c>
      <c r="AC31" s="1576">
        <v>1</v>
      </c>
    </row>
    <row r="32" spans="1:29" ht="15">
      <c r="A32" s="532"/>
      <c r="B32" s="527" t="s">
        <v>548</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7"/>
      <c r="Q32" s="1572" t="str">
        <f t="shared" si="8"/>
        <v>土地级别</v>
      </c>
      <c r="R32" s="1573" t="s">
        <v>8</v>
      </c>
      <c r="S32" s="1574">
        <f t="shared" si="10"/>
        <v>100</v>
      </c>
      <c r="T32" s="1573" t="s">
        <v>8</v>
      </c>
      <c r="U32" s="1574">
        <f t="shared" si="11"/>
        <v>100</v>
      </c>
      <c r="V32" s="1573" t="s">
        <v>8</v>
      </c>
      <c r="W32" s="1574">
        <f t="shared" si="12"/>
        <v>100</v>
      </c>
      <c r="X32" s="1567"/>
      <c r="Y32" s="3437"/>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7"/>
      <c r="Q33" s="1572">
        <f t="shared" si="8"/>
        <v>111</v>
      </c>
      <c r="R33" s="1573" t="s">
        <v>8</v>
      </c>
      <c r="S33" s="1574">
        <f t="shared" si="10"/>
        <v>100</v>
      </c>
      <c r="T33" s="1573" t="s">
        <v>8</v>
      </c>
      <c r="U33" s="1574">
        <f t="shared" si="11"/>
        <v>100</v>
      </c>
      <c r="V33" s="1573" t="s">
        <v>8</v>
      </c>
      <c r="W33" s="1574">
        <f t="shared" si="12"/>
        <v>100</v>
      </c>
      <c r="X33" s="1567"/>
      <c r="Y33" s="3437"/>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8" t="s">
        <v>549</v>
      </c>
      <c r="Q34" s="1572">
        <f t="shared" si="8"/>
        <v>111</v>
      </c>
      <c r="R34" s="1573" t="s">
        <v>8</v>
      </c>
      <c r="S34" s="1574">
        <f t="shared" si="10"/>
        <v>100</v>
      </c>
      <c r="T34" s="1573" t="s">
        <v>8</v>
      </c>
      <c r="U34" s="1574">
        <f t="shared" si="11"/>
        <v>100</v>
      </c>
      <c r="V34" s="1573" t="s">
        <v>8</v>
      </c>
      <c r="W34" s="1574">
        <f t="shared" si="12"/>
        <v>100</v>
      </c>
      <c r="X34" s="1567"/>
      <c r="Y34" s="3439" t="s">
        <v>549</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9"/>
      <c r="Q35" s="1572">
        <f t="shared" si="8"/>
        <v>111</v>
      </c>
      <c r="R35" s="1577" t="s">
        <v>8</v>
      </c>
      <c r="S35" s="1578">
        <f t="shared" si="10"/>
        <v>100</v>
      </c>
      <c r="T35" s="1577" t="s">
        <v>8</v>
      </c>
      <c r="U35" s="1578">
        <f t="shared" si="11"/>
        <v>100</v>
      </c>
      <c r="V35" s="1577" t="s">
        <v>8</v>
      </c>
      <c r="W35" s="1578">
        <f t="shared" si="12"/>
        <v>100</v>
      </c>
      <c r="X35" s="1579"/>
      <c r="Y35" s="3439"/>
      <c r="Z35" s="1580">
        <f t="shared" si="13"/>
        <v>111</v>
      </c>
      <c r="AA35" s="1576">
        <f t="shared" si="3"/>
        <v>1</v>
      </c>
      <c r="AB35" s="1576">
        <f t="shared" si="4"/>
        <v>1</v>
      </c>
      <c r="AC35" s="1576">
        <f t="shared" si="5"/>
        <v>1</v>
      </c>
    </row>
    <row r="36" spans="1:29" ht="15">
      <c r="A36" s="2932" t="s">
        <v>2758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9"/>
      <c r="Q36" s="1572" t="str">
        <f>B36</f>
        <v>宗地面积</v>
      </c>
      <c r="R36" s="1573" t="s">
        <v>8</v>
      </c>
      <c r="S36" s="1574" t="e">
        <f t="shared" si="10"/>
        <v>#N/A</v>
      </c>
      <c r="T36" s="1573" t="s">
        <v>8</v>
      </c>
      <c r="U36" s="1574" t="e">
        <f t="shared" si="11"/>
        <v>#N/A</v>
      </c>
      <c r="V36" s="1573" t="s">
        <v>8</v>
      </c>
      <c r="W36" s="1574" t="e">
        <f t="shared" si="12"/>
        <v>#N/A</v>
      </c>
      <c r="X36" s="1567"/>
      <c r="Y36" s="3439"/>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9"/>
      <c r="Q37" s="1572" t="str">
        <f t="shared" ref="Q37:Q42" si="14">B37</f>
        <v>宗地形状</v>
      </c>
      <c r="R37" s="1573" t="s">
        <v>8</v>
      </c>
      <c r="S37" s="1574">
        <f t="shared" si="10"/>
        <v>100</v>
      </c>
      <c r="T37" s="1573" t="s">
        <v>8</v>
      </c>
      <c r="U37" s="1574">
        <f t="shared" si="11"/>
        <v>100</v>
      </c>
      <c r="V37" s="1573" t="s">
        <v>8</v>
      </c>
      <c r="W37" s="1574">
        <f t="shared" si="12"/>
        <v>100</v>
      </c>
      <c r="X37" s="1567"/>
      <c r="Y37" s="3439"/>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9"/>
      <c r="Q38" s="1572" t="str">
        <f t="shared" si="14"/>
        <v>宗地开发程度</v>
      </c>
      <c r="R38" s="1568" t="s">
        <v>8</v>
      </c>
      <c r="S38" s="1569">
        <f t="shared" si="10"/>
        <v>100</v>
      </c>
      <c r="T38" s="1568" t="s">
        <v>8</v>
      </c>
      <c r="U38" s="1569">
        <f t="shared" si="11"/>
        <v>100</v>
      </c>
      <c r="V38" s="1568" t="s">
        <v>8</v>
      </c>
      <c r="W38" s="1569">
        <f t="shared" si="12"/>
        <v>100</v>
      </c>
      <c r="X38" s="1570"/>
      <c r="Y38" s="3439"/>
      <c r="Z38" s="1150"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9" t="s">
        <v>600</v>
      </c>
      <c r="Q39" s="1572" t="str">
        <f t="shared" si="14"/>
        <v>工程地质条件</v>
      </c>
      <c r="R39" s="1573" t="s">
        <v>8</v>
      </c>
      <c r="S39" s="1574">
        <f t="shared" si="10"/>
        <v>100</v>
      </c>
      <c r="T39" s="1573" t="s">
        <v>8</v>
      </c>
      <c r="U39" s="1574">
        <f t="shared" si="11"/>
        <v>100</v>
      </c>
      <c r="V39" s="1573" t="s">
        <v>8</v>
      </c>
      <c r="W39" s="1574">
        <f t="shared" si="12"/>
        <v>100</v>
      </c>
      <c r="X39" s="1567"/>
      <c r="Y39" s="3439"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9"/>
      <c r="Q40" s="1572">
        <f t="shared" si="14"/>
        <v>111</v>
      </c>
      <c r="R40" s="1573" t="s">
        <v>8</v>
      </c>
      <c r="S40" s="1574">
        <f t="shared" si="10"/>
        <v>100</v>
      </c>
      <c r="T40" s="1573" t="s">
        <v>8</v>
      </c>
      <c r="U40" s="1574">
        <f t="shared" si="11"/>
        <v>100</v>
      </c>
      <c r="V40" s="1573" t="s">
        <v>8</v>
      </c>
      <c r="W40" s="1574">
        <f t="shared" si="12"/>
        <v>100</v>
      </c>
      <c r="X40" s="1567"/>
      <c r="Y40" s="3439"/>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9"/>
      <c r="Q41" s="1572">
        <f t="shared" si="14"/>
        <v>111</v>
      </c>
      <c r="R41" s="1573" t="s">
        <v>8</v>
      </c>
      <c r="S41" s="1574">
        <f t="shared" si="10"/>
        <v>100</v>
      </c>
      <c r="T41" s="1573" t="s">
        <v>8</v>
      </c>
      <c r="U41" s="1574">
        <f t="shared" si="11"/>
        <v>100</v>
      </c>
      <c r="V41" s="1573" t="s">
        <v>8</v>
      </c>
      <c r="W41" s="1574">
        <f t="shared" si="12"/>
        <v>100</v>
      </c>
      <c r="X41" s="1567"/>
      <c r="Y41" s="3439"/>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9"/>
      <c r="Q42" s="1572">
        <f t="shared" si="14"/>
        <v>111</v>
      </c>
      <c r="R42" s="1577" t="s">
        <v>8</v>
      </c>
      <c r="S42" s="1578">
        <f t="shared" si="10"/>
        <v>100</v>
      </c>
      <c r="T42" s="1577" t="s">
        <v>8</v>
      </c>
      <c r="U42" s="1578">
        <f t="shared" si="11"/>
        <v>100</v>
      </c>
      <c r="V42" s="1577" t="s">
        <v>8</v>
      </c>
      <c r="W42" s="1578">
        <f t="shared" si="12"/>
        <v>100</v>
      </c>
      <c r="X42" s="1579"/>
      <c r="Y42" s="3439"/>
      <c r="Z42" s="1580">
        <f t="shared" si="13"/>
        <v>111</v>
      </c>
      <c r="AA42" s="1576">
        <f t="shared" si="3"/>
        <v>1</v>
      </c>
      <c r="AB42" s="1576">
        <f t="shared" si="4"/>
        <v>1</v>
      </c>
      <c r="AC42" s="1576">
        <f t="shared" si="5"/>
        <v>1</v>
      </c>
    </row>
    <row r="43" spans="1:29" ht="15">
      <c r="A43" s="607" t="s">
        <v>555</v>
      </c>
      <c r="B43" s="608" t="s">
        <v>2937</v>
      </c>
      <c r="C43" s="609" t="s">
        <v>1</v>
      </c>
      <c r="D43" s="610"/>
      <c r="E43" s="611"/>
      <c r="F43" s="612"/>
      <c r="G43" s="613"/>
      <c r="H43" s="614"/>
      <c r="I43" s="611"/>
      <c r="J43" s="614"/>
      <c r="K43" s="1340"/>
      <c r="L43" s="2145"/>
      <c r="M43" s="2135"/>
      <c r="N43" s="2135"/>
      <c r="O43" s="2146"/>
      <c r="P43" s="3434" t="str">
        <f>A43</f>
        <v>成交单价</v>
      </c>
      <c r="Q43" s="3434"/>
      <c r="R43" s="3448">
        <f>E43</f>
        <v>0</v>
      </c>
      <c r="S43" s="3448"/>
      <c r="T43" s="3448">
        <f>G43</f>
        <v>0</v>
      </c>
      <c r="U43" s="3448"/>
      <c r="V43" s="3448">
        <f>I43</f>
        <v>0</v>
      </c>
      <c r="W43" s="3448"/>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34" t="str">
        <f>A44</f>
        <v>比较价格（元/平方米）</v>
      </c>
      <c r="Q44" s="3434"/>
      <c r="R44" s="3458" t="e">
        <f>ROUND(PRODUCT(R43,AA9:AA42),0)</f>
        <v>#DIV/0!</v>
      </c>
      <c r="S44" s="3458"/>
      <c r="T44" s="3458" t="e">
        <f>ROUND(PRODUCT(T43,AB9:AB42),0)</f>
        <v>#DIV/0!</v>
      </c>
      <c r="U44" s="3458"/>
      <c r="V44" s="3458" t="e">
        <f>ROUND(PRODUCT(V43,AC9:AC42),0)</f>
        <v>#DIV/0!</v>
      </c>
      <c r="W44" s="3458"/>
      <c r="X44" s="1559"/>
      <c r="Y44" s="1559"/>
      <c r="Z44" s="1559"/>
      <c r="AA44" s="1559"/>
      <c r="AB44" s="1559"/>
      <c r="AC44" s="1559"/>
    </row>
    <row r="45" spans="1:29" ht="15.75" thickBot="1">
      <c r="A45" s="621" t="s">
        <v>2938</v>
      </c>
      <c r="B45" s="622"/>
      <c r="C45" s="623" t="e">
        <f>R45</f>
        <v>#DIV/0!</v>
      </c>
      <c r="D45" s="623"/>
      <c r="E45" s="623"/>
      <c r="F45" s="623"/>
      <c r="G45" s="623"/>
      <c r="H45" s="623"/>
      <c r="I45" s="623"/>
      <c r="J45" s="623"/>
      <c r="K45" s="1342"/>
      <c r="L45" s="2145"/>
      <c r="M45" s="2135"/>
      <c r="N45" s="2135"/>
      <c r="O45" s="2146"/>
      <c r="P45" s="3455" t="str">
        <f>A45</f>
        <v>估价对象XX用房的比较价格（楼面单价，元/平方米）</v>
      </c>
      <c r="Q45" s="3456"/>
      <c r="R45" s="3457" t="e">
        <f>ROUND(AVERAGE(R44:V44),0)</f>
        <v>#DIV/0!</v>
      </c>
      <c r="S45" s="3457"/>
      <c r="T45" s="3457"/>
      <c r="U45" s="3457"/>
      <c r="V45" s="3457"/>
      <c r="W45" s="345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461" t="s">
        <v>2286</v>
      </c>
      <c r="H52" s="3462"/>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t="e">
        <f>C45</f>
        <v>#DIV/0!</v>
      </c>
      <c r="C53" s="635">
        <v>1</v>
      </c>
      <c r="D53" s="2229">
        <v>1</v>
      </c>
      <c r="E53" s="635">
        <f>'数据-汇总表'!E8+'数据-汇总表'!E9</f>
        <v>59362.400000000001</v>
      </c>
      <c r="F53" s="1951" t="e">
        <f t="shared" ref="F53:F62" si="15">ROUND(B53*E53/10000,0)</f>
        <v>#DIV/0!</v>
      </c>
      <c r="G53" s="3463"/>
      <c r="H53" s="3464"/>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t="e">
        <f>ROUND($C$45*C54*D54,0)</f>
        <v>#DIV/0!</v>
      </c>
      <c r="C54" s="378">
        <f t="shared" ref="C54:C62" si="16">IF($C$52="北京市系数",I54,J54)</f>
        <v>0</v>
      </c>
      <c r="D54" s="2230">
        <v>0.25</v>
      </c>
      <c r="E54" s="639"/>
      <c r="F54" s="1951" t="e">
        <f t="shared" si="15"/>
        <v>#DIV/0!</v>
      </c>
      <c r="G54" s="3465"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t="e">
        <f t="shared" ref="B55:B62" si="17">ROUND($C$45*C55*D55,0)</f>
        <v>#DIV/0!</v>
      </c>
      <c r="C55" s="378">
        <f t="shared" si="16"/>
        <v>0</v>
      </c>
      <c r="D55" s="2230">
        <v>0.25</v>
      </c>
      <c r="E55" s="639"/>
      <c r="F55" s="1951" t="e">
        <f t="shared" si="15"/>
        <v>#DIV/0!</v>
      </c>
      <c r="G55" s="3465"/>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t="e">
        <f t="shared" si="17"/>
        <v>#DIV/0!</v>
      </c>
      <c r="C56" s="378">
        <f t="shared" si="16"/>
        <v>0</v>
      </c>
      <c r="D56" s="2230">
        <v>0.25</v>
      </c>
      <c r="E56" s="639"/>
      <c r="F56" s="1951" t="e">
        <f t="shared" si="15"/>
        <v>#DIV/0!</v>
      </c>
      <c r="G56" s="3465"/>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t="e">
        <f t="shared" si="17"/>
        <v>#DIV/0!</v>
      </c>
      <c r="C57" s="378">
        <f t="shared" si="16"/>
        <v>0</v>
      </c>
      <c r="D57" s="2230">
        <v>0.25</v>
      </c>
      <c r="E57" s="639"/>
      <c r="F57" s="1951" t="e">
        <f t="shared" si="15"/>
        <v>#DIV/0!</v>
      </c>
      <c r="G57" s="3465"/>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v>
      </c>
      <c r="D58" s="2230">
        <v>0.25</v>
      </c>
      <c r="E58" s="641">
        <f>'数据-汇总表'!E11</f>
        <v>0</v>
      </c>
      <c r="F58" s="1951" t="e">
        <f t="shared" si="15"/>
        <v>#DIV/0!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t="e">
        <f t="shared" si="17"/>
        <v>#DIV/0!</v>
      </c>
      <c r="C61" s="378">
        <f t="shared" si="16"/>
        <v>0</v>
      </c>
      <c r="D61" s="2230">
        <v>0.25</v>
      </c>
      <c r="E61" s="641">
        <f>'数据-汇总表'!E14</f>
        <v>0</v>
      </c>
      <c r="F61" s="1951" t="e">
        <f t="shared" si="15"/>
        <v>#DIV/0!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t="e">
        <f t="shared" si="17"/>
        <v>#DIV/0!</v>
      </c>
      <c r="C62" s="378">
        <f t="shared" si="16"/>
        <v>0</v>
      </c>
      <c r="D62" s="2230">
        <v>0.25</v>
      </c>
      <c r="E62" s="641">
        <f>'数据-汇总表'!E15</f>
        <v>0</v>
      </c>
      <c r="F62" s="1951" t="e">
        <f t="shared" si="15"/>
        <v>#DIV/0!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182153.37</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2652</v>
      </c>
      <c r="B68" s="479" t="str">
        <f>"北京市平均增长率"&amp;TEXT(基准地价!P24,"0.00%")</f>
        <v>北京市平均增长率1.35%</v>
      </c>
      <c r="C68" s="894">
        <v>100</v>
      </c>
      <c r="D68" s="730"/>
      <c r="E68" s="730"/>
      <c r="F68" s="730"/>
      <c r="G68" s="730"/>
      <c r="H68" s="730"/>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1"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D35" sqref="D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60473.5</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75">
      <c r="A2" s="1406" t="s">
        <v>919</v>
      </c>
      <c r="B2" s="1038">
        <f ca="1">C26</f>
        <v>14128</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3972</v>
      </c>
      <c r="U2" s="2951"/>
      <c r="V2" s="2962">
        <f ca="1">ROUND(T2*U2/10000,0)</f>
        <v>0</v>
      </c>
      <c r="W2" s="2190"/>
      <c r="X2" s="2190"/>
      <c r="Y2" s="2190"/>
      <c r="Z2" s="2190"/>
      <c r="AA2" s="2190"/>
      <c r="AB2" s="2190"/>
      <c r="AC2" s="2191"/>
    </row>
    <row r="3" spans="1:39" ht="15.75">
      <c r="A3" s="1411" t="s">
        <v>1687</v>
      </c>
      <c r="B3" s="1038">
        <f ca="1">ROUND(B2*10000/D1,0)</f>
        <v>2336</v>
      </c>
      <c r="C3" s="1407" t="s">
        <v>926</v>
      </c>
      <c r="D3" s="1408" t="s">
        <v>927</v>
      </c>
      <c r="E3" s="1412" t="s">
        <v>3006</v>
      </c>
      <c r="F3" s="1413" t="s">
        <v>3007</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2851</v>
      </c>
      <c r="U3" s="2951"/>
      <c r="V3" s="2962">
        <f t="shared" ref="V3:V16" ca="1" si="1">ROUND(T3*U3/10000,0)</f>
        <v>0</v>
      </c>
      <c r="W3" s="2190"/>
      <c r="X3" s="2190"/>
      <c r="Y3" s="2190"/>
      <c r="Z3" s="2190"/>
      <c r="AA3" s="2190"/>
      <c r="AB3" s="2190"/>
      <c r="AC3" s="2191"/>
    </row>
    <row r="4" spans="1:39" ht="28.5">
      <c r="A4" s="1892" t="s">
        <v>2282</v>
      </c>
      <c r="B4" s="2478">
        <f ca="1">ROUND(B2*10000/F1,0)</f>
        <v>776</v>
      </c>
      <c r="C4" s="1895" t="s">
        <v>2256</v>
      </c>
      <c r="D4" s="1895">
        <f ca="1">ROUND(B2/(F1/666.67),0)</f>
        <v>52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2300</v>
      </c>
      <c r="U4" s="2951"/>
      <c r="V4" s="2962">
        <f t="shared" ca="1"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9">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1846</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1572</v>
      </c>
      <c r="U6" s="2951"/>
      <c r="V6" s="2962">
        <f t="shared" ca="1" si="1"/>
        <v>0</v>
      </c>
      <c r="W6" s="2190"/>
      <c r="X6" s="2190"/>
      <c r="Y6" s="2190"/>
      <c r="Z6" s="2190"/>
      <c r="AA6" s="2190"/>
      <c r="AB6" s="2190"/>
      <c r="AC6" s="2192"/>
      <c r="AD6" s="1419"/>
      <c r="AE6" s="1419"/>
      <c r="AF6" s="1419"/>
      <c r="AG6" s="1419"/>
      <c r="AH6" s="1419"/>
      <c r="AI6" s="1419"/>
      <c r="AJ6" s="1420"/>
    </row>
    <row r="7" spans="1:39" ht="24">
      <c r="A7" s="3473"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1382</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474"/>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483" t="s">
        <v>2785</v>
      </c>
      <c r="X8" s="3484"/>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474"/>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482" t="s">
        <v>2781</v>
      </c>
      <c r="X9" s="2956" t="s">
        <v>2782</v>
      </c>
      <c r="Y9" s="3123"/>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74"/>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482"/>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74"/>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482"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473"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482"/>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75"/>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482"/>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475"/>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476"/>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473" t="s">
        <v>1838</v>
      </c>
      <c r="B16" s="1427" t="s">
        <v>949</v>
      </c>
      <c r="C16" s="1054">
        <f>ROUND(SUM(G17:J17)/C17,0)</f>
        <v>0</v>
      </c>
      <c r="D16" s="1460" t="s">
        <v>950</v>
      </c>
      <c r="E16" s="1461" t="s">
        <v>3008</v>
      </c>
      <c r="F16" s="1462" t="s">
        <v>3009</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13.5" thickBot="1">
      <c r="A17" s="3474"/>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43222</v>
      </c>
      <c r="H19" s="1475" t="s">
        <v>3010</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f ca="1">ROUND(POWER(1+G20,J20-I20)*(POWER(1+G20,I20)-1)/(POWER(1+G20,J20)-1),4)</f>
        <v>0.79669999999999996</v>
      </c>
      <c r="D20" s="2806" t="s">
        <v>972</v>
      </c>
      <c r="E20" s="3120">
        <f ca="1">存贷款利率!I4/100</f>
        <v>4.3499999999999997E-2</v>
      </c>
      <c r="F20" s="2806" t="s">
        <v>973</v>
      </c>
      <c r="G20" s="2807">
        <f ca="1">SUMIF(M15:P15,E2,M17:P17)</f>
        <v>4.8000000000000001E-2</v>
      </c>
      <c r="H20" s="2806" t="s">
        <v>974</v>
      </c>
      <c r="I20" s="2796">
        <f>SUMIF('数据-取费表'!C6:C15,E2,'数据-取费表'!F6:F15)/COUNTIF('数据-取费表'!C6:C15,E2)</f>
        <v>27.170000000000009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3013</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1.0447</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 ca="1">E29+SUM(E33:E39)</f>
        <v>14128</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2370</v>
      </c>
      <c r="D29" s="1504">
        <f>'数据-汇总表'!E31-D38</f>
        <v>59362.400000000001</v>
      </c>
      <c r="E29" s="1850">
        <f ca="1">ROUND(C29*D29/10000,0)</f>
        <v>14069</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 ca="1">ROUND(IF(E2="工业",C29*M39,C29*M38),0)</f>
        <v>356</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79" t="s">
        <v>2965</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80"/>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80"/>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81"/>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 ca="1">ROUND(C5*C19*C20*C24*F37,0)</f>
        <v>533</v>
      </c>
      <c r="D37" s="1537"/>
      <c r="E37" s="1048">
        <f t="shared" ca="1" si="7"/>
        <v>0</v>
      </c>
      <c r="F37" s="1063">
        <f>SUMIF(修正!A45:A56,G2,修正!F45:F56)</f>
        <v>0.25</v>
      </c>
      <c r="G37" s="1048">
        <f t="shared" ca="1" si="6"/>
        <v>133</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 ca="1">ROUND(C5*C19*C20*C24*F38,0)</f>
        <v>533</v>
      </c>
      <c r="D38" s="1537">
        <f>'数据-汇总表'!G25</f>
        <v>1111.1000000000001</v>
      </c>
      <c r="E38" s="1048">
        <f t="shared" ca="1" si="7"/>
        <v>59</v>
      </c>
      <c r="F38" s="1063">
        <f>SUMIF(修正!A45:A56,G2,修正!G45:G56)</f>
        <v>0.25</v>
      </c>
      <c r="G38" s="1048">
        <f t="shared" ca="1" si="6"/>
        <v>133</v>
      </c>
      <c r="H38" s="1048">
        <f t="shared" si="8"/>
        <v>1111.1000000000001</v>
      </c>
      <c r="I38" s="1048">
        <f t="shared" ca="1" si="9"/>
        <v>15</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 ca="1">ROUND(C5*C19*C20*C24*F39,0)</f>
        <v>426</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22" t="s">
        <v>2940</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21" t="s">
        <v>2939</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22" t="s">
        <v>2941</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21" t="s">
        <v>2939</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21" t="s">
        <v>2939</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1.0447</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t="s">
        <v>3192</v>
      </c>
      <c r="D80" s="2442">
        <f t="shared" ref="D80:D87" si="25">SUMIF($J$79:$N$79,C80,J80:N80)</f>
        <v>0</v>
      </c>
      <c r="E80" s="2461">
        <f>ROUND(SUM(D80:D87),4)</f>
        <v>4.4699999999999997E-2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3193</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3194</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f>估价对象房地状况!G22</f>
        <v>0</v>
      </c>
      <c r="C83" s="1050" t="s">
        <v>3192</v>
      </c>
      <c r="D83" s="2442">
        <f t="shared" si="25"/>
        <v>0</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v>
      </c>
      <c r="C84" s="1050" t="s">
        <v>3193</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估价对象所在区域基础设施水平</v>
      </c>
      <c r="C85" s="1050" t="s">
        <v>3195</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21" t="s">
        <v>2939</v>
      </c>
      <c r="C86" s="1050" t="s">
        <v>3193</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36.75" thickBot="1">
      <c r="A87" s="2466" t="s">
        <v>1038</v>
      </c>
      <c r="B87" s="2435" t="str">
        <f>估价对象房地状况!G18</f>
        <v>该园区内是否有污染型企业，绿化情况，卫生条件，整体环境状况判断</v>
      </c>
      <c r="C87" s="1050" t="s">
        <v>3192</v>
      </c>
      <c r="D87" s="2442">
        <f t="shared" si="25"/>
        <v>0</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477" t="s">
        <v>1633</v>
      </c>
      <c r="B90" s="3477"/>
      <c r="C90" s="3477"/>
      <c r="D90" s="3477"/>
      <c r="E90" s="3477"/>
      <c r="F90" s="3477"/>
      <c r="G90" s="3477"/>
      <c r="H90" s="3477"/>
      <c r="I90" s="3477"/>
      <c r="J90" s="3477"/>
      <c r="K90" s="2475"/>
      <c r="L90" s="2475"/>
      <c r="M90" s="2475"/>
      <c r="N90" s="2475"/>
    </row>
    <row r="91" spans="1:40">
      <c r="A91" s="3478" t="s">
        <v>1443</v>
      </c>
      <c r="B91" s="3478" t="s">
        <v>1634</v>
      </c>
      <c r="C91" s="1140" t="s">
        <v>1635</v>
      </c>
      <c r="D91" s="1141"/>
      <c r="E91" s="1141"/>
      <c r="F91" s="1141"/>
      <c r="G91" s="1141"/>
      <c r="H91" s="1141"/>
      <c r="I91" s="1141"/>
      <c r="J91" s="1142"/>
      <c r="K91" s="1134"/>
      <c r="L91" s="1134"/>
      <c r="M91" s="1134"/>
      <c r="N91" s="1134"/>
    </row>
    <row r="92" spans="1:40">
      <c r="A92" s="3478"/>
      <c r="B92" s="3478"/>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85"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85"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86"/>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86"/>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86"/>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86"/>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86"/>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86"/>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86"/>
      <c r="B108" s="348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7"/>
      <c r="B109" s="3489"/>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72" t="s">
        <v>1639</v>
      </c>
      <c r="B110" s="3472"/>
      <c r="C110" s="3472"/>
      <c r="D110" s="3472"/>
      <c r="E110" s="3472"/>
      <c r="F110" s="3472"/>
      <c r="G110" s="3472"/>
      <c r="H110" s="3472"/>
      <c r="I110" s="3472"/>
      <c r="J110" s="3472"/>
      <c r="K110" s="2473"/>
      <c r="L110" s="2473"/>
      <c r="M110" s="2473"/>
      <c r="N110" s="2473"/>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6"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78" t="s">
        <v>1007</v>
      </c>
      <c r="B18" s="1154" t="s">
        <v>1446</v>
      </c>
      <c r="C18" s="1131" t="s">
        <v>1447</v>
      </c>
      <c r="D18" s="1132"/>
      <c r="E18" s="1154">
        <v>1</v>
      </c>
      <c r="F18" s="1133" t="s">
        <v>1448</v>
      </c>
      <c r="G18" s="1134"/>
      <c r="H18" s="1105"/>
      <c r="I18" s="1105"/>
    </row>
    <row r="19" spans="1:9" s="1599" customFormat="1" ht="19.5" customHeight="1">
      <c r="A19" s="3478"/>
      <c r="B19" s="3478" t="s">
        <v>1449</v>
      </c>
      <c r="C19" s="1131" t="s">
        <v>1450</v>
      </c>
      <c r="D19" s="1132"/>
      <c r="E19" s="1154">
        <v>0.9</v>
      </c>
      <c r="F19" s="1133" t="s">
        <v>1451</v>
      </c>
      <c r="G19" s="1134"/>
      <c r="H19" s="1105"/>
      <c r="I19" s="1105"/>
    </row>
    <row r="20" spans="1:9" s="1599" customFormat="1" ht="19.5" customHeight="1">
      <c r="A20" s="3478"/>
      <c r="B20" s="3478"/>
      <c r="C20" s="1131" t="s">
        <v>1452</v>
      </c>
      <c r="D20" s="1132"/>
      <c r="E20" s="1154">
        <v>1.1000000000000001</v>
      </c>
      <c r="F20" s="1133" t="s">
        <v>1453</v>
      </c>
      <c r="G20" s="1134"/>
      <c r="H20" s="1105"/>
      <c r="I20" s="1105"/>
    </row>
    <row r="21" spans="1:9" s="1599" customFormat="1" ht="19.5" customHeight="1">
      <c r="A21" s="3478"/>
      <c r="B21" s="3478"/>
      <c r="C21" s="1131" t="s">
        <v>1454</v>
      </c>
      <c r="D21" s="1132"/>
      <c r="E21" s="1154">
        <v>0.8</v>
      </c>
      <c r="F21" s="1133" t="s">
        <v>1455</v>
      </c>
      <c r="G21" s="1134"/>
      <c r="H21" s="1105"/>
      <c r="I21" s="1105"/>
    </row>
    <row r="22" spans="1:9" s="1599" customFormat="1" ht="19.5" customHeight="1">
      <c r="A22" s="3478"/>
      <c r="B22" s="3478"/>
      <c r="C22" s="1131" t="s">
        <v>1456</v>
      </c>
      <c r="D22" s="1132"/>
      <c r="E22" s="1154">
        <v>0.5</v>
      </c>
      <c r="F22" s="1133"/>
      <c r="G22" s="1134"/>
      <c r="H22" s="1105"/>
      <c r="I22" s="1105"/>
    </row>
    <row r="23" spans="1:9" s="1599" customFormat="1" ht="19.5" customHeight="1">
      <c r="A23" s="3478" t="s">
        <v>1029</v>
      </c>
      <c r="B23" s="1154" t="s">
        <v>1446</v>
      </c>
      <c r="C23" s="1131" t="s">
        <v>1457</v>
      </c>
      <c r="D23" s="1132"/>
      <c r="E23" s="1154">
        <v>1</v>
      </c>
      <c r="F23" s="1133" t="s">
        <v>1458</v>
      </c>
      <c r="G23" s="1134"/>
      <c r="H23" s="1105"/>
      <c r="I23" s="1105"/>
    </row>
    <row r="24" spans="1:9" s="1599" customFormat="1" ht="19.5" customHeight="1">
      <c r="A24" s="3478"/>
      <c r="B24" s="3478" t="s">
        <v>1449</v>
      </c>
      <c r="C24" s="1131" t="s">
        <v>1459</v>
      </c>
      <c r="D24" s="1132"/>
      <c r="E24" s="1154">
        <v>0.5</v>
      </c>
      <c r="F24" s="1133"/>
      <c r="G24" s="1134"/>
      <c r="H24" s="1105"/>
      <c r="I24" s="1105"/>
    </row>
    <row r="25" spans="1:9" s="1599" customFormat="1" ht="19.5" customHeight="1">
      <c r="A25" s="3478"/>
      <c r="B25" s="3478"/>
      <c r="C25" s="1131" t="s">
        <v>1460</v>
      </c>
      <c r="D25" s="1132"/>
      <c r="E25" s="1154">
        <v>1.1000000000000001</v>
      </c>
      <c r="F25" s="1133"/>
      <c r="G25" s="1134"/>
      <c r="H25" s="1105"/>
      <c r="I25" s="1105"/>
    </row>
    <row r="26" spans="1:9" s="1599" customFormat="1" ht="19.5" customHeight="1">
      <c r="A26" s="3478"/>
      <c r="B26" s="3478"/>
      <c r="C26" s="1131" t="s">
        <v>1461</v>
      </c>
      <c r="D26" s="1132"/>
      <c r="E26" s="1154">
        <v>1.1000000000000001</v>
      </c>
      <c r="F26" s="1133"/>
      <c r="G26" s="1134"/>
      <c r="H26" s="1105"/>
      <c r="I26" s="1105"/>
    </row>
    <row r="27" spans="1:9" s="1599" customFormat="1" ht="19.5" customHeight="1">
      <c r="A27" s="3478"/>
      <c r="B27" s="3478"/>
      <c r="C27" s="1131" t="s">
        <v>1462</v>
      </c>
      <c r="D27" s="1132"/>
      <c r="E27" s="1154">
        <v>0.9</v>
      </c>
      <c r="F27" s="1133" t="s">
        <v>1463</v>
      </c>
      <c r="G27" s="1134"/>
      <c r="H27" s="1105"/>
      <c r="I27" s="1105"/>
    </row>
    <row r="28" spans="1:9" s="1599" customFormat="1" ht="19.5" customHeight="1">
      <c r="A28" s="3478"/>
      <c r="B28" s="3478"/>
      <c r="C28" s="1131" t="s">
        <v>1464</v>
      </c>
      <c r="D28" s="1132"/>
      <c r="E28" s="1154">
        <v>0.9</v>
      </c>
      <c r="F28" s="1133" t="s">
        <v>1465</v>
      </c>
      <c r="G28" s="1134"/>
      <c r="H28" s="1105"/>
      <c r="I28" s="1105"/>
    </row>
    <row r="29" spans="1:9" s="1599" customFormat="1" ht="19.5" customHeight="1">
      <c r="A29" s="3478"/>
      <c r="B29" s="3478"/>
      <c r="C29" s="1131" t="s">
        <v>1466</v>
      </c>
      <c r="D29" s="1132"/>
      <c r="E29" s="1154">
        <v>0.9</v>
      </c>
      <c r="F29" s="1133" t="s">
        <v>1467</v>
      </c>
      <c r="G29" s="1134"/>
      <c r="H29" s="1105"/>
      <c r="I29" s="1105"/>
    </row>
    <row r="30" spans="1:9" s="1599" customFormat="1" ht="19.5" customHeight="1">
      <c r="A30" s="3478"/>
      <c r="B30" s="3478"/>
      <c r="C30" s="1131" t="s">
        <v>1468</v>
      </c>
      <c r="D30" s="1132"/>
      <c r="E30" s="1154">
        <v>0.9</v>
      </c>
      <c r="F30" s="1133" t="s">
        <v>1469</v>
      </c>
      <c r="G30" s="1134"/>
      <c r="H30" s="1105"/>
      <c r="I30" s="1105"/>
    </row>
    <row r="31" spans="1:9" s="1599" customFormat="1" ht="19.5" customHeight="1">
      <c r="A31" s="3478"/>
      <c r="B31" s="3478"/>
      <c r="C31" s="1131" t="s">
        <v>1470</v>
      </c>
      <c r="D31" s="1132"/>
      <c r="E31" s="1154">
        <v>0.8</v>
      </c>
      <c r="F31" s="1133" t="s">
        <v>1471</v>
      </c>
      <c r="G31" s="1134"/>
      <c r="H31" s="1105"/>
      <c r="I31" s="1105"/>
    </row>
    <row r="32" spans="1:9" s="1599" customFormat="1" ht="19.5" customHeight="1">
      <c r="A32" s="3478"/>
      <c r="B32" s="3478"/>
      <c r="C32" s="1131" t="s">
        <v>1472</v>
      </c>
      <c r="D32" s="1132"/>
      <c r="E32" s="1154">
        <v>0.8</v>
      </c>
      <c r="F32" s="1133" t="s">
        <v>1473</v>
      </c>
      <c r="G32" s="1134"/>
      <c r="H32" s="1105"/>
      <c r="I32" s="1105"/>
    </row>
    <row r="33" spans="1:9" s="1599" customFormat="1" ht="19.5" customHeight="1">
      <c r="A33" s="3478" t="s">
        <v>1474</v>
      </c>
      <c r="B33" s="1154" t="s">
        <v>1446</v>
      </c>
      <c r="C33" s="1131" t="s">
        <v>1475</v>
      </c>
      <c r="D33" s="1132"/>
      <c r="E33" s="1154">
        <v>1</v>
      </c>
      <c r="F33" s="1133" t="s">
        <v>1476</v>
      </c>
      <c r="G33" s="1134"/>
      <c r="H33" s="1105"/>
      <c r="I33" s="1105"/>
    </row>
    <row r="34" spans="1:9" s="1599" customFormat="1" ht="19.5" customHeight="1">
      <c r="A34" s="3478"/>
      <c r="B34" s="1154" t="s">
        <v>1449</v>
      </c>
      <c r="C34" s="1131" t="s">
        <v>1477</v>
      </c>
      <c r="D34" s="1132"/>
      <c r="E34" s="1154">
        <v>1.5</v>
      </c>
      <c r="F34" s="1133" t="s">
        <v>1478</v>
      </c>
      <c r="G34" s="1134"/>
      <c r="H34" s="1105"/>
      <c r="I34" s="1105"/>
    </row>
    <row r="35" spans="1:9" s="1599" customFormat="1" ht="19.5" customHeight="1">
      <c r="A35" s="3478" t="s">
        <v>1432</v>
      </c>
      <c r="B35" s="1154" t="s">
        <v>1446</v>
      </c>
      <c r="C35" s="1131" t="s">
        <v>1479</v>
      </c>
      <c r="D35" s="1132"/>
      <c r="E35" s="1154">
        <v>1</v>
      </c>
      <c r="F35" s="1133" t="s">
        <v>1480</v>
      </c>
      <c r="G35" s="1134"/>
      <c r="H35" s="1105"/>
      <c r="I35" s="1105"/>
    </row>
    <row r="36" spans="1:9" s="1599" customFormat="1" ht="19.5" customHeight="1">
      <c r="A36" s="3478"/>
      <c r="B36" s="3478" t="s">
        <v>1449</v>
      </c>
      <c r="C36" s="1131" t="s">
        <v>1481</v>
      </c>
      <c r="D36" s="1132"/>
      <c r="E36" s="1154">
        <v>1</v>
      </c>
      <c r="F36" s="1133" t="s">
        <v>1482</v>
      </c>
      <c r="G36" s="1134"/>
      <c r="H36" s="1105"/>
      <c r="I36" s="1105"/>
    </row>
    <row r="37" spans="1:9" s="1599" customFormat="1" ht="19.5" customHeight="1">
      <c r="A37" s="3478"/>
      <c r="B37" s="3478"/>
      <c r="C37" s="1131" t="s">
        <v>1483</v>
      </c>
      <c r="D37" s="1132"/>
      <c r="E37" s="1154">
        <v>1.5</v>
      </c>
      <c r="F37" s="1133" t="s">
        <v>1484</v>
      </c>
      <c r="G37" s="1134"/>
      <c r="H37" s="1105"/>
      <c r="I37" s="1105"/>
    </row>
    <row r="38" spans="1:9" s="1599" customFormat="1" ht="19.5" customHeight="1">
      <c r="A38" s="3478"/>
      <c r="B38" s="3478"/>
      <c r="C38" s="1131" t="s">
        <v>1485</v>
      </c>
      <c r="D38" s="1132"/>
      <c r="E38" s="1154">
        <v>1</v>
      </c>
      <c r="F38" s="1133" t="s">
        <v>1486</v>
      </c>
      <c r="G38" s="1134"/>
      <c r="H38" s="1105"/>
      <c r="I38" s="1105"/>
    </row>
    <row r="39" spans="1:9" s="1599" customFormat="1" ht="19.5" customHeight="1">
      <c r="A39" s="3478"/>
      <c r="B39" s="3478"/>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78" t="s">
        <v>1501</v>
      </c>
      <c r="C61" s="1068" t="s">
        <v>1502</v>
      </c>
      <c r="D61" s="1068" t="s">
        <v>1503</v>
      </c>
      <c r="E61" s="1139">
        <v>0.5</v>
      </c>
      <c r="F61" s="1154">
        <v>80</v>
      </c>
      <c r="H61" s="1105">
        <f>SUMIF(C59:C119,基准地价!C8,E59:E119)</f>
        <v>0</v>
      </c>
    </row>
    <row r="62" spans="1:8" s="1105" customFormat="1" ht="24">
      <c r="A62" s="1154">
        <v>2</v>
      </c>
      <c r="B62" s="3478"/>
      <c r="C62" s="1068" t="s">
        <v>1504</v>
      </c>
      <c r="D62" s="1068" t="s">
        <v>1505</v>
      </c>
      <c r="E62" s="1139">
        <v>0.5</v>
      </c>
      <c r="F62" s="1154">
        <v>80</v>
      </c>
    </row>
    <row r="63" spans="1:8" s="1105" customFormat="1" ht="36">
      <c r="A63" s="1154">
        <v>3</v>
      </c>
      <c r="B63" s="3478"/>
      <c r="C63" s="1068" t="s">
        <v>1506</v>
      </c>
      <c r="D63" s="1068" t="s">
        <v>1507</v>
      </c>
      <c r="E63" s="1139">
        <v>0.5</v>
      </c>
      <c r="F63" s="1154">
        <v>80</v>
      </c>
    </row>
    <row r="64" spans="1:8" s="1105" customFormat="1" ht="36">
      <c r="A64" s="1154">
        <v>4</v>
      </c>
      <c r="B64" s="3478"/>
      <c r="C64" s="1068" t="s">
        <v>1508</v>
      </c>
      <c r="D64" s="1068" t="s">
        <v>1509</v>
      </c>
      <c r="E64" s="1139">
        <v>0.4</v>
      </c>
      <c r="F64" s="1154">
        <v>60</v>
      </c>
    </row>
    <row r="65" spans="1:6" s="1105" customFormat="1" ht="36">
      <c r="A65" s="1154">
        <v>5</v>
      </c>
      <c r="B65" s="3478"/>
      <c r="C65" s="1068" t="s">
        <v>1510</v>
      </c>
      <c r="D65" s="1068" t="s">
        <v>1511</v>
      </c>
      <c r="E65" s="1139">
        <v>0.2</v>
      </c>
      <c r="F65" s="1154">
        <v>30</v>
      </c>
    </row>
    <row r="66" spans="1:6" s="1105" customFormat="1" ht="36">
      <c r="A66" s="1154">
        <v>6</v>
      </c>
      <c r="B66" s="3478"/>
      <c r="C66" s="1068" t="s">
        <v>1512</v>
      </c>
      <c r="D66" s="1068" t="s">
        <v>1513</v>
      </c>
      <c r="E66" s="1139">
        <v>0.3</v>
      </c>
      <c r="F66" s="1154">
        <v>50</v>
      </c>
    </row>
    <row r="67" spans="1:6" s="1105" customFormat="1" ht="36">
      <c r="A67" s="1154">
        <v>7</v>
      </c>
      <c r="B67" s="3478"/>
      <c r="C67" s="1068" t="s">
        <v>1514</v>
      </c>
      <c r="D67" s="1068" t="s">
        <v>1515</v>
      </c>
      <c r="E67" s="1139">
        <v>0.2</v>
      </c>
      <c r="F67" s="1154">
        <v>30</v>
      </c>
    </row>
    <row r="68" spans="1:6" s="1105" customFormat="1" ht="36">
      <c r="A68" s="1154">
        <v>8</v>
      </c>
      <c r="B68" s="3478"/>
      <c r="C68" s="1068" t="s">
        <v>1516</v>
      </c>
      <c r="D68" s="1068" t="s">
        <v>1517</v>
      </c>
      <c r="E68" s="1139">
        <v>0.2</v>
      </c>
      <c r="F68" s="1154">
        <v>30</v>
      </c>
    </row>
    <row r="69" spans="1:6" s="1105" customFormat="1" ht="36">
      <c r="A69" s="1154">
        <v>9</v>
      </c>
      <c r="B69" s="3478"/>
      <c r="C69" s="1068" t="s">
        <v>1518</v>
      </c>
      <c r="D69" s="1068" t="s">
        <v>1519</v>
      </c>
      <c r="E69" s="1139">
        <v>0.2</v>
      </c>
      <c r="F69" s="1154">
        <v>30</v>
      </c>
    </row>
    <row r="70" spans="1:6" s="1105" customFormat="1" ht="48">
      <c r="A70" s="1154">
        <v>10</v>
      </c>
      <c r="B70" s="3478"/>
      <c r="C70" s="1068" t="s">
        <v>1520</v>
      </c>
      <c r="D70" s="1068" t="s">
        <v>1521</v>
      </c>
      <c r="E70" s="1139">
        <v>0.2</v>
      </c>
      <c r="F70" s="1154">
        <v>30</v>
      </c>
    </row>
    <row r="71" spans="1:6" s="1105" customFormat="1" ht="48">
      <c r="A71" s="1154">
        <v>11</v>
      </c>
      <c r="B71" s="3478"/>
      <c r="C71" s="1068" t="s">
        <v>1522</v>
      </c>
      <c r="D71" s="1068" t="s">
        <v>1523</v>
      </c>
      <c r="E71" s="1139">
        <v>0.2</v>
      </c>
      <c r="F71" s="1154">
        <v>30</v>
      </c>
    </row>
    <row r="72" spans="1:6" s="1105" customFormat="1" ht="36">
      <c r="A72" s="1154">
        <v>12</v>
      </c>
      <c r="B72" s="3478"/>
      <c r="C72" s="1068" t="s">
        <v>1524</v>
      </c>
      <c r="D72" s="1068" t="s">
        <v>1525</v>
      </c>
      <c r="E72" s="1139">
        <v>0.5</v>
      </c>
      <c r="F72" s="1154">
        <v>80</v>
      </c>
    </row>
    <row r="73" spans="1:6" s="1105" customFormat="1" ht="24">
      <c r="A73" s="1154">
        <v>13</v>
      </c>
      <c r="B73" s="3478"/>
      <c r="C73" s="1068" t="s">
        <v>1526</v>
      </c>
      <c r="D73" s="1068" t="s">
        <v>1527</v>
      </c>
      <c r="E73" s="1139">
        <v>0.4</v>
      </c>
      <c r="F73" s="1154">
        <v>60</v>
      </c>
    </row>
    <row r="74" spans="1:6" s="1105" customFormat="1" ht="24">
      <c r="A74" s="1154">
        <v>14</v>
      </c>
      <c r="B74" s="3478"/>
      <c r="C74" s="1068" t="s">
        <v>1528</v>
      </c>
      <c r="D74" s="1068" t="s">
        <v>1529</v>
      </c>
      <c r="E74" s="1139">
        <v>0.2</v>
      </c>
      <c r="F74" s="1154">
        <v>30</v>
      </c>
    </row>
    <row r="75" spans="1:6" s="1105" customFormat="1" ht="24">
      <c r="A75" s="1154">
        <v>15</v>
      </c>
      <c r="B75" s="3478"/>
      <c r="C75" s="1068" t="s">
        <v>1530</v>
      </c>
      <c r="D75" s="1068" t="s">
        <v>1531</v>
      </c>
      <c r="E75" s="1139">
        <v>0.2</v>
      </c>
      <c r="F75" s="1154">
        <v>30</v>
      </c>
    </row>
    <row r="76" spans="1:6" s="1105" customFormat="1" ht="24">
      <c r="A76" s="1154">
        <v>16</v>
      </c>
      <c r="B76" s="3478" t="s">
        <v>1532</v>
      </c>
      <c r="C76" s="1068" t="s">
        <v>1533</v>
      </c>
      <c r="D76" s="1068" t="s">
        <v>1534</v>
      </c>
      <c r="E76" s="1139">
        <v>0.5</v>
      </c>
      <c r="F76" s="1154">
        <v>80</v>
      </c>
    </row>
    <row r="77" spans="1:6" s="1105" customFormat="1" ht="24">
      <c r="A77" s="1154">
        <v>17</v>
      </c>
      <c r="B77" s="3478"/>
      <c r="C77" s="1068" t="s">
        <v>1535</v>
      </c>
      <c r="D77" s="1068" t="s">
        <v>1536</v>
      </c>
      <c r="E77" s="1139">
        <v>0.5</v>
      </c>
      <c r="F77" s="1154">
        <v>80</v>
      </c>
    </row>
    <row r="78" spans="1:6" s="1105" customFormat="1" ht="24">
      <c r="A78" s="1154">
        <v>18</v>
      </c>
      <c r="B78" s="3478"/>
      <c r="C78" s="1068" t="s">
        <v>1537</v>
      </c>
      <c r="D78" s="1068" t="s">
        <v>1538</v>
      </c>
      <c r="E78" s="1139">
        <v>0.2</v>
      </c>
      <c r="F78" s="1154">
        <v>30</v>
      </c>
    </row>
    <row r="79" spans="1:6" s="1105" customFormat="1" ht="24">
      <c r="A79" s="1154">
        <v>19</v>
      </c>
      <c r="B79" s="3478"/>
      <c r="C79" s="1068" t="s">
        <v>1539</v>
      </c>
      <c r="D79" s="1068" t="s">
        <v>1540</v>
      </c>
      <c r="E79" s="1139">
        <v>0.5</v>
      </c>
      <c r="F79" s="1154">
        <v>80</v>
      </c>
    </row>
    <row r="80" spans="1:6" s="1105" customFormat="1" ht="36">
      <c r="A80" s="1154">
        <v>20</v>
      </c>
      <c r="B80" s="3478"/>
      <c r="C80" s="1068" t="s">
        <v>1541</v>
      </c>
      <c r="D80" s="1068" t="s">
        <v>1542</v>
      </c>
      <c r="E80" s="1139">
        <v>0.2</v>
      </c>
      <c r="F80" s="1154">
        <v>30</v>
      </c>
    </row>
    <row r="81" spans="1:6" s="1105" customFormat="1" ht="36">
      <c r="A81" s="1154">
        <v>21</v>
      </c>
      <c r="B81" s="3478"/>
      <c r="C81" s="1068" t="s">
        <v>1543</v>
      </c>
      <c r="D81" s="1068" t="s">
        <v>1544</v>
      </c>
      <c r="E81" s="1139">
        <v>0.2</v>
      </c>
      <c r="F81" s="1154">
        <v>30</v>
      </c>
    </row>
    <row r="82" spans="1:6" s="1105" customFormat="1" ht="48">
      <c r="A82" s="1154">
        <v>22</v>
      </c>
      <c r="B82" s="3478"/>
      <c r="C82" s="1068" t="s">
        <v>1545</v>
      </c>
      <c r="D82" s="1068" t="s">
        <v>1546</v>
      </c>
      <c r="E82" s="1139">
        <v>0.2</v>
      </c>
      <c r="F82" s="1154">
        <v>30</v>
      </c>
    </row>
    <row r="83" spans="1:6" s="1105" customFormat="1" ht="48">
      <c r="A83" s="1154">
        <v>23</v>
      </c>
      <c r="B83" s="3478"/>
      <c r="C83" s="1068" t="s">
        <v>1547</v>
      </c>
      <c r="D83" s="1068" t="s">
        <v>1548</v>
      </c>
      <c r="E83" s="1139">
        <v>0.2</v>
      </c>
      <c r="F83" s="1154">
        <v>30</v>
      </c>
    </row>
    <row r="84" spans="1:6" s="1105" customFormat="1" ht="36">
      <c r="A84" s="1154">
        <v>24</v>
      </c>
      <c r="B84" s="3478"/>
      <c r="C84" s="1068" t="s">
        <v>1549</v>
      </c>
      <c r="D84" s="1068" t="s">
        <v>1550</v>
      </c>
      <c r="E84" s="1139">
        <v>0.2</v>
      </c>
      <c r="F84" s="1154">
        <v>30</v>
      </c>
    </row>
    <row r="85" spans="1:6" s="1105" customFormat="1" ht="36">
      <c r="A85" s="1154">
        <v>25</v>
      </c>
      <c r="B85" s="3478"/>
      <c r="C85" s="1068" t="s">
        <v>1551</v>
      </c>
      <c r="D85" s="1068" t="s">
        <v>1552</v>
      </c>
      <c r="E85" s="1139">
        <v>0.5</v>
      </c>
      <c r="F85" s="1154">
        <v>80</v>
      </c>
    </row>
    <row r="86" spans="1:6" s="1105" customFormat="1" ht="36">
      <c r="A86" s="1154">
        <v>26</v>
      </c>
      <c r="B86" s="3478"/>
      <c r="C86" s="1068" t="s">
        <v>1553</v>
      </c>
      <c r="D86" s="1068" t="s">
        <v>1554</v>
      </c>
      <c r="E86" s="1139">
        <v>0.2</v>
      </c>
      <c r="F86" s="1154">
        <v>30</v>
      </c>
    </row>
    <row r="87" spans="1:6" s="1105" customFormat="1" ht="36">
      <c r="A87" s="1154">
        <v>27</v>
      </c>
      <c r="B87" s="3478"/>
      <c r="C87" s="1068" t="s">
        <v>1555</v>
      </c>
      <c r="D87" s="1068" t="s">
        <v>1556</v>
      </c>
      <c r="E87" s="1139">
        <v>0.2</v>
      </c>
      <c r="F87" s="1154">
        <v>30</v>
      </c>
    </row>
    <row r="88" spans="1:6" s="1105" customFormat="1" ht="36">
      <c r="A88" s="1154">
        <v>28</v>
      </c>
      <c r="B88" s="3478"/>
      <c r="C88" s="1068" t="s">
        <v>1557</v>
      </c>
      <c r="D88" s="1068" t="s">
        <v>1558</v>
      </c>
      <c r="E88" s="1139">
        <v>0.2</v>
      </c>
      <c r="F88" s="1154">
        <v>30</v>
      </c>
    </row>
    <row r="89" spans="1:6" s="1105" customFormat="1" ht="24">
      <c r="A89" s="1154">
        <v>29</v>
      </c>
      <c r="B89" s="3478"/>
      <c r="C89" s="1068" t="s">
        <v>1559</v>
      </c>
      <c r="D89" s="1068" t="s">
        <v>1560</v>
      </c>
      <c r="E89" s="1139">
        <v>0.2</v>
      </c>
      <c r="F89" s="1154">
        <v>30</v>
      </c>
    </row>
    <row r="90" spans="1:6" s="1105" customFormat="1" ht="24">
      <c r="A90" s="1154">
        <v>30</v>
      </c>
      <c r="B90" s="3478"/>
      <c r="C90" s="1068" t="s">
        <v>1561</v>
      </c>
      <c r="D90" s="1068" t="s">
        <v>1562</v>
      </c>
      <c r="E90" s="1139">
        <v>0.2</v>
      </c>
      <c r="F90" s="1154">
        <v>30</v>
      </c>
    </row>
    <row r="91" spans="1:6" s="1105" customFormat="1" ht="36">
      <c r="A91" s="1154">
        <v>31</v>
      </c>
      <c r="B91" s="3478"/>
      <c r="C91" s="1068" t="s">
        <v>1563</v>
      </c>
      <c r="D91" s="1068" t="s">
        <v>1564</v>
      </c>
      <c r="E91" s="1139">
        <v>0.2</v>
      </c>
      <c r="F91" s="1154">
        <v>30</v>
      </c>
    </row>
    <row r="92" spans="1:6" s="1105" customFormat="1" ht="24">
      <c r="A92" s="1154">
        <v>32</v>
      </c>
      <c r="B92" s="3478" t="s">
        <v>1565</v>
      </c>
      <c r="C92" s="1154" t="s">
        <v>1566</v>
      </c>
      <c r="D92" s="1068" t="s">
        <v>1567</v>
      </c>
      <c r="E92" s="1139">
        <v>0.2</v>
      </c>
      <c r="F92" s="1154">
        <v>30</v>
      </c>
    </row>
    <row r="93" spans="1:6" s="1105" customFormat="1" ht="36">
      <c r="A93" s="1154">
        <v>33</v>
      </c>
      <c r="B93" s="3478"/>
      <c r="C93" s="1154" t="s">
        <v>1568</v>
      </c>
      <c r="D93" s="1068" t="s">
        <v>1569</v>
      </c>
      <c r="E93" s="1139">
        <v>0.2</v>
      </c>
      <c r="F93" s="1154">
        <v>30</v>
      </c>
    </row>
    <row r="94" spans="1:6" s="1105" customFormat="1" ht="48">
      <c r="A94" s="1154">
        <v>34</v>
      </c>
      <c r="B94" s="3478"/>
      <c r="C94" s="1154" t="s">
        <v>1570</v>
      </c>
      <c r="D94" s="1068" t="s">
        <v>1571</v>
      </c>
      <c r="E94" s="1139">
        <v>0.2</v>
      </c>
      <c r="F94" s="1154">
        <v>30</v>
      </c>
    </row>
    <row r="95" spans="1:6" s="1105" customFormat="1" ht="36">
      <c r="A95" s="1154">
        <v>35</v>
      </c>
      <c r="B95" s="3478"/>
      <c r="C95" s="1154" t="s">
        <v>1572</v>
      </c>
      <c r="D95" s="1068" t="s">
        <v>1573</v>
      </c>
      <c r="E95" s="1139">
        <v>0.2</v>
      </c>
      <c r="F95" s="1154">
        <v>30</v>
      </c>
    </row>
    <row r="96" spans="1:6" s="1105" customFormat="1" ht="48">
      <c r="A96" s="1154">
        <v>36</v>
      </c>
      <c r="B96" s="3478"/>
      <c r="C96" s="1068" t="s">
        <v>1574</v>
      </c>
      <c r="D96" s="1068" t="s">
        <v>1575</v>
      </c>
      <c r="E96" s="1139">
        <v>0.2</v>
      </c>
      <c r="F96" s="1154">
        <v>30</v>
      </c>
    </row>
    <row r="97" spans="1:6" s="1105" customFormat="1" ht="36">
      <c r="A97" s="1154">
        <v>37</v>
      </c>
      <c r="B97" s="3478"/>
      <c r="C97" s="1154" t="s">
        <v>1576</v>
      </c>
      <c r="D97" s="1068" t="s">
        <v>1577</v>
      </c>
      <c r="E97" s="1139">
        <v>0.2</v>
      </c>
      <c r="F97" s="1154">
        <v>30</v>
      </c>
    </row>
    <row r="98" spans="1:6" s="1105" customFormat="1" ht="36">
      <c r="A98" s="1154">
        <v>38</v>
      </c>
      <c r="B98" s="3478"/>
      <c r="C98" s="1154" t="s">
        <v>1578</v>
      </c>
      <c r="D98" s="1068" t="s">
        <v>1579</v>
      </c>
      <c r="E98" s="1139">
        <v>0.2</v>
      </c>
      <c r="F98" s="1154">
        <v>30</v>
      </c>
    </row>
    <row r="99" spans="1:6" s="1105" customFormat="1" ht="36">
      <c r="A99" s="1154">
        <v>39</v>
      </c>
      <c r="B99" s="3478" t="s">
        <v>1580</v>
      </c>
      <c r="C99" s="1154" t="s">
        <v>1581</v>
      </c>
      <c r="D99" s="1068" t="s">
        <v>1582</v>
      </c>
      <c r="E99" s="1139">
        <v>0.3</v>
      </c>
      <c r="F99" s="1154">
        <v>50</v>
      </c>
    </row>
    <row r="100" spans="1:6" s="1105" customFormat="1" ht="24">
      <c r="A100" s="1154">
        <v>40</v>
      </c>
      <c r="B100" s="3478"/>
      <c r="C100" s="1154" t="s">
        <v>1583</v>
      </c>
      <c r="D100" s="1068" t="s">
        <v>1584</v>
      </c>
      <c r="E100" s="1139">
        <v>0.2</v>
      </c>
      <c r="F100" s="1154">
        <v>30</v>
      </c>
    </row>
    <row r="101" spans="1:6" s="1105" customFormat="1" ht="36">
      <c r="A101" s="1154">
        <v>41</v>
      </c>
      <c r="B101" s="347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78" t="s">
        <v>1595</v>
      </c>
      <c r="C105" s="1154" t="s">
        <v>1596</v>
      </c>
      <c r="D105" s="1068" t="s">
        <v>1597</v>
      </c>
      <c r="E105" s="1139">
        <v>0.2</v>
      </c>
      <c r="F105" s="1154">
        <v>30</v>
      </c>
    </row>
    <row r="106" spans="1:6" s="1105" customFormat="1" ht="36">
      <c r="A106" s="1154">
        <v>46</v>
      </c>
      <c r="B106" s="3478"/>
      <c r="C106" s="1154" t="s">
        <v>1598</v>
      </c>
      <c r="D106" s="1068" t="s">
        <v>1599</v>
      </c>
      <c r="E106" s="1139">
        <v>0.2</v>
      </c>
      <c r="F106" s="1154">
        <v>30</v>
      </c>
    </row>
    <row r="107" spans="1:6" s="1105" customFormat="1" ht="36">
      <c r="A107" s="1154">
        <v>47</v>
      </c>
      <c r="B107" s="3478" t="s">
        <v>1600</v>
      </c>
      <c r="C107" s="1154" t="s">
        <v>1601</v>
      </c>
      <c r="D107" s="1068" t="s">
        <v>1602</v>
      </c>
      <c r="E107" s="1139">
        <v>0.3</v>
      </c>
      <c r="F107" s="1154">
        <v>50</v>
      </c>
    </row>
    <row r="108" spans="1:6" s="1105" customFormat="1" ht="36">
      <c r="A108" s="1154">
        <v>48</v>
      </c>
      <c r="B108" s="347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78" t="s">
        <v>1611</v>
      </c>
      <c r="C111" s="1154" t="s">
        <v>1612</v>
      </c>
      <c r="D111" s="1068" t="s">
        <v>1613</v>
      </c>
      <c r="E111" s="1139">
        <v>0.2</v>
      </c>
      <c r="F111" s="1154">
        <v>30</v>
      </c>
    </row>
    <row r="112" spans="1:6" s="1105" customFormat="1" ht="24">
      <c r="A112" s="1154">
        <v>52</v>
      </c>
      <c r="B112" s="3478"/>
      <c r="C112" s="1154" t="s">
        <v>1614</v>
      </c>
      <c r="D112" s="1068" t="s">
        <v>1615</v>
      </c>
      <c r="E112" s="1139">
        <v>0.2</v>
      </c>
      <c r="F112" s="1154">
        <v>30</v>
      </c>
    </row>
    <row r="113" spans="1:14" s="1105" customFormat="1" ht="24">
      <c r="A113" s="1154">
        <v>53</v>
      </c>
      <c r="B113" s="347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78" t="s">
        <v>1624</v>
      </c>
      <c r="C116" s="1154" t="s">
        <v>1625</v>
      </c>
      <c r="D116" s="1068" t="s">
        <v>1626</v>
      </c>
      <c r="E116" s="1139">
        <v>0.2</v>
      </c>
      <c r="F116" s="1154">
        <v>30</v>
      </c>
    </row>
    <row r="117" spans="1:14" ht="36">
      <c r="A117" s="1154">
        <v>57</v>
      </c>
      <c r="B117" s="347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77" t="s">
        <v>1633</v>
      </c>
      <c r="B121" s="3477"/>
      <c r="C121" s="3477"/>
      <c r="D121" s="3477"/>
      <c r="E121" s="3477"/>
      <c r="F121" s="3477"/>
      <c r="G121" s="3477"/>
      <c r="H121" s="3477"/>
      <c r="I121" s="3477"/>
      <c r="J121" s="347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90" t="s">
        <v>1039</v>
      </c>
      <c r="B1" s="3490"/>
      <c r="C1" s="3490"/>
      <c r="D1" s="3490"/>
      <c r="E1" s="3490"/>
      <c r="F1" s="349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91" t="s">
        <v>1052</v>
      </c>
      <c r="B2" s="3491"/>
      <c r="C2" s="3491"/>
      <c r="D2" s="3491"/>
      <c r="E2" s="3491"/>
      <c r="F2" s="349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9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9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94" t="s">
        <v>2081</v>
      </c>
      <c r="B1" s="3494"/>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2953</v>
      </c>
      <c r="B1" s="3134"/>
      <c r="C1" s="3134"/>
      <c r="D1" s="3134"/>
      <c r="E1" s="3134"/>
      <c r="F1" s="3134"/>
    </row>
    <row r="2" spans="1:6" ht="14.25">
      <c r="A2" s="3135" t="s">
        <v>2947</v>
      </c>
      <c r="B2" s="3136">
        <f ca="1">SUMIF(B7:B14,"&lt;&gt;#ref!",B7:B14)</f>
        <v>14128</v>
      </c>
      <c r="C2" s="3135" t="s">
        <v>2948</v>
      </c>
      <c r="D2" s="3134"/>
      <c r="E2" s="3134"/>
      <c r="F2" s="3134"/>
    </row>
    <row r="3" spans="1:6" ht="14.25">
      <c r="A3" s="3135" t="s">
        <v>2950</v>
      </c>
      <c r="B3" s="3136" t="e">
        <f ca="1">ROUND(B2*10000/E3,0)</f>
        <v>#REF!</v>
      </c>
      <c r="C3" s="3135" t="s">
        <v>2080</v>
      </c>
      <c r="D3" s="3135" t="s">
        <v>2949</v>
      </c>
      <c r="E3" s="3136" t="e">
        <f ca="1">SUM(E7:E14)</f>
        <v>#REF!</v>
      </c>
      <c r="F3" s="3134"/>
    </row>
    <row r="4" spans="1:6" ht="14.25">
      <c r="A4" s="3135" t="s">
        <v>2957</v>
      </c>
      <c r="B4" s="3136" t="e">
        <f ca="1">ROUND(B2*10000/E4,0)</f>
        <v>#REF!</v>
      </c>
      <c r="C4" s="3135" t="s">
        <v>2080</v>
      </c>
      <c r="D4" s="3135" t="s">
        <v>2958</v>
      </c>
      <c r="E4" s="3136" t="e">
        <f ca="1">SUM(F7:F14)</f>
        <v>#REF!</v>
      </c>
      <c r="F4" s="3134"/>
    </row>
    <row r="5" spans="1:6" ht="14.25">
      <c r="A5" s="3137"/>
      <c r="B5" s="1882"/>
      <c r="C5" s="1882"/>
      <c r="D5" s="1882"/>
      <c r="E5" s="1882"/>
      <c r="F5" s="3134"/>
    </row>
    <row r="6" spans="1:6" ht="28.5">
      <c r="A6" s="3138" t="s">
        <v>2954</v>
      </c>
      <c r="B6" s="3135" t="s">
        <v>2951</v>
      </c>
      <c r="C6" s="3136"/>
      <c r="D6" s="1882"/>
      <c r="E6" s="3135" t="s">
        <v>2952</v>
      </c>
      <c r="F6" s="3135" t="s">
        <v>2956</v>
      </c>
    </row>
    <row r="7" spans="1:6" ht="14.25">
      <c r="A7" s="260" t="s">
        <v>2955</v>
      </c>
      <c r="B7" s="3139">
        <f ca="1">SUMIF(INDIRECT("'"&amp;A7&amp;"'"&amp;"!A:A"),"总价",INDIRECT("'"&amp;A7&amp;"'"&amp;"!B:B"))</f>
        <v>14128</v>
      </c>
      <c r="C7" s="3135" t="s">
        <v>2948</v>
      </c>
      <c r="D7" s="1882"/>
      <c r="E7" s="3140">
        <f ca="1">SUMIF(INDIRECT("'"&amp;A7&amp;"'"&amp;"!C:C"),"建筑面积",INDIRECT("'"&amp;A7&amp;"'"&amp;"!D:D"))</f>
        <v>60473.5</v>
      </c>
      <c r="F7" s="3140">
        <f ca="1">SUMIF(INDIRECT("'"&amp;A7&amp;"'"&amp;"!E:E"),"土地面积",INDIRECT("'"&amp;A7&amp;"'"&amp;"!F:F"))</f>
        <v>182153.37</v>
      </c>
    </row>
    <row r="8" spans="1:6" ht="14.25">
      <c r="A8" s="260"/>
      <c r="B8" s="3139" t="e">
        <f t="shared" ref="B8:B14" ca="1" si="0">SUMIF(INDIRECT("'"&amp;A8&amp;"'"&amp;"!A:A"),"总价",INDIRECT("'"&amp;A8&amp;"'"&amp;"!B:B"))</f>
        <v>#REF!</v>
      </c>
      <c r="C8" s="3135" t="s">
        <v>2948</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2948</v>
      </c>
      <c r="D9" s="1882"/>
      <c r="E9" s="3140" t="e">
        <f t="shared" ca="1" si="1"/>
        <v>#REF!</v>
      </c>
      <c r="F9" s="3140" t="e">
        <f t="shared" ca="1" si="2"/>
        <v>#REF!</v>
      </c>
    </row>
    <row r="10" spans="1:6" ht="14.25">
      <c r="A10" s="260"/>
      <c r="B10" s="3139" t="e">
        <f t="shared" ca="1" si="0"/>
        <v>#REF!</v>
      </c>
      <c r="C10" s="3135" t="s">
        <v>2948</v>
      </c>
      <c r="D10" s="1882"/>
      <c r="E10" s="3140" t="e">
        <f t="shared" ca="1" si="1"/>
        <v>#REF!</v>
      </c>
      <c r="F10" s="3140" t="e">
        <f t="shared" ca="1" si="2"/>
        <v>#REF!</v>
      </c>
    </row>
    <row r="11" spans="1:6" ht="14.25">
      <c r="A11" s="260"/>
      <c r="B11" s="3139" t="e">
        <f t="shared" ca="1" si="0"/>
        <v>#REF!</v>
      </c>
      <c r="C11" s="3135" t="s">
        <v>2948</v>
      </c>
      <c r="D11" s="1882"/>
      <c r="E11" s="3140" t="e">
        <f t="shared" ca="1" si="1"/>
        <v>#REF!</v>
      </c>
      <c r="F11" s="3140" t="e">
        <f t="shared" ca="1" si="2"/>
        <v>#REF!</v>
      </c>
    </row>
    <row r="12" spans="1:6" ht="14.25">
      <c r="A12" s="260"/>
      <c r="B12" s="3139" t="e">
        <f t="shared" ca="1" si="0"/>
        <v>#REF!</v>
      </c>
      <c r="C12" s="3135" t="s">
        <v>2948</v>
      </c>
      <c r="D12" s="1882"/>
      <c r="E12" s="3140" t="e">
        <f t="shared" ca="1" si="1"/>
        <v>#REF!</v>
      </c>
      <c r="F12" s="3140" t="e">
        <f t="shared" ca="1" si="2"/>
        <v>#REF!</v>
      </c>
    </row>
    <row r="13" spans="1:6" ht="14.25">
      <c r="A13" s="260"/>
      <c r="B13" s="3139" t="e">
        <f t="shared" ca="1" si="0"/>
        <v>#REF!</v>
      </c>
      <c r="C13" s="3135" t="s">
        <v>2948</v>
      </c>
      <c r="D13" s="1882"/>
      <c r="E13" s="3140" t="e">
        <f t="shared" ca="1" si="1"/>
        <v>#REF!</v>
      </c>
      <c r="F13" s="3140" t="e">
        <f t="shared" ca="1" si="2"/>
        <v>#REF!</v>
      </c>
    </row>
    <row r="14" spans="1:6" ht="14.25">
      <c r="A14" s="3133"/>
      <c r="B14" s="3139" t="e">
        <f t="shared" ca="1" si="0"/>
        <v>#REF!</v>
      </c>
      <c r="C14" s="3135" t="s">
        <v>2948</v>
      </c>
      <c r="D14" s="1882"/>
      <c r="E14" s="3140" t="e">
        <f t="shared" ca="1" si="1"/>
        <v>#REF!</v>
      </c>
      <c r="F14" s="3140" t="e">
        <f t="shared" ca="1" si="2"/>
        <v>#REF!</v>
      </c>
    </row>
  </sheetData>
  <sheetProtection password="C66D" sheet="1" objects="1" scenarios="1"/>
  <phoneticPr fontId="23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496" t="s">
        <v>2466</v>
      </c>
      <c r="C8" s="1826">
        <f ca="1">ROUND(F8*F10*F9*(1-F11)/10000,0)</f>
        <v>0</v>
      </c>
      <c r="D8" s="1823" t="s">
        <v>2537</v>
      </c>
      <c r="E8" s="61" t="s">
        <v>636</v>
      </c>
      <c r="F8" s="785">
        <f ca="1">INDIRECT("'数据-取费表'!u"&amp;$G$1)</f>
        <v>0</v>
      </c>
      <c r="G8" s="1592"/>
      <c r="H8" s="2529" t="s">
        <v>1824</v>
      </c>
      <c r="I8" s="3496" t="s">
        <v>2466</v>
      </c>
      <c r="J8" s="783">
        <f ca="1">ROUND(M8*M10*M9*(1-M11)/10000,0)</f>
        <v>0</v>
      </c>
      <c r="K8" s="341" t="s">
        <v>2537</v>
      </c>
      <c r="L8" s="784" t="s">
        <v>1738</v>
      </c>
      <c r="M8" s="785">
        <f ca="1">INDIRECT("'数据-取费表'!z"&amp;$G$1)</f>
        <v>0</v>
      </c>
    </row>
    <row r="9" spans="1:25" ht="18" customHeight="1">
      <c r="A9" s="2525"/>
      <c r="B9" s="3497"/>
      <c r="C9" s="1827"/>
      <c r="D9" s="1824"/>
      <c r="E9" s="61" t="s">
        <v>637</v>
      </c>
      <c r="F9" s="785">
        <f ca="1">IF(INDIRECT("'数据-取费表'!ah"&amp;$G$1)="",INDIRECT("'数据-取费表'!k"&amp;$G$1),INDIRECT("'数据-取费表'!ah"&amp;$G$1))</f>
        <v>0</v>
      </c>
      <c r="G9" s="1592"/>
      <c r="H9" s="2514"/>
      <c r="I9" s="3497"/>
      <c r="J9" s="788"/>
      <c r="K9" s="789"/>
      <c r="L9" s="784" t="s">
        <v>1739</v>
      </c>
      <c r="M9" s="785">
        <f ca="1">F9</f>
        <v>0</v>
      </c>
    </row>
    <row r="10" spans="1:25" ht="18" customHeight="1">
      <c r="A10" s="2518"/>
      <c r="B10" s="3498"/>
      <c r="C10" s="1827"/>
      <c r="D10" s="1824"/>
      <c r="E10" s="61" t="s">
        <v>638</v>
      </c>
      <c r="F10" s="785">
        <f ca="1">INDIRECT("'数据-取费表'!ai"&amp;$G$1)</f>
        <v>0</v>
      </c>
      <c r="G10" s="1592"/>
      <c r="H10" s="2514"/>
      <c r="I10" s="3498"/>
      <c r="J10" s="788"/>
      <c r="K10" s="789"/>
      <c r="L10" s="784" t="s">
        <v>1740</v>
      </c>
      <c r="M10" s="785">
        <f ca="1">INDIRECT("'数据-取费表'!ai"&amp;$G$1)</f>
        <v>0</v>
      </c>
    </row>
    <row r="11" spans="1:25" ht="18" customHeight="1">
      <c r="A11" s="786"/>
      <c r="B11" s="3499"/>
      <c r="C11" s="1827"/>
      <c r="D11" s="1824"/>
      <c r="E11" s="61" t="s">
        <v>639</v>
      </c>
      <c r="F11" s="794">
        <f ca="1">INDIRECT("'数据-取费表'!w"&amp;$G$1)</f>
        <v>0</v>
      </c>
      <c r="G11" s="1592"/>
      <c r="H11" s="2530"/>
      <c r="I11" s="3498"/>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2978</v>
      </c>
      <c r="E12" s="2523" t="s">
        <v>2467</v>
      </c>
      <c r="F12" s="2646"/>
      <c r="G12" s="1592"/>
      <c r="H12" s="2586" t="s">
        <v>1825</v>
      </c>
      <c r="I12" s="2591" t="s">
        <v>2462</v>
      </c>
      <c r="J12" s="783">
        <f ca="1">ROUND(IF(M12="押一",J8/12*M13,IF(M12="押二",J8/12*2*M13,IF(M12="押三",J8/12*3*M13,J13*M13))),0)</f>
        <v>0</v>
      </c>
      <c r="K12" s="2526" t="s">
        <v>2978</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495"/>
      <c r="J36" s="2080"/>
      <c r="K36" s="2081"/>
      <c r="L36" s="2080"/>
      <c r="M36" s="2080"/>
    </row>
    <row r="37" spans="1:18" ht="18" customHeight="1">
      <c r="A37" s="815"/>
      <c r="B37" s="793"/>
      <c r="C37" s="69"/>
      <c r="D37" s="816"/>
      <c r="E37" s="784" t="s">
        <v>673</v>
      </c>
      <c r="F37" s="785">
        <f ca="1">INDIRECT("'数据-取费表'!r"&amp;$G$1)</f>
        <v>0</v>
      </c>
      <c r="G37" s="2063"/>
      <c r="H37" s="2066"/>
      <c r="I37" s="3495"/>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3" t="s">
        <v>2966</v>
      </c>
      <c r="F43" s="3154">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5"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0"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27.17</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500"/>
      <c r="L54" s="3501"/>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7" t="s">
        <v>2358</v>
      </c>
      <c r="J56" s="3151"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0" t="s">
        <v>1678</v>
      </c>
      <c r="K57" s="2384" t="s">
        <v>2365</v>
      </c>
      <c r="L57" s="2393">
        <f ca="1">IF(L49&lt;J52,"——",L49-J52)</f>
        <v>27.17</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2"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29" t="s">
        <v>2945</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0">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1">
        <v>0</v>
      </c>
      <c r="O65" s="2429" t="s">
        <v>2418</v>
      </c>
      <c r="P65" s="1592"/>
      <c r="Q65" s="1604"/>
      <c r="R65" s="1592"/>
    </row>
    <row r="66" spans="1:18" s="2060" customFormat="1" ht="15.75" thickBot="1">
      <c r="A66" s="2097"/>
      <c r="B66" s="2098"/>
      <c r="C66" s="2098"/>
      <c r="I66" s="2410" t="s">
        <v>2375</v>
      </c>
      <c r="J66" s="2411">
        <v>40</v>
      </c>
      <c r="K66" s="2411">
        <v>30</v>
      </c>
      <c r="L66" s="2411">
        <v>50</v>
      </c>
      <c r="M66" s="3130">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7.0000000000000007E-2</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6"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182153.37平方米。根据《建设工程规划许可证》[]、《出让合同》[]，估价对象规划建筑面积为60473.5平方米。</v>
      </c>
    </row>
    <row r="7" spans="1:4" ht="56.25">
      <c r="A7" s="1796"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2018年5月2日（评估专业人员勘察现场之日）</v>
      </c>
    </row>
    <row r="12" spans="1:4" ht="18.75">
      <c r="A12" s="1798" t="s">
        <v>2027</v>
      </c>
    </row>
    <row r="13" spans="1:4" ht="18.75">
      <c r="A13" s="1792" t="s">
        <v>2944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2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2984</v>
      </c>
      <c r="D1" s="3156" t="s">
        <v>951</v>
      </c>
      <c r="E1" s="2412" t="s">
        <v>2377</v>
      </c>
      <c r="F1" s="2413">
        <f ca="1">J53</f>
        <v>27.17</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23896</v>
      </c>
      <c r="C2" s="2058"/>
      <c r="D2" s="2056"/>
      <c r="E2" s="2057"/>
      <c r="F2" s="2057"/>
      <c r="G2" s="1590"/>
      <c r="H2" s="2058"/>
      <c r="I2" s="2058"/>
      <c r="J2" s="2058"/>
      <c r="K2" s="2059"/>
      <c r="L2" s="2058"/>
      <c r="M2" s="2058"/>
    </row>
    <row r="3" spans="1:33" ht="18" customHeight="1" thickBot="1">
      <c r="A3" s="833" t="s">
        <v>1727</v>
      </c>
      <c r="B3" s="834">
        <f ca="1">IF(ISERROR(B2*10000/F43),0,ROUND(B2*10000/F43,0))</f>
        <v>11005</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1506</v>
      </c>
      <c r="D6" s="2522" t="s">
        <v>2465</v>
      </c>
      <c r="E6" s="784" t="s">
        <v>1738</v>
      </c>
      <c r="F6" s="785">
        <f ca="1">INDIRECT("'数据-取费表'!u"&amp;$G$1)</f>
        <v>2</v>
      </c>
      <c r="G6" s="1592"/>
      <c r="H6" s="2529" t="s">
        <v>2471</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21713.300000000003</v>
      </c>
      <c r="G7" s="1592"/>
      <c r="H7" s="2514"/>
      <c r="I7" s="3497"/>
      <c r="J7" s="788"/>
      <c r="K7" s="789"/>
      <c r="L7" s="784" t="s">
        <v>1739</v>
      </c>
      <c r="M7" s="785">
        <f ca="1">F7</f>
        <v>21713.300000000003</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2978</v>
      </c>
      <c r="E10" s="2523" t="s">
        <v>2467</v>
      </c>
      <c r="F10" s="2646"/>
      <c r="G10" s="1592"/>
      <c r="H10" s="2586" t="s">
        <v>2472</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2456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4093</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354</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354</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343.8</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-354</v>
      </c>
      <c r="K25" s="2573" t="s">
        <v>1777</v>
      </c>
      <c r="L25" s="2574"/>
      <c r="M25" s="2575"/>
    </row>
    <row r="26" spans="1:33" ht="18" customHeight="1">
      <c r="A26" s="1648" t="s">
        <v>1831</v>
      </c>
      <c r="B26" s="784" t="s">
        <v>2441</v>
      </c>
      <c r="C26" s="53">
        <f ca="1">ROUND((C19+C20)*F26,0)</f>
        <v>483</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4093</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172</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0.13900000000000001</v>
      </c>
      <c r="K39" s="2084"/>
      <c r="L39" s="2078"/>
      <c r="M39" s="2078"/>
    </row>
    <row r="40" spans="1:18" ht="18" customHeight="1">
      <c r="A40" s="781" t="s">
        <v>1895</v>
      </c>
      <c r="B40" s="2233" t="s">
        <v>2303</v>
      </c>
      <c r="C40" s="783">
        <f ca="1">ROUND(C39*(1-((1+F42)/(1+F40))^F41)/(F40-F42),0)</f>
        <v>23896</v>
      </c>
      <c r="D40" s="814" t="s">
        <v>1807</v>
      </c>
      <c r="E40" s="784" t="s">
        <v>2422</v>
      </c>
      <c r="F40" s="794">
        <f ca="1">INDIRECT("'数据-取费表'!I"&amp;$G$1)</f>
        <v>0.04</v>
      </c>
      <c r="G40" s="2063"/>
      <c r="H40" s="2063"/>
      <c r="I40" s="837" t="s">
        <v>1819</v>
      </c>
      <c r="J40" s="845">
        <f ca="1">1-J39</f>
        <v>0.86099999999999999</v>
      </c>
      <c r="K40" s="2084"/>
      <c r="L40" s="2063"/>
      <c r="M40" s="2063"/>
    </row>
    <row r="41" spans="1:18" ht="18" customHeight="1">
      <c r="A41" s="786"/>
      <c r="B41" s="787"/>
      <c r="C41" s="788"/>
      <c r="D41" s="821" t="s">
        <v>1808</v>
      </c>
      <c r="E41" s="784" t="s">
        <v>2968</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0.10299999999999999</v>
      </c>
      <c r="K42" s="2083"/>
      <c r="L42" s="1989"/>
      <c r="M42" s="1989"/>
    </row>
    <row r="43" spans="1:18" ht="18" customHeight="1" thickBot="1">
      <c r="A43" s="823" t="s">
        <v>1787</v>
      </c>
      <c r="B43" s="824" t="s">
        <v>1810</v>
      </c>
      <c r="C43" s="825">
        <f ca="1">ROUND(C40*10000/F43,0)</f>
        <v>11005</v>
      </c>
      <c r="D43" s="826" t="s">
        <v>1811</v>
      </c>
      <c r="E43" s="827" t="s">
        <v>1812</v>
      </c>
      <c r="F43" s="828">
        <f ca="1">INDIRECT("'数据-取费表'!k"&amp;$G$1)</f>
        <v>21713.300000000003</v>
      </c>
      <c r="G43" s="2063"/>
      <c r="H43" s="1989"/>
      <c r="I43" s="847" t="s">
        <v>1822</v>
      </c>
      <c r="J43" s="848">
        <f ca="1">1-J42</f>
        <v>0.89700000000000002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-24060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3027</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27.17</v>
      </c>
      <c r="O48" s="2423" t="s">
        <v>2382</v>
      </c>
      <c r="P48" s="2424" t="s">
        <v>2408</v>
      </c>
      <c r="Q48" s="2425">
        <f ca="1">C40+J29</f>
        <v>23896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4093</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18446</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2979</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23896</v>
      </c>
      <c r="R54" s="2428" t="s">
        <v>2395</v>
      </c>
    </row>
    <row r="55" spans="1:18" s="2060" customFormat="1" ht="18" customHeight="1" thickTop="1" thickBot="1">
      <c r="A55" s="797">
        <v>2</v>
      </c>
      <c r="B55" s="798" t="s">
        <v>643</v>
      </c>
      <c r="C55" s="799">
        <f ca="1">C13</f>
        <v>2456</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4093</v>
      </c>
      <c r="D56" s="2664"/>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23896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65403.040000000001</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30">
        <v>0.02</v>
      </c>
      <c r="O63" s="2423" t="s">
        <v>2394</v>
      </c>
      <c r="P63" s="2424" t="s">
        <v>2411</v>
      </c>
      <c r="Q63" s="2425">
        <f ca="1">Q57+Q58</f>
        <v>23896</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-10</v>
      </c>
      <c r="D66" s="2663" t="s">
        <v>699</v>
      </c>
      <c r="E66" s="2662"/>
      <c r="F66" s="820"/>
      <c r="K66" s="2087"/>
      <c r="O66" s="2423" t="s">
        <v>2382</v>
      </c>
      <c r="P66" s="2424" t="s">
        <v>2412</v>
      </c>
      <c r="Q66" s="2425">
        <f ca="1">C40+J29</f>
        <v>23896</v>
      </c>
      <c r="R66" s="2424" t="s">
        <v>2383</v>
      </c>
    </row>
    <row r="67" spans="1:18" s="2060" customFormat="1" ht="20.25"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18446</v>
      </c>
      <c r="R68" s="2431" t="s">
        <v>2419</v>
      </c>
    </row>
    <row r="69" spans="1:18" ht="20.25" thickBot="1">
      <c r="A69" s="790"/>
      <c r="B69" s="791"/>
      <c r="C69" s="792"/>
      <c r="D69" s="816"/>
      <c r="E69" s="784" t="s">
        <v>709</v>
      </c>
      <c r="F69" s="2372"/>
      <c r="O69" s="2426" t="s">
        <v>2387</v>
      </c>
      <c r="P69" s="2432" t="s">
        <v>2401</v>
      </c>
      <c r="Q69" s="2425">
        <f ca="1">ROUND(Q70-Q71*Q72,0)</f>
        <v>1063</v>
      </c>
      <c r="R69" s="2428"/>
    </row>
    <row r="70" spans="1:18" ht="15.75"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5.75" thickBot="1">
      <c r="O71" s="2426" t="s">
        <v>2404</v>
      </c>
      <c r="P71" s="2432" t="s">
        <v>2405</v>
      </c>
      <c r="Q71" s="2425">
        <f ca="1">C13</f>
        <v>2456</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23896</v>
      </c>
      <c r="R76" s="2428" t="s">
        <v>2395</v>
      </c>
    </row>
  </sheetData>
  <sheetProtection password="C66D" sheet="1" objects="1" scenarios="1" formatCells="0" formatColumns="0" formatRows="0"/>
  <mergeCells count="3">
    <mergeCell ref="K53:L53"/>
    <mergeCell ref="B6:B9"/>
    <mergeCell ref="I6:I9"/>
  </mergeCells>
  <phoneticPr fontId="6" type="noConversion"/>
  <conditionalFormatting sqref="K55">
    <cfRule type="expression" dxfId="131" priority="7">
      <formula>$L$48&gt;$J$51</formula>
    </cfRule>
  </conditionalFormatting>
  <conditionalFormatting sqref="I55">
    <cfRule type="expression" dxfId="130" priority="8">
      <formula>$J$51&gt;$L$48</formula>
    </cfRule>
  </conditionalFormatting>
  <conditionalFormatting sqref="I60">
    <cfRule type="expression" dxfId="129" priority="6">
      <formula>$J$51&gt;$L$48</formula>
    </cfRule>
  </conditionalFormatting>
  <conditionalFormatting sqref="K60">
    <cfRule type="expression" dxfId="128" priority="5">
      <formula>$L$48&gt;$J$51</formula>
    </cfRule>
  </conditionalFormatting>
  <conditionalFormatting sqref="C11">
    <cfRule type="expression" dxfId="127" priority="4">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0" t="s">
        <v>2474</v>
      </c>
      <c r="B1" s="3521"/>
      <c r="C1" s="3522"/>
      <c r="D1" s="3523">
        <f>SUM(I10,I15,I20,I21,I23)</f>
        <v>0</v>
      </c>
      <c r="E1" s="3523"/>
      <c r="F1" s="3523"/>
      <c r="G1" s="3523"/>
      <c r="H1" s="3523"/>
      <c r="I1" s="3524"/>
    </row>
    <row r="2" spans="1:9">
      <c r="A2" s="3510" t="s">
        <v>2475</v>
      </c>
      <c r="B2" s="3511" t="s">
        <v>2476</v>
      </c>
      <c r="C2" s="3511"/>
      <c r="D2" s="2532" t="s">
        <v>2477</v>
      </c>
      <c r="E2" s="2532" t="s">
        <v>2478</v>
      </c>
      <c r="F2" s="2532" t="s">
        <v>2479</v>
      </c>
      <c r="G2" s="2532" t="s">
        <v>2480</v>
      </c>
      <c r="H2" s="2532" t="s">
        <v>2481</v>
      </c>
      <c r="I2" s="2533" t="s">
        <v>2482</v>
      </c>
    </row>
    <row r="3" spans="1:9">
      <c r="A3" s="3510"/>
      <c r="B3" s="3511" t="s">
        <v>2483</v>
      </c>
      <c r="C3" s="3511"/>
      <c r="D3" s="2534"/>
      <c r="E3" s="2532"/>
      <c r="F3" s="2535"/>
      <c r="G3" s="2535"/>
      <c r="H3" s="2536"/>
      <c r="I3" s="2537">
        <f>ROUND(D3*E3*F3*G3*H3/10000,0)</f>
        <v>0</v>
      </c>
    </row>
    <row r="4" spans="1:9">
      <c r="A4" s="3510"/>
      <c r="B4" s="3511" t="s">
        <v>2484</v>
      </c>
      <c r="C4" s="3511"/>
      <c r="D4" s="2534"/>
      <c r="E4" s="2532"/>
      <c r="F4" s="2535"/>
      <c r="G4" s="2535"/>
      <c r="H4" s="2536"/>
      <c r="I4" s="2537">
        <f t="shared" ref="I4:I9" si="0">ROUND(D4*E4*F4*G4*H4/10000,0)</f>
        <v>0</v>
      </c>
    </row>
    <row r="5" spans="1:9">
      <c r="A5" s="3510"/>
      <c r="B5" s="3511" t="s">
        <v>2485</v>
      </c>
      <c r="C5" s="3511"/>
      <c r="D5" s="2534"/>
      <c r="E5" s="2532"/>
      <c r="F5" s="2535"/>
      <c r="G5" s="2535"/>
      <c r="H5" s="2536"/>
      <c r="I5" s="2537">
        <f t="shared" si="0"/>
        <v>0</v>
      </c>
    </row>
    <row r="6" spans="1:9">
      <c r="A6" s="3510"/>
      <c r="B6" s="3511" t="s">
        <v>2486</v>
      </c>
      <c r="C6" s="3511"/>
      <c r="D6" s="2534"/>
      <c r="E6" s="2532"/>
      <c r="F6" s="2535"/>
      <c r="G6" s="2535"/>
      <c r="H6" s="2536"/>
      <c r="I6" s="2537">
        <f t="shared" si="0"/>
        <v>0</v>
      </c>
    </row>
    <row r="7" spans="1:9">
      <c r="A7" s="3510"/>
      <c r="B7" s="3511" t="s">
        <v>2487</v>
      </c>
      <c r="C7" s="3511"/>
      <c r="D7" s="2534"/>
      <c r="E7" s="2532"/>
      <c r="F7" s="2535"/>
      <c r="G7" s="2535"/>
      <c r="H7" s="2536"/>
      <c r="I7" s="2537">
        <f t="shared" si="0"/>
        <v>0</v>
      </c>
    </row>
    <row r="8" spans="1:9">
      <c r="A8" s="3510"/>
      <c r="B8" s="3511" t="s">
        <v>2488</v>
      </c>
      <c r="C8" s="3511"/>
      <c r="D8" s="2534"/>
      <c r="E8" s="2532"/>
      <c r="F8" s="2535"/>
      <c r="G8" s="2535"/>
      <c r="H8" s="2536"/>
      <c r="I8" s="2537">
        <f t="shared" si="0"/>
        <v>0</v>
      </c>
    </row>
    <row r="9" spans="1:9">
      <c r="A9" s="3510"/>
      <c r="B9" s="3511" t="s">
        <v>2489</v>
      </c>
      <c r="C9" s="3511"/>
      <c r="D9" s="2534"/>
      <c r="E9" s="2532"/>
      <c r="F9" s="2535"/>
      <c r="G9" s="2535"/>
      <c r="H9" s="2536"/>
      <c r="I9" s="2537">
        <f t="shared" si="0"/>
        <v>0</v>
      </c>
    </row>
    <row r="10" spans="1:9">
      <c r="A10" s="3510"/>
      <c r="B10" s="3512" t="s">
        <v>2490</v>
      </c>
      <c r="C10" s="3512"/>
      <c r="D10" s="2538">
        <v>527</v>
      </c>
      <c r="E10" s="2538" t="e">
        <f>ROUND(D1*10000/D10/H9,0)</f>
        <v>#DIV/0!</v>
      </c>
      <c r="F10" s="2539"/>
      <c r="G10" s="2539"/>
      <c r="H10" s="2540"/>
      <c r="I10" s="2541">
        <f>SUM(I3:I9)</f>
        <v>0</v>
      </c>
    </row>
    <row r="11" spans="1:9" ht="14.25">
      <c r="A11" s="3510" t="s">
        <v>2491</v>
      </c>
      <c r="B11" s="3511" t="s">
        <v>2492</v>
      </c>
      <c r="C11" s="3511"/>
      <c r="D11" s="2534" t="s">
        <v>2493</v>
      </c>
      <c r="E11" s="2534" t="s">
        <v>2494</v>
      </c>
      <c r="F11" s="2535" t="s">
        <v>2495</v>
      </c>
      <c r="G11" s="2535" t="s">
        <v>2496</v>
      </c>
      <c r="H11" s="2542" t="s">
        <v>2497</v>
      </c>
      <c r="I11" s="2533" t="s">
        <v>2498</v>
      </c>
    </row>
    <row r="12" spans="1:9">
      <c r="A12" s="3510"/>
      <c r="B12" s="3511" t="s">
        <v>2499</v>
      </c>
      <c r="C12" s="3511"/>
      <c r="D12" s="2534"/>
      <c r="E12" s="2534"/>
      <c r="F12" s="2535"/>
      <c r="G12" s="2536"/>
      <c r="H12" s="2543"/>
      <c r="I12" s="2533">
        <f>ROUND(D12*E12*F12*G12/10000,0)</f>
        <v>0</v>
      </c>
    </row>
    <row r="13" spans="1:9">
      <c r="A13" s="3510"/>
      <c r="B13" s="3511" t="s">
        <v>2500</v>
      </c>
      <c r="C13" s="3511"/>
      <c r="D13" s="2534"/>
      <c r="E13" s="2534"/>
      <c r="F13" s="2535"/>
      <c r="G13" s="2536"/>
      <c r="H13" s="2543"/>
      <c r="I13" s="2533">
        <f>ROUND(D13*E13*F13*G13/10000,0)</f>
        <v>0</v>
      </c>
    </row>
    <row r="14" spans="1:9">
      <c r="A14" s="3510"/>
      <c r="B14" s="3511" t="s">
        <v>2501</v>
      </c>
      <c r="C14" s="3511"/>
      <c r="D14" s="2534"/>
      <c r="E14" s="2534"/>
      <c r="F14" s="2535"/>
      <c r="G14" s="2536"/>
      <c r="H14" s="2543"/>
      <c r="I14" s="2533">
        <f>ROUND(D14*E14*F14*G14/10000,0)</f>
        <v>0</v>
      </c>
    </row>
    <row r="15" spans="1:9">
      <c r="A15" s="3510"/>
      <c r="B15" s="3512" t="s">
        <v>2490</v>
      </c>
      <c r="C15" s="3512"/>
      <c r="D15" s="2538"/>
      <c r="E15" s="2538">
        <f>SUM(E12:E14)</f>
        <v>0</v>
      </c>
      <c r="F15" s="2539"/>
      <c r="G15" s="2536"/>
      <c r="H15" s="2543"/>
      <c r="I15" s="2544">
        <f>SUM(I12:I14)</f>
        <v>0</v>
      </c>
    </row>
    <row r="16" spans="1:9" ht="24">
      <c r="A16" s="3510" t="s">
        <v>2502</v>
      </c>
      <c r="B16" s="3511" t="s">
        <v>2503</v>
      </c>
      <c r="C16" s="3511"/>
      <c r="D16" s="2534" t="s">
        <v>2504</v>
      </c>
      <c r="E16" s="2545" t="s">
        <v>2505</v>
      </c>
      <c r="F16" s="2535" t="s">
        <v>2506</v>
      </c>
      <c r="G16" s="2536" t="s">
        <v>2496</v>
      </c>
      <c r="H16" s="2542" t="s">
        <v>2497</v>
      </c>
      <c r="I16" s="2533" t="s">
        <v>2498</v>
      </c>
    </row>
    <row r="17" spans="1:9" ht="14.25">
      <c r="A17" s="3510"/>
      <c r="B17" s="3511" t="s">
        <v>2507</v>
      </c>
      <c r="C17" s="3511"/>
      <c r="D17" s="2534"/>
      <c r="E17" s="2534"/>
      <c r="F17" s="2535"/>
      <c r="G17" s="2536"/>
      <c r="H17" s="2546"/>
      <c r="I17" s="2547">
        <f>ROUND(D17*E17*F17*G17/10000,0)</f>
        <v>0</v>
      </c>
    </row>
    <row r="18" spans="1:9" ht="14.25">
      <c r="A18" s="3510"/>
      <c r="B18" s="3511" t="s">
        <v>2508</v>
      </c>
      <c r="C18" s="3511"/>
      <c r="D18" s="2534"/>
      <c r="E18" s="2534"/>
      <c r="F18" s="2535"/>
      <c r="G18" s="2536"/>
      <c r="H18" s="2546"/>
      <c r="I18" s="2547">
        <f>ROUND(D18*E18*F18*G18/10000,0)</f>
        <v>0</v>
      </c>
    </row>
    <row r="19" spans="1:9" ht="14.25">
      <c r="A19" s="3510"/>
      <c r="B19" s="3511" t="s">
        <v>2509</v>
      </c>
      <c r="C19" s="3511"/>
      <c r="D19" s="2534"/>
      <c r="E19" s="2534"/>
      <c r="F19" s="2535"/>
      <c r="G19" s="2536"/>
      <c r="H19" s="2546"/>
      <c r="I19" s="2547">
        <f>ROUND(D19*E19*F19*G19/10000,0)</f>
        <v>0</v>
      </c>
    </row>
    <row r="20" spans="1:9">
      <c r="A20" s="3510"/>
      <c r="B20" s="3512" t="s">
        <v>2490</v>
      </c>
      <c r="C20" s="3512"/>
      <c r="D20" s="2538">
        <f>SUM(D17:D19)</f>
        <v>0</v>
      </c>
      <c r="E20" s="2538"/>
      <c r="F20" s="2539"/>
      <c r="G20" s="2536"/>
      <c r="H20" s="2543"/>
      <c r="I20" s="2544">
        <f>SUM(I17:I19)</f>
        <v>0</v>
      </c>
    </row>
    <row r="21" spans="1:9">
      <c r="A21" s="3510" t="s">
        <v>2510</v>
      </c>
      <c r="B21" s="3513"/>
      <c r="C21" s="3513"/>
      <c r="D21" s="3513"/>
      <c r="E21" s="3513"/>
      <c r="F21" s="3513"/>
      <c r="G21" s="3513"/>
      <c r="H21" s="2548">
        <v>0.1</v>
      </c>
      <c r="I21" s="2541">
        <f>ROUND(I10*H21,0)</f>
        <v>0</v>
      </c>
    </row>
    <row r="22" spans="1:9" ht="14.25">
      <c r="A22" s="3514" t="s">
        <v>2511</v>
      </c>
      <c r="B22" s="3515"/>
      <c r="C22" s="3516"/>
      <c r="D22" s="2549" t="s">
        <v>2512</v>
      </c>
      <c r="E22" s="2549" t="s">
        <v>2513</v>
      </c>
      <c r="F22" s="2550" t="s">
        <v>2514</v>
      </c>
      <c r="G22" s="2550" t="s">
        <v>2515</v>
      </c>
      <c r="H22" s="2542" t="s">
        <v>2516</v>
      </c>
      <c r="I22" s="2533" t="s">
        <v>2517</v>
      </c>
    </row>
    <row r="23" spans="1:9" ht="14.25" thickBot="1">
      <c r="A23" s="3517"/>
      <c r="B23" s="3518"/>
      <c r="C23" s="3519"/>
      <c r="D23" s="2551"/>
      <c r="E23" s="2551"/>
      <c r="F23" s="2551"/>
      <c r="G23" s="2552"/>
      <c r="H23" s="2553"/>
      <c r="I23" s="2554">
        <f>ROUND(E23*D23*F23*(1-G23)/10000,0)</f>
        <v>0</v>
      </c>
    </row>
    <row r="26" spans="1:9">
      <c r="A26" s="2555" t="s">
        <v>2518</v>
      </c>
      <c r="B26" s="2555"/>
      <c r="C26" s="2555"/>
      <c r="D26" s="2555"/>
      <c r="E26" s="3507">
        <f>C27-C30-C31-C32</f>
        <v>0</v>
      </c>
      <c r="F26" s="3507"/>
      <c r="G26" s="3507"/>
      <c r="H26" s="3068" t="s">
        <v>2844</v>
      </c>
    </row>
    <row r="27" spans="1:9">
      <c r="A27" s="2556">
        <v>1</v>
      </c>
      <c r="B27" s="2557" t="s">
        <v>2519</v>
      </c>
      <c r="C27" s="2557"/>
      <c r="D27" s="2557"/>
      <c r="E27" s="3508"/>
      <c r="F27" s="3508"/>
      <c r="G27" s="3508"/>
    </row>
    <row r="28" spans="1:9">
      <c r="A28" s="2558" t="s">
        <v>2520</v>
      </c>
      <c r="B28" s="2557" t="s">
        <v>2521</v>
      </c>
      <c r="C28" s="2557"/>
      <c r="D28" s="2557"/>
      <c r="E28" s="3508"/>
      <c r="F28" s="3508"/>
      <c r="G28" s="3508"/>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509"/>
      <c r="F32" s="3509"/>
      <c r="G32" s="3509"/>
    </row>
    <row r="33" spans="1:7" hidden="1">
      <c r="A33" s="3504" t="s">
        <v>2529</v>
      </c>
      <c r="B33" s="3505"/>
      <c r="C33" s="3505"/>
      <c r="D33" s="3506"/>
      <c r="E33" s="3507"/>
      <c r="F33" s="3507"/>
      <c r="G33" s="3507"/>
    </row>
    <row r="34" spans="1:7" hidden="1">
      <c r="A34" s="2560">
        <v>1</v>
      </c>
      <c r="B34" s="2557" t="s">
        <v>2530</v>
      </c>
      <c r="C34" s="2557"/>
      <c r="D34" s="2557"/>
      <c r="E34" s="3508"/>
      <c r="F34" s="3508"/>
      <c r="G34" s="3508"/>
    </row>
    <row r="35" spans="1:7" hidden="1">
      <c r="A35" s="2560">
        <v>2</v>
      </c>
      <c r="B35" s="2557" t="s">
        <v>2531</v>
      </c>
      <c r="C35" s="2557"/>
      <c r="D35" s="2557"/>
      <c r="E35" s="3508"/>
      <c r="F35" s="3508"/>
      <c r="G35" s="3508"/>
    </row>
    <row r="36" spans="1:7" hidden="1">
      <c r="A36" s="2560">
        <v>3</v>
      </c>
      <c r="B36" s="2557" t="s">
        <v>2532</v>
      </c>
      <c r="C36" s="2557"/>
      <c r="D36" s="2557"/>
      <c r="E36" s="3508"/>
      <c r="F36" s="3508"/>
      <c r="G36" s="3508"/>
    </row>
    <row r="37" spans="1:7" hidden="1">
      <c r="A37" s="2560">
        <v>4</v>
      </c>
      <c r="B37" s="2557" t="s">
        <v>2533</v>
      </c>
      <c r="C37" s="2557"/>
      <c r="D37" s="2557"/>
      <c r="E37" s="3508"/>
      <c r="F37" s="3508"/>
      <c r="G37" s="3508"/>
    </row>
    <row r="38" spans="1:7" hidden="1">
      <c r="A38" s="3504" t="s">
        <v>2534</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2992</v>
      </c>
      <c r="D1" s="3156" t="s">
        <v>951</v>
      </c>
      <c r="E1" s="2412" t="s">
        <v>2377</v>
      </c>
      <c r="F1" s="2413">
        <f ca="1">J53</f>
        <v>27.17</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22096</v>
      </c>
      <c r="C2" s="2058"/>
      <c r="D2" s="2056"/>
      <c r="E2" s="2057"/>
      <c r="F2" s="2057"/>
      <c r="G2" s="1590"/>
      <c r="H2" s="2058"/>
      <c r="I2" s="2058"/>
      <c r="J2" s="2058"/>
      <c r="K2" s="2059"/>
      <c r="L2" s="2058"/>
      <c r="M2" s="2058"/>
    </row>
    <row r="3" spans="1:33" ht="18" customHeight="1" thickBot="1">
      <c r="A3" s="833" t="s">
        <v>1727</v>
      </c>
      <c r="B3" s="834">
        <f ca="1">IF(ISERROR(B2*10000/F43),0,ROUND(B2*10000/F43,0))</f>
        <v>11003</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1393</v>
      </c>
      <c r="D6" s="2522" t="s">
        <v>2465</v>
      </c>
      <c r="E6" s="784" t="s">
        <v>1738</v>
      </c>
      <c r="F6" s="785">
        <f ca="1">INDIRECT("'数据-取费表'!u"&amp;$G$1)</f>
        <v>2</v>
      </c>
      <c r="G6" s="1592"/>
      <c r="H6" s="2529" t="s">
        <v>1824</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20081.400000000001</v>
      </c>
      <c r="G7" s="1592"/>
      <c r="H7" s="2514"/>
      <c r="I7" s="3497"/>
      <c r="J7" s="788"/>
      <c r="K7" s="789"/>
      <c r="L7" s="784" t="s">
        <v>1739</v>
      </c>
      <c r="M7" s="785">
        <f ca="1">F7</f>
        <v>20081.400000000001</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2978</v>
      </c>
      <c r="E10" s="2523" t="s">
        <v>2467</v>
      </c>
      <c r="F10" s="2646"/>
      <c r="G10" s="1592"/>
      <c r="H10" s="2586" t="s">
        <v>1825</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2598</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82" t="s">
        <v>1745</v>
      </c>
      <c r="E14" s="3183"/>
      <c r="F14" s="805"/>
      <c r="G14" s="1592"/>
      <c r="H14" s="1649" t="s">
        <v>1824</v>
      </c>
      <c r="I14" s="2232" t="s">
        <v>2827</v>
      </c>
      <c r="J14" s="53">
        <f ca="1">C29</f>
        <v>4330</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373</v>
      </c>
      <c r="K16" s="1822" t="s">
        <v>1750</v>
      </c>
      <c r="L16" s="3184"/>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373</v>
      </c>
      <c r="K17" s="3182" t="s">
        <v>1753</v>
      </c>
      <c r="L17" s="3181"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81"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6"/>
      <c r="F19" s="56"/>
      <c r="G19" s="1592"/>
      <c r="H19" s="1648" t="s">
        <v>1832</v>
      </c>
      <c r="I19" s="784" t="s">
        <v>1758</v>
      </c>
      <c r="J19" s="53">
        <f ca="1">IF(K19="按租金收入计税",ROUND(J5*M19,1),ROUND(C29*F33*0.7,1))</f>
        <v>363.7</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6"/>
      <c r="F22" s="56"/>
      <c r="G22" s="1592"/>
      <c r="H22" s="1649" t="s">
        <v>1889</v>
      </c>
      <c r="I22" s="784" t="s">
        <v>1768</v>
      </c>
      <c r="J22" s="53">
        <f ca="1">ROUND(J14*M22,0)</f>
        <v>0</v>
      </c>
      <c r="K22" s="3181"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81"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6"/>
      <c r="F25" s="56"/>
      <c r="G25" s="1592"/>
      <c r="H25" s="1830" t="s">
        <v>1776</v>
      </c>
      <c r="I25" s="3035" t="s">
        <v>2824</v>
      </c>
      <c r="J25" s="792">
        <f ca="1">J5-J16</f>
        <v>-373</v>
      </c>
      <c r="K25" s="2573" t="s">
        <v>1777</v>
      </c>
      <c r="L25" s="2574"/>
      <c r="M25" s="2575"/>
    </row>
    <row r="26" spans="1:33" ht="18" customHeight="1">
      <c r="A26" s="1648" t="s">
        <v>1831</v>
      </c>
      <c r="B26" s="784" t="s">
        <v>2441</v>
      </c>
      <c r="C26" s="53">
        <f ca="1">ROUND((C19+C20)*F26,0)</f>
        <v>511</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4330</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4"/>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82" t="s">
        <v>1753</v>
      </c>
      <c r="E31" s="3181"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81"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3028</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182</v>
      </c>
      <c r="K35" s="2079"/>
      <c r="L35" s="2078"/>
      <c r="M35" s="2078"/>
    </row>
    <row r="36" spans="1:18" ht="18" customHeight="1">
      <c r="A36" s="1649" t="s">
        <v>1889</v>
      </c>
      <c r="B36" s="784" t="s">
        <v>1768</v>
      </c>
      <c r="C36" s="53">
        <f ca="1">ROUND(C29*F36,1)</f>
        <v>0</v>
      </c>
      <c r="D36" s="3181"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81"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0.159</v>
      </c>
      <c r="K39" s="2084"/>
      <c r="L39" s="2078"/>
      <c r="M39" s="2078"/>
    </row>
    <row r="40" spans="1:18" ht="18" customHeight="1">
      <c r="A40" s="781" t="s">
        <v>1780</v>
      </c>
      <c r="B40" s="2233" t="s">
        <v>2303</v>
      </c>
      <c r="C40" s="783">
        <f ca="1">ROUND(C39*(1-((1+F42)/(1+F40))^F41)/(F40-F42),0)</f>
        <v>22096</v>
      </c>
      <c r="D40" s="814" t="s">
        <v>1781</v>
      </c>
      <c r="E40" s="784" t="s">
        <v>2422</v>
      </c>
      <c r="F40" s="794">
        <f ca="1">INDIRECT("'数据-取费表'!I"&amp;$G$1)</f>
        <v>0.04</v>
      </c>
      <c r="G40" s="2063"/>
      <c r="H40" s="2063"/>
      <c r="I40" s="837" t="s">
        <v>1819</v>
      </c>
      <c r="J40" s="845">
        <f ca="1">1-J39</f>
        <v>0.84099999999999997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0.11799999999999999</v>
      </c>
      <c r="K42" s="2083"/>
      <c r="L42" s="1989"/>
      <c r="M42" s="1989"/>
    </row>
    <row r="43" spans="1:18" ht="18" customHeight="1" thickBot="1">
      <c r="A43" s="823" t="s">
        <v>1787</v>
      </c>
      <c r="B43" s="824" t="s">
        <v>1810</v>
      </c>
      <c r="C43" s="825">
        <f ca="1">ROUND(C40*10000/F43,0)</f>
        <v>11003</v>
      </c>
      <c r="D43" s="826" t="s">
        <v>1811</v>
      </c>
      <c r="E43" s="827" t="s">
        <v>1812</v>
      </c>
      <c r="F43" s="828">
        <f ca="1">INDIRECT("'数据-取费表'!k"&amp;$G$1)</f>
        <v>20081.400000000001</v>
      </c>
      <c r="G43" s="2063"/>
      <c r="H43" s="1989"/>
      <c r="I43" s="847" t="s">
        <v>1822</v>
      </c>
      <c r="J43" s="848">
        <f ca="1">1-J42</f>
        <v>0.88200000000000001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-22243</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3027</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27.17</v>
      </c>
      <c r="O48" s="2423" t="s">
        <v>2382</v>
      </c>
      <c r="P48" s="2424" t="s">
        <v>2408</v>
      </c>
      <c r="Q48" s="2425">
        <f ca="1">C40+J29</f>
        <v>22096</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4330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16660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2978</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22096</v>
      </c>
      <c r="R54" s="2428" t="s">
        <v>2395</v>
      </c>
    </row>
    <row r="55" spans="1:18" s="2060" customFormat="1" ht="18" customHeight="1" thickTop="1" thickBot="1">
      <c r="A55" s="797">
        <v>2</v>
      </c>
      <c r="B55" s="798" t="s">
        <v>643</v>
      </c>
      <c r="C55" s="799">
        <f ca="1">C13</f>
        <v>2598</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4330</v>
      </c>
      <c r="D56" s="3181"/>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22096</v>
      </c>
      <c r="R57" s="2424" t="s">
        <v>2383</v>
      </c>
    </row>
    <row r="58" spans="1:18" s="2060" customFormat="1" ht="28.5" customHeight="1" thickBot="1">
      <c r="A58" s="1649" t="s">
        <v>1824</v>
      </c>
      <c r="B58" s="784" t="s">
        <v>655</v>
      </c>
      <c r="C58" s="53">
        <f ca="1">ROUND(IF(项目基本情况!B11="自然人",C47*F58,C59+C60+C61),1)</f>
        <v>9.1</v>
      </c>
      <c r="D58" s="3182" t="s">
        <v>656</v>
      </c>
      <c r="E58" s="3181"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81"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81"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60487.56</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81" t="s">
        <v>1803</v>
      </c>
      <c r="E63" s="784" t="s">
        <v>1747</v>
      </c>
      <c r="F63" s="817">
        <f t="shared" ca="1" si="0"/>
        <v>0</v>
      </c>
      <c r="I63" s="2410" t="s">
        <v>2373</v>
      </c>
      <c r="J63" s="2411">
        <v>70</v>
      </c>
      <c r="K63" s="2411">
        <v>50</v>
      </c>
      <c r="L63" s="2411">
        <v>80</v>
      </c>
      <c r="M63" s="3130">
        <v>0.02</v>
      </c>
      <c r="O63" s="2423" t="s">
        <v>2394</v>
      </c>
      <c r="P63" s="2424" t="s">
        <v>2411</v>
      </c>
      <c r="Q63" s="2425">
        <f ca="1">Q57+Q58</f>
        <v>22096</v>
      </c>
      <c r="R63" s="2428" t="s">
        <v>2395</v>
      </c>
    </row>
    <row r="64" spans="1:18" s="2060" customFormat="1" ht="16.5" thickBot="1">
      <c r="A64" s="1649" t="s">
        <v>1890</v>
      </c>
      <c r="B64" s="784" t="s">
        <v>678</v>
      </c>
      <c r="C64" s="53">
        <f ca="1">ROUND(C55*F64,1)</f>
        <v>0</v>
      </c>
      <c r="D64" s="3181"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3181"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-9</v>
      </c>
      <c r="D66" s="3182" t="s">
        <v>699</v>
      </c>
      <c r="E66" s="3185"/>
      <c r="F66" s="820"/>
      <c r="K66" s="2087"/>
      <c r="O66" s="2423" t="s">
        <v>2382</v>
      </c>
      <c r="P66" s="2424" t="s">
        <v>2408</v>
      </c>
      <c r="Q66" s="2425">
        <f ca="1">C40+J29</f>
        <v>22096</v>
      </c>
      <c r="R66" s="2424" t="s">
        <v>2383</v>
      </c>
    </row>
    <row r="67" spans="1:18" s="2060" customFormat="1" ht="20.25"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16660</v>
      </c>
      <c r="R68" s="2431" t="s">
        <v>2419</v>
      </c>
    </row>
    <row r="69" spans="1:18" ht="20.25" thickBot="1">
      <c r="A69" s="790"/>
      <c r="B69" s="791"/>
      <c r="C69" s="792"/>
      <c r="D69" s="816"/>
      <c r="E69" s="784" t="s">
        <v>709</v>
      </c>
      <c r="F69" s="2372"/>
      <c r="O69" s="2426" t="s">
        <v>2387</v>
      </c>
      <c r="P69" s="2432" t="s">
        <v>2401</v>
      </c>
      <c r="Q69" s="2425">
        <f ca="1">ROUND(Q70-Q71*Q72,0)</f>
        <v>960</v>
      </c>
      <c r="R69" s="2428"/>
    </row>
    <row r="70" spans="1:18" ht="15.75"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5.75" thickBot="1">
      <c r="O71" s="2426" t="s">
        <v>2404</v>
      </c>
      <c r="P71" s="2432" t="s">
        <v>2405</v>
      </c>
      <c r="Q71" s="2425">
        <f ca="1">C13</f>
        <v>2598</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22096</v>
      </c>
      <c r="R76" s="2428" t="s">
        <v>2395</v>
      </c>
    </row>
  </sheetData>
  <sheetProtection password="C66D" sheet="1" objects="1" scenarios="1" formatCells="0" formatColumns="0" formatRows="0"/>
  <mergeCells count="3">
    <mergeCell ref="B6:B9"/>
    <mergeCell ref="I6:I9"/>
    <mergeCell ref="K53:L53"/>
  </mergeCells>
  <phoneticPr fontId="236" type="noConversion"/>
  <conditionalFormatting sqref="K55">
    <cfRule type="expression" dxfId="124" priority="6">
      <formula>$L$48&gt;$J$51</formula>
    </cfRule>
  </conditionalFormatting>
  <conditionalFormatting sqref="I55">
    <cfRule type="expression" dxfId="123" priority="7">
      <formula>$J$51&gt;$L$48</formula>
    </cfRule>
  </conditionalFormatting>
  <conditionalFormatting sqref="I60">
    <cfRule type="expression" dxfId="122" priority="5">
      <formula>$J$51&gt;$L$48</formula>
    </cfRule>
  </conditionalFormatting>
  <conditionalFormatting sqref="K60">
    <cfRule type="expression" dxfId="121" priority="4">
      <formula>$L$48&gt;$J$51</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2993</v>
      </c>
      <c r="D1" s="3156" t="s">
        <v>951</v>
      </c>
      <c r="E1" s="2412" t="s">
        <v>2377</v>
      </c>
      <c r="F1" s="2413">
        <f ca="1">J53</f>
        <v>27.17</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1606</v>
      </c>
      <c r="C2" s="2058"/>
      <c r="D2" s="2056"/>
      <c r="E2" s="2057"/>
      <c r="F2" s="2057"/>
      <c r="G2" s="1590"/>
      <c r="H2" s="2058"/>
      <c r="I2" s="2058"/>
      <c r="J2" s="2058"/>
      <c r="K2" s="2059"/>
      <c r="L2" s="2058"/>
      <c r="M2" s="2058"/>
    </row>
    <row r="3" spans="1:33" ht="18" customHeight="1" thickBot="1">
      <c r="A3" s="833" t="s">
        <v>1727</v>
      </c>
      <c r="B3" s="834">
        <f ca="1">IF(ISERROR(B2*10000/F43),0,ROUND(B2*10000/F43,0))</f>
        <v>11060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101</v>
      </c>
      <c r="D6" s="2522" t="s">
        <v>2465</v>
      </c>
      <c r="E6" s="784" t="s">
        <v>1738</v>
      </c>
      <c r="F6" s="785">
        <f ca="1">INDIRECT("'数据-取费表'!u"&amp;$G$1)</f>
        <v>2</v>
      </c>
      <c r="G6" s="1592"/>
      <c r="H6" s="2529" t="s">
        <v>1824</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1452.1</v>
      </c>
      <c r="G7" s="1592"/>
      <c r="H7" s="2514"/>
      <c r="I7" s="3497"/>
      <c r="J7" s="788"/>
      <c r="K7" s="789"/>
      <c r="L7" s="784" t="s">
        <v>1739</v>
      </c>
      <c r="M7" s="785">
        <f ca="1">F7</f>
        <v>1452.1</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2978</v>
      </c>
      <c r="E10" s="2523" t="s">
        <v>2467</v>
      </c>
      <c r="F10" s="2646"/>
      <c r="G10" s="1592"/>
      <c r="H10" s="2586" t="s">
        <v>1825</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188</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82" t="s">
        <v>1745</v>
      </c>
      <c r="E14" s="3183"/>
      <c r="F14" s="805"/>
      <c r="G14" s="1592"/>
      <c r="H14" s="1649" t="s">
        <v>1824</v>
      </c>
      <c r="I14" s="2232" t="s">
        <v>2827</v>
      </c>
      <c r="J14" s="53">
        <f ca="1">C29</f>
        <v>313</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4"/>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82" t="s">
        <v>1753</v>
      </c>
      <c r="L17" s="3181"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81"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6"/>
      <c r="F19" s="56"/>
      <c r="G19" s="1592"/>
      <c r="H19" s="1648" t="s">
        <v>1832</v>
      </c>
      <c r="I19" s="784" t="s">
        <v>1758</v>
      </c>
      <c r="J19" s="53">
        <f ca="1">IF(K19="按租金收入计税",ROUND(J5*M19,1),ROUND(C29*F33*0.7,1))</f>
        <v>26.3</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6"/>
      <c r="F22" s="56"/>
      <c r="G22" s="1592"/>
      <c r="H22" s="1649" t="s">
        <v>1889</v>
      </c>
      <c r="I22" s="784" t="s">
        <v>1768</v>
      </c>
      <c r="J22" s="53">
        <f ca="1">ROUND(J14*M22,0)</f>
        <v>0</v>
      </c>
      <c r="K22" s="3181"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81"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6"/>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37</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313</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4"/>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82" t="s">
        <v>1753</v>
      </c>
      <c r="E31" s="3181"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81"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3028</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81"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81"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1606</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11060</v>
      </c>
      <c r="D43" s="826" t="s">
        <v>1811</v>
      </c>
      <c r="E43" s="827" t="s">
        <v>1812</v>
      </c>
      <c r="F43" s="828">
        <f ca="1">INDIRECT("'数据-取费表'!k"&amp;$G$1)</f>
        <v>1452.1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-1622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3027</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27.17</v>
      </c>
      <c r="O48" s="2423" t="s">
        <v>2382</v>
      </c>
      <c r="P48" s="2424" t="s">
        <v>2408</v>
      </c>
      <c r="Q48" s="2425">
        <f ca="1">C40+J29</f>
        <v>1606</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313</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2978</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1606</v>
      </c>
      <c r="R54" s="2428" t="s">
        <v>2395</v>
      </c>
    </row>
    <row r="55" spans="1:18" s="2060" customFormat="1" ht="18" customHeight="1" thickTop="1" thickBot="1">
      <c r="A55" s="797">
        <v>2</v>
      </c>
      <c r="B55" s="798" t="s">
        <v>643</v>
      </c>
      <c r="C55" s="799">
        <f ca="1">C13</f>
        <v>188</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313</v>
      </c>
      <c r="D56" s="3181"/>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1606</v>
      </c>
      <c r="R57" s="2424" t="s">
        <v>2383</v>
      </c>
    </row>
    <row r="58" spans="1:18" s="2060" customFormat="1" ht="28.5" customHeight="1" thickBot="1">
      <c r="A58" s="1649" t="s">
        <v>1824</v>
      </c>
      <c r="B58" s="784" t="s">
        <v>655</v>
      </c>
      <c r="C58" s="53">
        <f ca="1">ROUND(IF(项目基本情况!B11="自然人",C47*F58,C59+C60+C61),1)</f>
        <v>0.7</v>
      </c>
      <c r="D58" s="3182" t="s">
        <v>656</v>
      </c>
      <c r="E58" s="3181"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81"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81"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4373.8999999999996</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81" t="s">
        <v>1803</v>
      </c>
      <c r="E63" s="784" t="s">
        <v>1747</v>
      </c>
      <c r="F63" s="817">
        <f t="shared" ca="1" si="0"/>
        <v>0</v>
      </c>
      <c r="I63" s="2410" t="s">
        <v>2373</v>
      </c>
      <c r="J63" s="2411">
        <v>70</v>
      </c>
      <c r="K63" s="2411">
        <v>50</v>
      </c>
      <c r="L63" s="2411">
        <v>80</v>
      </c>
      <c r="M63" s="3130">
        <v>0.02</v>
      </c>
      <c r="O63" s="2423" t="s">
        <v>2394</v>
      </c>
      <c r="P63" s="2424" t="s">
        <v>2411</v>
      </c>
      <c r="Q63" s="2425">
        <f ca="1">Q57+Q58</f>
        <v>1606</v>
      </c>
      <c r="R63" s="2428" t="s">
        <v>2395</v>
      </c>
    </row>
    <row r="64" spans="1:18" s="2060" customFormat="1" ht="16.5" thickBot="1">
      <c r="A64" s="1649" t="s">
        <v>1890</v>
      </c>
      <c r="B64" s="784" t="s">
        <v>678</v>
      </c>
      <c r="C64" s="53">
        <f ca="1">ROUND(C55*F64,1)</f>
        <v>0</v>
      </c>
      <c r="D64" s="3181"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3181"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-1</v>
      </c>
      <c r="D66" s="3182" t="s">
        <v>699</v>
      </c>
      <c r="E66" s="3185"/>
      <c r="F66" s="820"/>
      <c r="K66" s="2087"/>
      <c r="O66" s="2423" t="s">
        <v>2382</v>
      </c>
      <c r="P66" s="2424" t="s">
        <v>2408</v>
      </c>
      <c r="Q66" s="2425">
        <f ca="1">C40+J29</f>
        <v>1606</v>
      </c>
      <c r="R66" s="2424" t="s">
        <v>2383</v>
      </c>
    </row>
    <row r="67" spans="1:18" s="2060" customFormat="1" ht="20.25"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1212</v>
      </c>
      <c r="R68" s="2431" t="s">
        <v>2419</v>
      </c>
    </row>
    <row r="69" spans="1:18" ht="20.25" thickBot="1">
      <c r="A69" s="790"/>
      <c r="B69" s="791"/>
      <c r="C69" s="792"/>
      <c r="D69" s="816"/>
      <c r="E69" s="784" t="s">
        <v>709</v>
      </c>
      <c r="F69" s="2372"/>
      <c r="O69" s="2426" t="s">
        <v>2387</v>
      </c>
      <c r="P69" s="2432" t="s">
        <v>2401</v>
      </c>
      <c r="Q69" s="2425">
        <f ca="1">ROUND(Q70-Q71*Q72,0)</f>
        <v>70</v>
      </c>
      <c r="R69" s="2428"/>
    </row>
    <row r="70" spans="1:18" ht="15.75"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5.75" thickBot="1">
      <c r="O71" s="2426" t="s">
        <v>2404</v>
      </c>
      <c r="P71" s="2432" t="s">
        <v>2405</v>
      </c>
      <c r="Q71" s="2425">
        <f ca="1">C13</f>
        <v>188</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1606</v>
      </c>
      <c r="R76" s="2428" t="s">
        <v>2395</v>
      </c>
    </row>
  </sheetData>
  <sheetProtection password="C66D" sheet="1" objects="1" scenarios="1" formatCells="0" formatColumns="0" formatRows="0"/>
  <mergeCells count="3">
    <mergeCell ref="B6:B9"/>
    <mergeCell ref="I6:I9"/>
    <mergeCell ref="K53:L53"/>
  </mergeCells>
  <phoneticPr fontId="236"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2994</v>
      </c>
      <c r="D1" s="3156" t="s">
        <v>951</v>
      </c>
      <c r="E1" s="2412" t="s">
        <v>2377</v>
      </c>
      <c r="F1" s="2413">
        <f ca="1">J53</f>
        <v>27.17</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9636</v>
      </c>
      <c r="C2" s="2058"/>
      <c r="D2" s="2056"/>
      <c r="E2" s="2057"/>
      <c r="F2" s="2057"/>
      <c r="G2" s="1590"/>
      <c r="H2" s="2058"/>
      <c r="I2" s="2058"/>
      <c r="J2" s="2058"/>
      <c r="K2" s="2059"/>
      <c r="L2" s="2058"/>
      <c r="M2" s="2058"/>
    </row>
    <row r="3" spans="1:33" ht="18" customHeight="1" thickBot="1">
      <c r="A3" s="833" t="s">
        <v>1727</v>
      </c>
      <c r="B3" s="834">
        <f ca="1">IF(ISERROR(B2*10000/F43),0,ROUND(B2*10000/F43,0))</f>
        <v>11013</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607</v>
      </c>
      <c r="D6" s="2522" t="s">
        <v>2465</v>
      </c>
      <c r="E6" s="784" t="s">
        <v>1738</v>
      </c>
      <c r="F6" s="785">
        <f ca="1">INDIRECT("'数据-取费表'!u"&amp;$G$1)</f>
        <v>2</v>
      </c>
      <c r="G6" s="1592"/>
      <c r="H6" s="2529" t="s">
        <v>1824</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8749.6</v>
      </c>
      <c r="G7" s="1592"/>
      <c r="H7" s="2514"/>
      <c r="I7" s="3497"/>
      <c r="J7" s="788"/>
      <c r="K7" s="789"/>
      <c r="L7" s="784" t="s">
        <v>1739</v>
      </c>
      <c r="M7" s="785">
        <f ca="1">F7</f>
        <v>8749.6</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2978</v>
      </c>
      <c r="E10" s="2523" t="s">
        <v>2467</v>
      </c>
      <c r="F10" s="2646"/>
      <c r="G10" s="1592"/>
      <c r="H10" s="2586" t="s">
        <v>1825</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1453</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82" t="s">
        <v>1745</v>
      </c>
      <c r="E14" s="3183"/>
      <c r="F14" s="805"/>
      <c r="G14" s="1592"/>
      <c r="H14" s="1649" t="s">
        <v>1824</v>
      </c>
      <c r="I14" s="2232" t="s">
        <v>2827</v>
      </c>
      <c r="J14" s="53">
        <f ca="1">C29</f>
        <v>2421</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207</v>
      </c>
      <c r="K16" s="1822" t="s">
        <v>1750</v>
      </c>
      <c r="L16" s="3184"/>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207</v>
      </c>
      <c r="K17" s="3182" t="s">
        <v>1753</v>
      </c>
      <c r="L17" s="3181"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81"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6"/>
      <c r="F19" s="56"/>
      <c r="G19" s="1592"/>
      <c r="H19" s="1648" t="s">
        <v>1832</v>
      </c>
      <c r="I19" s="784" t="s">
        <v>1758</v>
      </c>
      <c r="J19" s="53">
        <f ca="1">IF(K19="按租金收入计税",ROUND(J5*M19,1),ROUND(C29*F33*0.7,1))</f>
        <v>203.4</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6"/>
      <c r="F22" s="56"/>
      <c r="G22" s="1592"/>
      <c r="H22" s="1649" t="s">
        <v>1889</v>
      </c>
      <c r="I22" s="784" t="s">
        <v>1768</v>
      </c>
      <c r="J22" s="53">
        <f ca="1">ROUND(J14*M22,0)</f>
        <v>0</v>
      </c>
      <c r="K22" s="3181"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81"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6"/>
      <c r="F25" s="56"/>
      <c r="G25" s="1592"/>
      <c r="H25" s="1830" t="s">
        <v>1776</v>
      </c>
      <c r="I25" s="3035" t="s">
        <v>2824</v>
      </c>
      <c r="J25" s="792">
        <f ca="1">J5-J16</f>
        <v>-207</v>
      </c>
      <c r="K25" s="2573" t="s">
        <v>1777</v>
      </c>
      <c r="L25" s="2574"/>
      <c r="M25" s="2575"/>
    </row>
    <row r="26" spans="1:33" ht="18" customHeight="1">
      <c r="A26" s="1648" t="s">
        <v>1831</v>
      </c>
      <c r="B26" s="784" t="s">
        <v>2441</v>
      </c>
      <c r="C26" s="53">
        <f ca="1">ROUND((C19+C20)*F26,0)</f>
        <v>286</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2421</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4"/>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82" t="s">
        <v>1753</v>
      </c>
      <c r="E31" s="3181"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81"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3028</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102</v>
      </c>
      <c r="K35" s="2079"/>
      <c r="L35" s="2078"/>
      <c r="M35" s="2078"/>
    </row>
    <row r="36" spans="1:18" ht="18" customHeight="1">
      <c r="A36" s="1649" t="s">
        <v>1889</v>
      </c>
      <c r="B36" s="784" t="s">
        <v>1768</v>
      </c>
      <c r="C36" s="53">
        <f ca="1">ROUND(C29*F36,1)</f>
        <v>0</v>
      </c>
      <c r="D36" s="3181"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81"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0.20499999999999999</v>
      </c>
      <c r="K39" s="2084"/>
      <c r="L39" s="2078"/>
      <c r="M39" s="2078"/>
    </row>
    <row r="40" spans="1:18" ht="18" customHeight="1">
      <c r="A40" s="781" t="s">
        <v>1780</v>
      </c>
      <c r="B40" s="2233" t="s">
        <v>2303</v>
      </c>
      <c r="C40" s="783">
        <f ca="1">ROUND(C39*(1-((1+F42)/(1+F40))^F41)/(F40-F42),0)</f>
        <v>9636</v>
      </c>
      <c r="D40" s="814" t="s">
        <v>1781</v>
      </c>
      <c r="E40" s="784" t="s">
        <v>2422</v>
      </c>
      <c r="F40" s="794">
        <f ca="1">INDIRECT("'数据-取费表'!I"&amp;$G$1)</f>
        <v>0.04</v>
      </c>
      <c r="G40" s="2063"/>
      <c r="H40" s="2063"/>
      <c r="I40" s="837" t="s">
        <v>1819</v>
      </c>
      <c r="J40" s="845">
        <f ca="1">1-J39</f>
        <v>0.79500000000000004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0.151</v>
      </c>
      <c r="K42" s="2083"/>
      <c r="L42" s="1989"/>
      <c r="M42" s="1989"/>
    </row>
    <row r="43" spans="1:18" ht="18" customHeight="1" thickBot="1">
      <c r="A43" s="823" t="s">
        <v>1787</v>
      </c>
      <c r="B43" s="824" t="s">
        <v>1810</v>
      </c>
      <c r="C43" s="825">
        <f ca="1">ROUND(C40*10000/F43,0)</f>
        <v>11013</v>
      </c>
      <c r="D43" s="826" t="s">
        <v>1811</v>
      </c>
      <c r="E43" s="827" t="s">
        <v>1812</v>
      </c>
      <c r="F43" s="828">
        <f ca="1">INDIRECT("'数据-取费表'!k"&amp;$G$1)</f>
        <v>8749.6</v>
      </c>
      <c r="G43" s="2063"/>
      <c r="H43" s="1989"/>
      <c r="I43" s="847" t="s">
        <v>1822</v>
      </c>
      <c r="J43" s="848">
        <f ca="1">1-J42</f>
        <v>0.84899999999999998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-9702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3027</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27.17</v>
      </c>
      <c r="O48" s="2423" t="s">
        <v>2382</v>
      </c>
      <c r="P48" s="2424" t="s">
        <v>2408</v>
      </c>
      <c r="Q48" s="2425">
        <f ca="1">C40+J29</f>
        <v>9636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2421</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6876</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2978</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9636</v>
      </c>
      <c r="R54" s="2428" t="s">
        <v>2395</v>
      </c>
    </row>
    <row r="55" spans="1:18" s="2060" customFormat="1" ht="18" customHeight="1" thickTop="1" thickBot="1">
      <c r="A55" s="797">
        <v>2</v>
      </c>
      <c r="B55" s="798" t="s">
        <v>643</v>
      </c>
      <c r="C55" s="799">
        <f ca="1">C13</f>
        <v>1453</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2421</v>
      </c>
      <c r="D56" s="3181"/>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9636</v>
      </c>
      <c r="R57" s="2424" t="s">
        <v>2383</v>
      </c>
    </row>
    <row r="58" spans="1:18" s="2060" customFormat="1" ht="28.5" customHeight="1" thickBot="1">
      <c r="A58" s="1649" t="s">
        <v>1824</v>
      </c>
      <c r="B58" s="784" t="s">
        <v>655</v>
      </c>
      <c r="C58" s="53">
        <f ca="1">ROUND(IF(项目基本情况!B11="自然人",C47*F58,C59+C60+C61),1)</f>
        <v>4</v>
      </c>
      <c r="D58" s="3182" t="s">
        <v>656</v>
      </c>
      <c r="E58" s="3181"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81"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81"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26354.84</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81" t="s">
        <v>1803</v>
      </c>
      <c r="E63" s="784" t="s">
        <v>1747</v>
      </c>
      <c r="F63" s="817">
        <f t="shared" ca="1" si="0"/>
        <v>0</v>
      </c>
      <c r="I63" s="2410" t="s">
        <v>2373</v>
      </c>
      <c r="J63" s="2411">
        <v>70</v>
      </c>
      <c r="K63" s="2411">
        <v>50</v>
      </c>
      <c r="L63" s="2411">
        <v>80</v>
      </c>
      <c r="M63" s="3130">
        <v>0.02</v>
      </c>
      <c r="O63" s="2423" t="s">
        <v>2394</v>
      </c>
      <c r="P63" s="2424" t="s">
        <v>2411</v>
      </c>
      <c r="Q63" s="2425">
        <f ca="1">Q57+Q58</f>
        <v>9636</v>
      </c>
      <c r="R63" s="2428" t="s">
        <v>2395</v>
      </c>
    </row>
    <row r="64" spans="1:18" s="2060" customFormat="1" ht="16.5" thickBot="1">
      <c r="A64" s="1649" t="s">
        <v>1890</v>
      </c>
      <c r="B64" s="784" t="s">
        <v>678</v>
      </c>
      <c r="C64" s="53">
        <f ca="1">ROUND(C55*F64,1)</f>
        <v>0</v>
      </c>
      <c r="D64" s="3181"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3181"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-4</v>
      </c>
      <c r="D66" s="3182" t="s">
        <v>699</v>
      </c>
      <c r="E66" s="3185"/>
      <c r="F66" s="820"/>
      <c r="K66" s="2087"/>
      <c r="O66" s="2423" t="s">
        <v>2382</v>
      </c>
      <c r="P66" s="2424" t="s">
        <v>2408</v>
      </c>
      <c r="Q66" s="2425">
        <f ca="1">C40+J29</f>
        <v>9636</v>
      </c>
      <c r="R66" s="2424" t="s">
        <v>2383</v>
      </c>
    </row>
    <row r="67" spans="1:18" s="2060" customFormat="1" ht="20.25" thickBot="1">
      <c r="A67" s="781" t="s">
        <v>1780</v>
      </c>
      <c r="B67" s="2233" t="s">
        <v>2303</v>
      </c>
      <c r="C67" s="783">
        <f ca="1">ROUND(C66*(1-((1+F69)/(1+F67))^F68)/(F67-F69),0)</f>
        <v>-66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6876</v>
      </c>
      <c r="R68" s="2431" t="s">
        <v>2419</v>
      </c>
    </row>
    <row r="69" spans="1:18" ht="20.25" thickBot="1">
      <c r="A69" s="790"/>
      <c r="B69" s="791"/>
      <c r="C69" s="792"/>
      <c r="D69" s="816"/>
      <c r="E69" s="784" t="s">
        <v>709</v>
      </c>
      <c r="F69" s="2372"/>
      <c r="O69" s="2426" t="s">
        <v>2387</v>
      </c>
      <c r="P69" s="2432" t="s">
        <v>2401</v>
      </c>
      <c r="Q69" s="2425">
        <f ca="1">ROUND(Q70-Q71*Q72,0)</f>
        <v>396</v>
      </c>
      <c r="R69" s="2428"/>
    </row>
    <row r="70" spans="1:18" ht="15.75" thickBot="1">
      <c r="A70" s="823" t="s">
        <v>1787</v>
      </c>
      <c r="B70" s="824" t="s">
        <v>1810</v>
      </c>
      <c r="C70" s="825">
        <f ca="1">ROUND(C67*10000/F70,0)</f>
        <v>-75</v>
      </c>
      <c r="D70" s="826" t="s">
        <v>1811</v>
      </c>
      <c r="E70" s="827" t="s">
        <v>1812</v>
      </c>
      <c r="F70" s="828">
        <f ca="1">F43</f>
        <v>8749.6</v>
      </c>
      <c r="O70" s="2426" t="s">
        <v>2402</v>
      </c>
      <c r="P70" s="2432" t="s">
        <v>2403</v>
      </c>
      <c r="Q70" s="2425">
        <f ca="1">C39</f>
        <v>498</v>
      </c>
      <c r="R70" s="2424" t="s">
        <v>2383</v>
      </c>
    </row>
    <row r="71" spans="1:18" ht="15.75" thickBot="1">
      <c r="O71" s="2426" t="s">
        <v>2404</v>
      </c>
      <c r="P71" s="2432" t="s">
        <v>2405</v>
      </c>
      <c r="Q71" s="2425">
        <f ca="1">C13</f>
        <v>1453</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9636</v>
      </c>
      <c r="R76" s="2428" t="s">
        <v>2395</v>
      </c>
    </row>
  </sheetData>
  <sheetProtection password="C66D" sheet="1" objects="1" scenarios="1" formatCells="0" formatColumns="0" formatRows="0"/>
  <mergeCells count="3">
    <mergeCell ref="B6:B9"/>
    <mergeCell ref="I6:I9"/>
    <mergeCell ref="K53:L53"/>
  </mergeCells>
  <phoneticPr fontId="236"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2995</v>
      </c>
      <c r="D1" s="3156" t="s">
        <v>951</v>
      </c>
      <c r="E1" s="2412" t="s">
        <v>2377</v>
      </c>
      <c r="F1" s="2413">
        <f ca="1">J53</f>
        <v>27.17</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4508</v>
      </c>
      <c r="C2" s="2058"/>
      <c r="D2" s="2056"/>
      <c r="E2" s="2057"/>
      <c r="F2" s="2057"/>
      <c r="G2" s="1590"/>
      <c r="H2" s="2058"/>
      <c r="I2" s="2058"/>
      <c r="J2" s="2058"/>
      <c r="K2" s="2059"/>
      <c r="L2" s="2058"/>
      <c r="M2" s="2058"/>
    </row>
    <row r="3" spans="1:33" ht="18" customHeight="1" thickBot="1">
      <c r="A3" s="833" t="s">
        <v>1727</v>
      </c>
      <c r="B3" s="834">
        <f ca="1">IF(ISERROR(B2*10000/F43),0,ROUND(B2*10000/F43,0))</f>
        <v>10992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284</v>
      </c>
      <c r="D6" s="2522" t="s">
        <v>2465</v>
      </c>
      <c r="E6" s="784" t="s">
        <v>1738</v>
      </c>
      <c r="F6" s="785">
        <f ca="1">INDIRECT("'数据-取费表'!u"&amp;$G$1)</f>
        <v>2</v>
      </c>
      <c r="G6" s="1592"/>
      <c r="H6" s="2529" t="s">
        <v>1824</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4101</v>
      </c>
      <c r="G7" s="1592"/>
      <c r="H7" s="2514"/>
      <c r="I7" s="3497"/>
      <c r="J7" s="788"/>
      <c r="K7" s="789"/>
      <c r="L7" s="784" t="s">
        <v>1739</v>
      </c>
      <c r="M7" s="785">
        <f ca="1">F7</f>
        <v>4101</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2978</v>
      </c>
      <c r="E10" s="2523" t="s">
        <v>2467</v>
      </c>
      <c r="F10" s="2646"/>
      <c r="G10" s="1592"/>
      <c r="H10" s="2586" t="s">
        <v>1825</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681</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82" t="s">
        <v>1745</v>
      </c>
      <c r="E14" s="3183"/>
      <c r="F14" s="805"/>
      <c r="G14" s="1592"/>
      <c r="H14" s="1649" t="s">
        <v>1824</v>
      </c>
      <c r="I14" s="2232" t="s">
        <v>2827</v>
      </c>
      <c r="J14" s="53">
        <f ca="1">C29</f>
        <v>1135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4"/>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82" t="s">
        <v>1753</v>
      </c>
      <c r="L17" s="3181"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81"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6"/>
      <c r="F19" s="56"/>
      <c r="G19" s="1592"/>
      <c r="H19" s="1648" t="s">
        <v>1832</v>
      </c>
      <c r="I19" s="784" t="s">
        <v>1758</v>
      </c>
      <c r="J19" s="53">
        <f ca="1">IF(K19="按租金收入计税",ROUND(J5*M19,1),ROUND(C29*F33*0.7,1))</f>
        <v>95.3</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6"/>
      <c r="F22" s="56"/>
      <c r="G22" s="1592"/>
      <c r="H22" s="1649" t="s">
        <v>1889</v>
      </c>
      <c r="I22" s="784" t="s">
        <v>1768</v>
      </c>
      <c r="J22" s="53">
        <f ca="1">ROUND(J14*M22,0)</f>
        <v>0</v>
      </c>
      <c r="K22" s="3181"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81"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6"/>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134</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1135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4"/>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82" t="s">
        <v>1753</v>
      </c>
      <c r="E31" s="3181"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81"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3028</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48</v>
      </c>
      <c r="K35" s="2079"/>
      <c r="L35" s="2078"/>
      <c r="M35" s="2078"/>
    </row>
    <row r="36" spans="1:18" ht="18" customHeight="1">
      <c r="A36" s="1649" t="s">
        <v>1889</v>
      </c>
      <c r="B36" s="784" t="s">
        <v>1768</v>
      </c>
      <c r="C36" s="53">
        <f ca="1">ROUND(C29*F36,1)</f>
        <v>0</v>
      </c>
      <c r="D36" s="3181"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81"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0.20599999999999999</v>
      </c>
      <c r="K39" s="2084"/>
      <c r="L39" s="2078"/>
      <c r="M39" s="2078"/>
    </row>
    <row r="40" spans="1:18" ht="18" customHeight="1">
      <c r="A40" s="781" t="s">
        <v>1780</v>
      </c>
      <c r="B40" s="2233" t="s">
        <v>2303</v>
      </c>
      <c r="C40" s="783">
        <f ca="1">ROUND(C39*(1-((1+F42)/(1+F40))^F41)/(F40-F42),0)</f>
        <v>4508</v>
      </c>
      <c r="D40" s="814" t="s">
        <v>1781</v>
      </c>
      <c r="E40" s="784" t="s">
        <v>2422</v>
      </c>
      <c r="F40" s="794">
        <f ca="1">INDIRECT("'数据-取费表'!I"&amp;$G$1)</f>
        <v>0.04</v>
      </c>
      <c r="G40" s="2063"/>
      <c r="H40" s="2063"/>
      <c r="I40" s="837" t="s">
        <v>1819</v>
      </c>
      <c r="J40" s="845">
        <f ca="1">1-J39</f>
        <v>0.79400000000000004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0.151</v>
      </c>
      <c r="K42" s="2083"/>
      <c r="L42" s="1989"/>
      <c r="M42" s="1989"/>
    </row>
    <row r="43" spans="1:18" ht="18" customHeight="1" thickBot="1">
      <c r="A43" s="823" t="s">
        <v>1787</v>
      </c>
      <c r="B43" s="824" t="s">
        <v>1810</v>
      </c>
      <c r="C43" s="825">
        <f ca="1">ROUND(C40*10000/F43,0)</f>
        <v>10992</v>
      </c>
      <c r="D43" s="826" t="s">
        <v>1811</v>
      </c>
      <c r="E43" s="827" t="s">
        <v>1812</v>
      </c>
      <c r="F43" s="828">
        <f ca="1">INDIRECT("'数据-取费表'!k"&amp;$G$1)</f>
        <v>4101</v>
      </c>
      <c r="G43" s="2063"/>
      <c r="H43" s="1989"/>
      <c r="I43" s="847" t="s">
        <v>1822</v>
      </c>
      <c r="J43" s="848">
        <f ca="1">1-J42</f>
        <v>0.84899999999999998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-4541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3027</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27.17</v>
      </c>
      <c r="O48" s="2423" t="s">
        <v>2382</v>
      </c>
      <c r="P48" s="2424" t="s">
        <v>2408</v>
      </c>
      <c r="Q48" s="2425">
        <f ca="1">C40+J29</f>
        <v>4508</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1135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3216</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2978</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4508</v>
      </c>
      <c r="R54" s="2428" t="s">
        <v>2395</v>
      </c>
    </row>
    <row r="55" spans="1:18" s="2060" customFormat="1" ht="18" customHeight="1" thickTop="1" thickBot="1">
      <c r="A55" s="797">
        <v>2</v>
      </c>
      <c r="B55" s="798" t="s">
        <v>643</v>
      </c>
      <c r="C55" s="799">
        <f ca="1">C13</f>
        <v>681</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1135</v>
      </c>
      <c r="D56" s="3181"/>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4508</v>
      </c>
      <c r="R57" s="2424" t="s">
        <v>2383</v>
      </c>
    </row>
    <row r="58" spans="1:18" s="2060" customFormat="1" ht="28.5" customHeight="1" thickBot="1">
      <c r="A58" s="1649" t="s">
        <v>1824</v>
      </c>
      <c r="B58" s="784" t="s">
        <v>655</v>
      </c>
      <c r="C58" s="53">
        <f ca="1">ROUND(IF(项目基本情况!B11="自然人",C47*F58,C59+C60+C61),1)</f>
        <v>1.9</v>
      </c>
      <c r="D58" s="3182" t="s">
        <v>656</v>
      </c>
      <c r="E58" s="3181"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81"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81"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12352.7</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81" t="s">
        <v>1803</v>
      </c>
      <c r="E63" s="784" t="s">
        <v>1747</v>
      </c>
      <c r="F63" s="817">
        <f t="shared" ca="1" si="0"/>
        <v>0</v>
      </c>
      <c r="I63" s="2410" t="s">
        <v>2373</v>
      </c>
      <c r="J63" s="2411">
        <v>70</v>
      </c>
      <c r="K63" s="2411">
        <v>50</v>
      </c>
      <c r="L63" s="2411">
        <v>80</v>
      </c>
      <c r="M63" s="3130">
        <v>0.02</v>
      </c>
      <c r="O63" s="2423" t="s">
        <v>2394</v>
      </c>
      <c r="P63" s="2424" t="s">
        <v>2411</v>
      </c>
      <c r="Q63" s="2425">
        <f ca="1">Q57+Q58</f>
        <v>4508</v>
      </c>
      <c r="R63" s="2428" t="s">
        <v>2395</v>
      </c>
    </row>
    <row r="64" spans="1:18" s="2060" customFormat="1" ht="16.5" thickBot="1">
      <c r="A64" s="1649" t="s">
        <v>1890</v>
      </c>
      <c r="B64" s="784" t="s">
        <v>678</v>
      </c>
      <c r="C64" s="53">
        <f ca="1">ROUND(C55*F64,1)</f>
        <v>0</v>
      </c>
      <c r="D64" s="3181"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3181"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-2</v>
      </c>
      <c r="D66" s="3182" t="s">
        <v>699</v>
      </c>
      <c r="E66" s="3185"/>
      <c r="F66" s="820"/>
      <c r="K66" s="2087"/>
      <c r="O66" s="2423" t="s">
        <v>2382</v>
      </c>
      <c r="P66" s="2424" t="s">
        <v>2408</v>
      </c>
      <c r="Q66" s="2425">
        <f ca="1">C40+J29</f>
        <v>4508</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3216</v>
      </c>
      <c r="R68" s="2431" t="s">
        <v>2419</v>
      </c>
    </row>
    <row r="69" spans="1:18" ht="20.25" thickBot="1">
      <c r="A69" s="790"/>
      <c r="B69" s="791"/>
      <c r="C69" s="792"/>
      <c r="D69" s="816"/>
      <c r="E69" s="784" t="s">
        <v>709</v>
      </c>
      <c r="F69" s="2372"/>
      <c r="O69" s="2426" t="s">
        <v>2387</v>
      </c>
      <c r="P69" s="2432" t="s">
        <v>2401</v>
      </c>
      <c r="Q69" s="2425">
        <f ca="1">ROUND(Q70-Q71*Q72,0)</f>
        <v>185</v>
      </c>
      <c r="R69" s="2428"/>
    </row>
    <row r="70" spans="1:18" ht="15.75"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5.75" thickBot="1">
      <c r="O71" s="2426" t="s">
        <v>2404</v>
      </c>
      <c r="P71" s="2432" t="s">
        <v>2405</v>
      </c>
      <c r="Q71" s="2425">
        <f ca="1">C13</f>
        <v>681</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4508</v>
      </c>
      <c r="R76" s="2428" t="s">
        <v>2395</v>
      </c>
    </row>
  </sheetData>
  <sheetProtection password="C66D" sheet="1" objects="1" scenarios="1" formatCells="0" formatColumns="0" formatRows="0"/>
  <mergeCells count="3">
    <mergeCell ref="B6:B9"/>
    <mergeCell ref="I6:I9"/>
    <mergeCell ref="K53:L53"/>
  </mergeCells>
  <phoneticPr fontId="236"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2996</v>
      </c>
      <c r="D1" s="3156" t="s">
        <v>951</v>
      </c>
      <c r="E1" s="2412" t="s">
        <v>2377</v>
      </c>
      <c r="F1" s="2413">
        <f ca="1">J53</f>
        <v>27.17</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3580</v>
      </c>
      <c r="C2" s="2058"/>
      <c r="D2" s="2056"/>
      <c r="E2" s="2057"/>
      <c r="F2" s="2057"/>
      <c r="G2" s="1590"/>
      <c r="H2" s="2058"/>
      <c r="I2" s="2058"/>
      <c r="J2" s="2058"/>
      <c r="K2" s="2059"/>
      <c r="L2" s="2058"/>
      <c r="M2" s="2058"/>
    </row>
    <row r="3" spans="1:33" ht="18" customHeight="1" thickBot="1">
      <c r="A3" s="833" t="s">
        <v>1727</v>
      </c>
      <c r="B3" s="834">
        <f ca="1">IF(ISERROR(B2*10000/F43),0,ROUND(B2*10000/F43,0))</f>
        <v>10965</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496" t="s">
        <v>2466</v>
      </c>
      <c r="C6" s="783">
        <f ca="1">ROUND(F6*F8*F7*(1-F9)/10000,0)</f>
        <v>226</v>
      </c>
      <c r="D6" s="2522" t="s">
        <v>2465</v>
      </c>
      <c r="E6" s="784" t="s">
        <v>1738</v>
      </c>
      <c r="F6" s="785">
        <f ca="1">INDIRECT("'数据-取费表'!u"&amp;$G$1)</f>
        <v>2</v>
      </c>
      <c r="G6" s="1592"/>
      <c r="H6" s="2529" t="s">
        <v>1824</v>
      </c>
      <c r="I6" s="3496" t="s">
        <v>2466</v>
      </c>
      <c r="J6" s="783">
        <f ca="1">ROUND(M6*M8*M7*(1-M9)/10000,0)</f>
        <v>0</v>
      </c>
      <c r="K6" s="341" t="s">
        <v>1737</v>
      </c>
      <c r="L6" s="784" t="s">
        <v>1738</v>
      </c>
      <c r="M6" s="785">
        <f ca="1">INDIRECT("'数据-取费表'!z"&amp;$G$1)</f>
        <v>0</v>
      </c>
    </row>
    <row r="7" spans="1:33" ht="18" customHeight="1">
      <c r="A7" s="2525"/>
      <c r="B7" s="3497"/>
      <c r="C7" s="788"/>
      <c r="D7" s="789"/>
      <c r="E7" s="784" t="s">
        <v>1739</v>
      </c>
      <c r="F7" s="785">
        <f ca="1">IF(INDIRECT("'数据-取费表'!ah"&amp;$G$1)="",INDIRECT("'数据-取费表'!k"&amp;$G$1),INDIRECT("'数据-取费表'!ah"&amp;$G$1))</f>
        <v>3265</v>
      </c>
      <c r="G7" s="1592"/>
      <c r="H7" s="2514"/>
      <c r="I7" s="3497"/>
      <c r="J7" s="788"/>
      <c r="K7" s="789"/>
      <c r="L7" s="784" t="s">
        <v>1739</v>
      </c>
      <c r="M7" s="785">
        <f ca="1">F7</f>
        <v>3265</v>
      </c>
    </row>
    <row r="8" spans="1:33" ht="18" customHeight="1">
      <c r="A8" s="2518"/>
      <c r="B8" s="3498"/>
      <c r="C8" s="788"/>
      <c r="D8" s="789"/>
      <c r="E8" s="784" t="s">
        <v>1740</v>
      </c>
      <c r="F8" s="785">
        <f ca="1">INDIRECT("'数据-取费表'!ai"&amp;$G$1)</f>
        <v>365</v>
      </c>
      <c r="G8" s="1592"/>
      <c r="H8" s="2514"/>
      <c r="I8" s="3498"/>
      <c r="J8" s="788"/>
      <c r="K8" s="789"/>
      <c r="L8" s="784" t="s">
        <v>1740</v>
      </c>
      <c r="M8" s="785">
        <f ca="1">INDIRECT("'数据-取费表'!ai"&amp;$G$1)</f>
        <v>365</v>
      </c>
    </row>
    <row r="9" spans="1:33" ht="18" customHeight="1">
      <c r="A9" s="786"/>
      <c r="B9" s="3499"/>
      <c r="C9" s="788"/>
      <c r="D9" s="789"/>
      <c r="E9" s="784" t="s">
        <v>1741</v>
      </c>
      <c r="F9" s="794">
        <f ca="1">INDIRECT("'数据-取费表'!w"&amp;$G$1)</f>
        <v>0.05</v>
      </c>
      <c r="G9" s="1592"/>
      <c r="H9" s="2530"/>
      <c r="I9" s="3498"/>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2978</v>
      </c>
      <c r="E10" s="2523" t="s">
        <v>2467</v>
      </c>
      <c r="F10" s="2646"/>
      <c r="G10" s="1592"/>
      <c r="H10" s="2586" t="s">
        <v>1825</v>
      </c>
      <c r="I10" s="2591" t="s">
        <v>2462</v>
      </c>
      <c r="J10" s="783">
        <f ca="1">ROUND(IF(M10="押一",J6/12*M11,IF(M10="押二",J6/12*2*M11,IF(M10="押三",J6/12*3*M11,J11*M11))),0)</f>
        <v>0</v>
      </c>
      <c r="K10" s="2526" t="s">
        <v>2978</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581</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82" t="s">
        <v>1745</v>
      </c>
      <c r="E14" s="3183"/>
      <c r="F14" s="805"/>
      <c r="G14" s="1592"/>
      <c r="H14" s="1649" t="s">
        <v>1824</v>
      </c>
      <c r="I14" s="2232" t="s">
        <v>2827</v>
      </c>
      <c r="J14" s="53">
        <f ca="1">C29</f>
        <v>969</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4"/>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82" t="s">
        <v>1753</v>
      </c>
      <c r="L17" s="3181"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81"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6"/>
      <c r="F19" s="56"/>
      <c r="G19" s="1592"/>
      <c r="H19" s="1648" t="s">
        <v>1832</v>
      </c>
      <c r="I19" s="784" t="s">
        <v>1758</v>
      </c>
      <c r="J19" s="53">
        <f ca="1">IF(K19="按租金收入计税",ROUND(J5*M19,1),ROUND(C29*F33*0.7,1))</f>
        <v>81.400000000000006</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6"/>
      <c r="F22" s="56"/>
      <c r="G22" s="1592"/>
      <c r="H22" s="1649" t="s">
        <v>1889</v>
      </c>
      <c r="I22" s="784" t="s">
        <v>1768</v>
      </c>
      <c r="J22" s="53">
        <f ca="1">ROUND(J14*M22,0)</f>
        <v>0</v>
      </c>
      <c r="K22" s="3181"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81"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6"/>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114</v>
      </c>
      <c r="D26" s="812" t="s">
        <v>1778</v>
      </c>
      <c r="E26" s="795" t="s">
        <v>1779</v>
      </c>
      <c r="F26" s="794">
        <f ca="1">INDIRECT("'数据-取费表'!q"&amp;$G$1)</f>
        <v>0.15</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3.0000000000000001E-3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969</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4"/>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82" t="s">
        <v>1753</v>
      </c>
      <c r="E31" s="3181"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81"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3028</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41</v>
      </c>
      <c r="K35" s="2079"/>
      <c r="L35" s="2078"/>
      <c r="M35" s="2078"/>
    </row>
    <row r="36" spans="1:18" ht="18" customHeight="1">
      <c r="A36" s="1649" t="s">
        <v>1889</v>
      </c>
      <c r="B36" s="784" t="s">
        <v>1768</v>
      </c>
      <c r="C36" s="53">
        <f ca="1">ROUND(C29*F36,1)</f>
        <v>0</v>
      </c>
      <c r="D36" s="3181"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81"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0.222</v>
      </c>
      <c r="K39" s="2084"/>
      <c r="L39" s="2078"/>
      <c r="M39" s="2078"/>
    </row>
    <row r="40" spans="1:18" ht="18" customHeight="1">
      <c r="A40" s="781" t="s">
        <v>1780</v>
      </c>
      <c r="B40" s="2233" t="s">
        <v>2303</v>
      </c>
      <c r="C40" s="783">
        <f ca="1">ROUND(C39*(1-((1+F42)/(1+F40))^F41)/(F40-F42),0)</f>
        <v>3580</v>
      </c>
      <c r="D40" s="814" t="s">
        <v>1781</v>
      </c>
      <c r="E40" s="784" t="s">
        <v>2422</v>
      </c>
      <c r="F40" s="794">
        <f ca="1">INDIRECT("'数据-取费表'!I"&amp;$G$1)</f>
        <v>0.04</v>
      </c>
      <c r="G40" s="2063"/>
      <c r="H40" s="2063"/>
      <c r="I40" s="837" t="s">
        <v>1819</v>
      </c>
      <c r="J40" s="845">
        <f ca="1">1-J39</f>
        <v>0.77800000000000002</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27.17</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10965</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8" t="s">
        <v>3016</v>
      </c>
      <c r="Q45" s="2098"/>
    </row>
    <row r="46" spans="1:18" s="2060" customFormat="1" ht="18" customHeight="1" thickBot="1">
      <c r="A46" s="2231" t="s">
        <v>2297</v>
      </c>
      <c r="B46" s="2086"/>
      <c r="C46" s="2599">
        <f ca="1">C67-C40</f>
        <v>-3613</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3029</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27.17</v>
      </c>
      <c r="O48" s="2423" t="s">
        <v>2382</v>
      </c>
      <c r="P48" s="2424" t="s">
        <v>2408</v>
      </c>
      <c r="Q48" s="2425">
        <f ca="1">C40+J29</f>
        <v>3580</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969</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2504</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2978</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27.17</v>
      </c>
      <c r="K53" s="3502" t="s">
        <v>2970</v>
      </c>
      <c r="L53" s="3503"/>
      <c r="O53" s="2426" t="s">
        <v>2391</v>
      </c>
      <c r="P53" s="2424" t="s">
        <v>2392</v>
      </c>
      <c r="Q53" s="2425">
        <f ca="1">J53</f>
        <v>27.17</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3580</v>
      </c>
      <c r="R54" s="2428" t="s">
        <v>2395</v>
      </c>
    </row>
    <row r="55" spans="1:18" s="2060" customFormat="1" ht="18" customHeight="1" thickTop="1" thickBot="1">
      <c r="A55" s="797">
        <v>2</v>
      </c>
      <c r="B55" s="798" t="s">
        <v>643</v>
      </c>
      <c r="C55" s="799">
        <f ca="1">C13</f>
        <v>581</v>
      </c>
      <c r="D55" s="795"/>
      <c r="E55" s="795"/>
      <c r="F55" s="800"/>
      <c r="I55" s="3127" t="s">
        <v>2358</v>
      </c>
      <c r="J55" s="3126"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969</v>
      </c>
      <c r="D56" s="3181"/>
      <c r="E56" s="784"/>
      <c r="F56" s="809"/>
      <c r="I56" s="2404" t="s">
        <v>2360</v>
      </c>
      <c r="J56" s="3150"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3580</v>
      </c>
      <c r="R57" s="2424" t="s">
        <v>2383</v>
      </c>
    </row>
    <row r="58" spans="1:18" s="2060" customFormat="1" ht="28.5" customHeight="1" thickBot="1">
      <c r="A58" s="1649" t="s">
        <v>1824</v>
      </c>
      <c r="B58" s="784" t="s">
        <v>655</v>
      </c>
      <c r="C58" s="53">
        <f ca="1">ROUND(IF(项目基本情况!B11="自然人",C47*F58,C59+C60+C61),1)</f>
        <v>1.5</v>
      </c>
      <c r="D58" s="3182" t="s">
        <v>656</v>
      </c>
      <c r="E58" s="3181" t="s">
        <v>689</v>
      </c>
      <c r="F58" s="810">
        <f ca="1">IF(项目基本情况!B11="企业","",IF(INDIRECT("'数据-取费表'!c"&amp;$G$1)="住宅",5%,IF(F48*F49*F50/12/(1+'数据-取费表'!C42)&gt;20000,12%,7%)))</f>
        <v>7.0000000000000007E-2</v>
      </c>
      <c r="I58" s="2405" t="s">
        <v>2362</v>
      </c>
      <c r="J58" s="3128"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81" t="s">
        <v>1756</v>
      </c>
      <c r="E59" s="784" t="s">
        <v>1747</v>
      </c>
      <c r="F59" s="809">
        <f t="shared" ref="F59:F65" si="0">F32</f>
        <v>5.6000000000000001E-2</v>
      </c>
      <c r="I59" s="2405" t="s">
        <v>2363</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81"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9834.57</v>
      </c>
      <c r="I62" s="2410" t="s">
        <v>2370</v>
      </c>
      <c r="J62" s="2411" t="s">
        <v>2371</v>
      </c>
      <c r="K62" s="2411" t="s">
        <v>2372</v>
      </c>
      <c r="L62" s="2411" t="s">
        <v>2353</v>
      </c>
      <c r="M62" s="3129" t="s">
        <v>2945</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81" t="s">
        <v>1803</v>
      </c>
      <c r="E63" s="784" t="s">
        <v>1747</v>
      </c>
      <c r="F63" s="817">
        <f t="shared" ca="1" si="0"/>
        <v>0</v>
      </c>
      <c r="I63" s="2410" t="s">
        <v>2373</v>
      </c>
      <c r="J63" s="2411">
        <v>70</v>
      </c>
      <c r="K63" s="2411">
        <v>50</v>
      </c>
      <c r="L63" s="2411">
        <v>80</v>
      </c>
      <c r="M63" s="3130">
        <v>0.02</v>
      </c>
      <c r="O63" s="2423" t="s">
        <v>2394</v>
      </c>
      <c r="P63" s="2424" t="s">
        <v>2411</v>
      </c>
      <c r="Q63" s="2425">
        <f ca="1">Q57+Q58</f>
        <v>3580</v>
      </c>
      <c r="R63" s="2428" t="s">
        <v>2395</v>
      </c>
    </row>
    <row r="64" spans="1:18" s="2060" customFormat="1" ht="16.5" thickBot="1">
      <c r="A64" s="1649" t="s">
        <v>1890</v>
      </c>
      <c r="B64" s="784" t="s">
        <v>678</v>
      </c>
      <c r="C64" s="53">
        <f ca="1">ROUND(C55*F64,1)</f>
        <v>0</v>
      </c>
      <c r="D64" s="3181" t="s">
        <v>679</v>
      </c>
      <c r="E64" s="784" t="s">
        <v>1747</v>
      </c>
      <c r="F64" s="818">
        <f t="shared" ca="1" si="0"/>
        <v>0</v>
      </c>
      <c r="I64" s="2410" t="s">
        <v>2374</v>
      </c>
      <c r="J64" s="2411">
        <v>50</v>
      </c>
      <c r="K64" s="2411">
        <v>35</v>
      </c>
      <c r="L64" s="2411">
        <v>60</v>
      </c>
      <c r="M64" s="3131">
        <v>0</v>
      </c>
      <c r="O64" s="2429" t="s">
        <v>2418</v>
      </c>
      <c r="P64" s="1592"/>
      <c r="Q64" s="1604"/>
      <c r="R64" s="1592"/>
    </row>
    <row r="65" spans="1:18" s="2060" customFormat="1" ht="15.75" thickBot="1">
      <c r="A65" s="1649" t="s">
        <v>1891</v>
      </c>
      <c r="B65" s="784" t="s">
        <v>665</v>
      </c>
      <c r="C65" s="53">
        <f ca="1">ROUND(C47*F65,1)</f>
        <v>0</v>
      </c>
      <c r="D65" s="3181" t="s">
        <v>682</v>
      </c>
      <c r="E65" s="784" t="s">
        <v>1747</v>
      </c>
      <c r="F65" s="794">
        <f t="shared" ca="1" si="0"/>
        <v>0</v>
      </c>
      <c r="I65" s="2410" t="s">
        <v>2375</v>
      </c>
      <c r="J65" s="2411">
        <v>40</v>
      </c>
      <c r="K65" s="2411">
        <v>30</v>
      </c>
      <c r="L65" s="2411">
        <v>50</v>
      </c>
      <c r="M65" s="3130">
        <v>0.02</v>
      </c>
      <c r="O65" s="2420" t="s">
        <v>2378</v>
      </c>
      <c r="P65" s="2421" t="s">
        <v>2379</v>
      </c>
      <c r="Q65" s="2422" t="s">
        <v>2380</v>
      </c>
      <c r="R65" s="2421" t="s">
        <v>2381</v>
      </c>
    </row>
    <row r="66" spans="1:18" s="2060" customFormat="1" ht="24.75" thickBot="1">
      <c r="A66" s="797" t="s">
        <v>1776</v>
      </c>
      <c r="B66" s="3036" t="s">
        <v>2824</v>
      </c>
      <c r="C66" s="799">
        <f ca="1">C47-C57</f>
        <v>-2</v>
      </c>
      <c r="D66" s="3182" t="s">
        <v>699</v>
      </c>
      <c r="E66" s="3185"/>
      <c r="F66" s="820"/>
      <c r="K66" s="2087"/>
      <c r="O66" s="2423" t="s">
        <v>2382</v>
      </c>
      <c r="P66" s="2424" t="s">
        <v>2408</v>
      </c>
      <c r="Q66" s="2425">
        <f ca="1">C40+J29</f>
        <v>3580</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27.17</v>
      </c>
      <c r="O68" s="2426" t="s">
        <v>2386</v>
      </c>
      <c r="P68" s="2424" t="s">
        <v>2416</v>
      </c>
      <c r="Q68" s="2430">
        <f ca="1">L51</f>
        <v>2504</v>
      </c>
      <c r="R68" s="2431" t="s">
        <v>2419</v>
      </c>
    </row>
    <row r="69" spans="1:18" ht="20.25" thickBot="1">
      <c r="A69" s="790"/>
      <c r="B69" s="791"/>
      <c r="C69" s="792"/>
      <c r="D69" s="816"/>
      <c r="E69" s="784" t="s">
        <v>709</v>
      </c>
      <c r="F69" s="2372"/>
      <c r="O69" s="2426" t="s">
        <v>2387</v>
      </c>
      <c r="P69" s="2432" t="s">
        <v>2401</v>
      </c>
      <c r="Q69" s="2425">
        <f ca="1">ROUND(Q70-Q71*Q72,0)</f>
        <v>144</v>
      </c>
      <c r="R69" s="2428"/>
    </row>
    <row r="70" spans="1:18" ht="15.75"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5.75" thickBot="1">
      <c r="O71" s="2426" t="s">
        <v>2404</v>
      </c>
      <c r="P71" s="2432" t="s">
        <v>2405</v>
      </c>
      <c r="Q71" s="2425">
        <f ca="1">C13</f>
        <v>581</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3580</v>
      </c>
      <c r="R76" s="2428" t="s">
        <v>2395</v>
      </c>
    </row>
  </sheetData>
  <sheetProtection password="C66D" sheet="1" objects="1" scenarios="1" formatCells="0" formatColumns="0" formatRows="0"/>
  <mergeCells count="3">
    <mergeCell ref="B6:B9"/>
    <mergeCell ref="I6:I9"/>
    <mergeCell ref="K53:L53"/>
  </mergeCells>
  <phoneticPr fontId="236"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12" sqref="D12"/>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199923</v>
      </c>
      <c r="C2" s="2109"/>
      <c r="D2" s="2109"/>
      <c r="E2" s="2109"/>
      <c r="F2" s="2109"/>
      <c r="G2" s="2109"/>
    </row>
    <row r="3" spans="1:25" s="2060" customFormat="1" ht="18" customHeight="1">
      <c r="A3" s="1379" t="s">
        <v>1685</v>
      </c>
      <c r="B3" s="425">
        <f ca="1">ROUND(B2*10000/'数据-汇总表'!E3,0)</f>
        <v>33060</v>
      </c>
      <c r="C3" s="2109"/>
      <c r="D3" s="2109"/>
      <c r="E3" s="2109"/>
      <c r="F3" s="2109"/>
      <c r="G3" s="2109"/>
    </row>
    <row r="4" spans="1:25" s="2060" customFormat="1" ht="18" customHeight="1">
      <c r="A4" s="426" t="s">
        <v>467</v>
      </c>
      <c r="B4" s="427">
        <f ca="1">ROUND(B2*10000/'数据-汇总表'!D3,0)</f>
        <v>10976</v>
      </c>
      <c r="C4" s="2062"/>
      <c r="D4" s="2109"/>
      <c r="E4" s="2109"/>
      <c r="F4" s="2109"/>
      <c r="G4" s="2109"/>
    </row>
    <row r="5" spans="1:25" s="2060" customFormat="1" ht="18" customHeight="1" thickBot="1">
      <c r="A5" s="429"/>
      <c r="B5" s="430">
        <f ca="1">ROUND(B2/('数据-汇总表'!D3/666.67),0)</f>
        <v>732</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239968.84963800001</v>
      </c>
      <c r="D7" s="749"/>
      <c r="E7" s="750"/>
      <c r="F7" s="750"/>
      <c r="G7" s="2504" t="s">
        <v>3145</v>
      </c>
    </row>
    <row r="8" spans="1:25" s="2184" customFormat="1" ht="13.5" customHeight="1">
      <c r="A8" s="2494" t="s">
        <v>2443</v>
      </c>
      <c r="B8" s="2497" t="s">
        <v>2445</v>
      </c>
      <c r="C8" s="2498">
        <f>土地案例!K3</f>
        <v>239968.84963800001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250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10439</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35995</v>
      </c>
      <c r="D18" s="762"/>
      <c r="E18" s="763"/>
      <c r="F18" s="761">
        <f>'数据-取费表'!Q16</f>
        <v>0.15</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286402.84963800001</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42960</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329362.84963800001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199923</v>
      </c>
      <c r="D22" s="760"/>
      <c r="E22" s="749"/>
      <c r="F22" s="766">
        <f>'数据-取费表'!AP16</f>
        <v>0.60699999999999998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199923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440" t="s">
        <v>521</v>
      </c>
      <c r="D4" s="3441"/>
      <c r="E4" s="3466" t="s">
        <v>522</v>
      </c>
      <c r="F4" s="3467"/>
      <c r="G4" s="3440" t="s">
        <v>523</v>
      </c>
      <c r="H4" s="3441"/>
      <c r="I4" s="3440" t="s">
        <v>524</v>
      </c>
      <c r="J4" s="3441"/>
      <c r="K4" s="853" t="s">
        <v>525</v>
      </c>
      <c r="L4" s="2134"/>
      <c r="M4" s="2135"/>
      <c r="N4" s="2135"/>
      <c r="O4" s="2135"/>
      <c r="P4" s="3442" t="s">
        <v>526</v>
      </c>
      <c r="Q4" s="3443"/>
      <c r="R4" s="3428" t="s">
        <v>522</v>
      </c>
      <c r="S4" s="3429"/>
      <c r="T4" s="3428" t="s">
        <v>523</v>
      </c>
      <c r="U4" s="3429"/>
      <c r="V4" s="3448" t="s">
        <v>524</v>
      </c>
      <c r="W4" s="3448"/>
      <c r="X4" s="1567"/>
      <c r="Y4" s="3428" t="s">
        <v>526</v>
      </c>
      <c r="Z4" s="3429"/>
      <c r="AA4" s="3423" t="s">
        <v>522</v>
      </c>
      <c r="AB4" s="3423" t="s">
        <v>523</v>
      </c>
      <c r="AC4" s="3423" t="s">
        <v>524</v>
      </c>
    </row>
    <row r="5" spans="1:29" ht="15">
      <c r="A5" s="515"/>
      <c r="B5" s="516"/>
      <c r="C5" s="3451" t="s">
        <v>2932</v>
      </c>
      <c r="D5" s="3452"/>
      <c r="E5" s="3468" t="s">
        <v>2933</v>
      </c>
      <c r="F5" s="3469"/>
      <c r="G5" s="3451" t="s">
        <v>2934</v>
      </c>
      <c r="H5" s="3452"/>
      <c r="I5" s="3451" t="s">
        <v>2935</v>
      </c>
      <c r="J5" s="3452"/>
      <c r="K5" s="854"/>
      <c r="L5" s="2134"/>
      <c r="M5" s="2135"/>
      <c r="N5" s="2135"/>
      <c r="O5" s="2135"/>
      <c r="P5" s="3444"/>
      <c r="Q5" s="3445"/>
      <c r="R5" s="3430"/>
      <c r="S5" s="3431"/>
      <c r="T5" s="3430"/>
      <c r="U5" s="3431"/>
      <c r="V5" s="3448"/>
      <c r="W5" s="3448"/>
      <c r="X5" s="1567"/>
      <c r="Y5" s="3430"/>
      <c r="Z5" s="3431"/>
      <c r="AA5" s="3424"/>
      <c r="AB5" s="3424"/>
      <c r="AC5" s="3424"/>
    </row>
    <row r="6" spans="1:29" ht="15.75" thickBot="1">
      <c r="A6" s="517"/>
      <c r="B6" s="518"/>
      <c r="C6" s="3449" t="s">
        <v>2936</v>
      </c>
      <c r="D6" s="3450"/>
      <c r="E6" s="3470" t="s">
        <v>2936</v>
      </c>
      <c r="F6" s="3471"/>
      <c r="G6" s="3449" t="s">
        <v>2936</v>
      </c>
      <c r="H6" s="3450"/>
      <c r="I6" s="3449" t="s">
        <v>2936</v>
      </c>
      <c r="J6" s="3450"/>
      <c r="K6" s="854" t="s">
        <v>527</v>
      </c>
      <c r="L6" s="2134"/>
      <c r="M6" s="2135"/>
      <c r="N6" s="2135"/>
      <c r="O6" s="2135"/>
      <c r="P6" s="3446"/>
      <c r="Q6" s="3447"/>
      <c r="R6" s="3430"/>
      <c r="S6" s="3431"/>
      <c r="T6" s="3432"/>
      <c r="U6" s="3433"/>
      <c r="V6" s="3448"/>
      <c r="W6" s="3448"/>
      <c r="X6" s="1567"/>
      <c r="Y6" s="3432"/>
      <c r="Z6" s="3433"/>
      <c r="AA6" s="3425"/>
      <c r="AB6" s="3425"/>
      <c r="AC6" s="3425"/>
    </row>
    <row r="7" spans="1:29" s="1220" customFormat="1" ht="15.75" thickBot="1">
      <c r="A7" s="2937"/>
      <c r="B7" s="2944" t="s">
        <v>528</v>
      </c>
      <c r="C7" s="519">
        <f>'数据-取费表'!B2</f>
        <v>43222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6" t="s">
        <v>529</v>
      </c>
      <c r="Q7" s="3435"/>
      <c r="R7" s="1568" t="s">
        <v>13</v>
      </c>
      <c r="S7" s="1569">
        <f t="shared" ref="S7:S15" si="0">F7</f>
        <v>0</v>
      </c>
      <c r="T7" s="1568" t="s">
        <v>13</v>
      </c>
      <c r="U7" s="1569">
        <f t="shared" ref="U7:U15" si="1">H7</f>
        <v>0</v>
      </c>
      <c r="V7" s="1568" t="s">
        <v>13</v>
      </c>
      <c r="W7" s="1569">
        <f t="shared" ref="W7:W15"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6" t="s">
        <v>532</v>
      </c>
      <c r="Q8" s="3427"/>
      <c r="R8" s="1568" t="s">
        <v>13</v>
      </c>
      <c r="S8" s="1569">
        <f t="shared" si="0"/>
        <v>0</v>
      </c>
      <c r="T8" s="1568" t="s">
        <v>13</v>
      </c>
      <c r="U8" s="1569">
        <f t="shared" si="1"/>
        <v>0</v>
      </c>
      <c r="V8" s="1568" t="s">
        <v>13</v>
      </c>
      <c r="W8" s="1569">
        <f t="shared" si="2"/>
        <v>0</v>
      </c>
      <c r="X8" s="1570"/>
      <c r="Y8" s="3426" t="s">
        <v>532</v>
      </c>
      <c r="Z8" s="3427"/>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34" t="s">
        <v>534</v>
      </c>
      <c r="Q9" s="1151" t="str">
        <f t="shared" ref="Q9:Q15" si="6">B9</f>
        <v>用途</v>
      </c>
      <c r="R9" s="1568" t="s">
        <v>8</v>
      </c>
      <c r="S9" s="1569">
        <f t="shared" si="0"/>
        <v>100</v>
      </c>
      <c r="T9" s="1568" t="s">
        <v>8</v>
      </c>
      <c r="U9" s="1569">
        <f t="shared" si="1"/>
        <v>100</v>
      </c>
      <c r="V9" s="1568" t="s">
        <v>8</v>
      </c>
      <c r="W9" s="1569">
        <f t="shared" si="2"/>
        <v>100</v>
      </c>
      <c r="X9" s="1570"/>
      <c r="Y9" s="339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34"/>
      <c r="Q11" s="1151" t="str">
        <f t="shared" si="6"/>
        <v>容积率</v>
      </c>
      <c r="R11" s="1568" t="s">
        <v>11</v>
      </c>
      <c r="S11" s="1569" t="e">
        <f t="shared" si="0"/>
        <v>#N/A</v>
      </c>
      <c r="T11" s="1568" t="s">
        <v>11</v>
      </c>
      <c r="U11" s="1569" t="e">
        <f t="shared" si="1"/>
        <v>#N/A</v>
      </c>
      <c r="V11" s="1568" t="s">
        <v>11</v>
      </c>
      <c r="W11" s="1569" t="e">
        <f t="shared" si="2"/>
        <v>#N/A</v>
      </c>
      <c r="X11" s="1570"/>
      <c r="Y11" s="339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34"/>
      <c r="Q12" s="1151">
        <f t="shared" si="6"/>
        <v>111</v>
      </c>
      <c r="R12" s="1568" t="s">
        <v>11</v>
      </c>
      <c r="S12" s="1569">
        <f t="shared" si="0"/>
        <v>100</v>
      </c>
      <c r="T12" s="1568" t="s">
        <v>11</v>
      </c>
      <c r="U12" s="1569">
        <f t="shared" si="1"/>
        <v>100</v>
      </c>
      <c r="V12" s="1568" t="s">
        <v>11</v>
      </c>
      <c r="W12" s="1569">
        <f t="shared" si="2"/>
        <v>100</v>
      </c>
      <c r="X12" s="1570"/>
      <c r="Y12" s="3391"/>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34"/>
      <c r="Q13" s="1151">
        <f t="shared" si="6"/>
        <v>111</v>
      </c>
      <c r="R13" s="1568" t="s">
        <v>11</v>
      </c>
      <c r="S13" s="1569">
        <f t="shared" si="0"/>
        <v>100</v>
      </c>
      <c r="T13" s="1568" t="s">
        <v>11</v>
      </c>
      <c r="U13" s="1569">
        <f t="shared" si="1"/>
        <v>100</v>
      </c>
      <c r="V13" s="1568" t="s">
        <v>11</v>
      </c>
      <c r="W13" s="1569">
        <f t="shared" si="2"/>
        <v>100</v>
      </c>
      <c r="X13" s="1570"/>
      <c r="Y13" s="3391"/>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34"/>
      <c r="Q14" s="1151">
        <f t="shared" si="6"/>
        <v>111</v>
      </c>
      <c r="R14" s="1568" t="s">
        <v>11</v>
      </c>
      <c r="S14" s="1569">
        <f t="shared" si="0"/>
        <v>100</v>
      </c>
      <c r="T14" s="1568" t="s">
        <v>11</v>
      </c>
      <c r="U14" s="1569">
        <f t="shared" si="1"/>
        <v>100</v>
      </c>
      <c r="V14" s="1568" t="s">
        <v>11</v>
      </c>
      <c r="W14" s="1569">
        <f t="shared" si="2"/>
        <v>100</v>
      </c>
      <c r="X14" s="1570"/>
      <c r="Y14" s="3391"/>
      <c r="Z14" s="1150">
        <f t="shared" si="7"/>
        <v>111</v>
      </c>
      <c r="AA14" s="1571">
        <f t="shared" si="3"/>
        <v>1</v>
      </c>
      <c r="AB14" s="1571">
        <f t="shared" si="4"/>
        <v>1</v>
      </c>
      <c r="AC14" s="1571">
        <f t="shared" si="5"/>
        <v>1</v>
      </c>
    </row>
    <row r="15" spans="1:29" ht="99.75">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36" t="s">
        <v>539</v>
      </c>
      <c r="Q15" s="1572" t="str">
        <f t="shared" si="6"/>
        <v>居住社区成熟度</v>
      </c>
      <c r="R15" s="1573" t="s">
        <v>11</v>
      </c>
      <c r="S15" s="1574">
        <f t="shared" si="0"/>
        <v>100</v>
      </c>
      <c r="T15" s="1573" t="s">
        <v>11</v>
      </c>
      <c r="U15" s="1574">
        <f t="shared" si="1"/>
        <v>100</v>
      </c>
      <c r="V15" s="1573" t="s">
        <v>11</v>
      </c>
      <c r="W15" s="1574">
        <f t="shared" si="2"/>
        <v>100</v>
      </c>
      <c r="X15" s="1567"/>
      <c r="Y15" s="3436"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37"/>
      <c r="Q16" s="1572"/>
      <c r="R16" s="1573"/>
      <c r="S16" s="1574"/>
      <c r="T16" s="1573"/>
      <c r="U16" s="1574"/>
      <c r="V16" s="1573"/>
      <c r="W16" s="1574"/>
      <c r="X16" s="1567"/>
      <c r="Y16" s="3437"/>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37"/>
      <c r="Q17" s="1572" t="str">
        <f>B17</f>
        <v>交通便捷度</v>
      </c>
      <c r="R17" s="1573" t="s">
        <v>11</v>
      </c>
      <c r="S17" s="1574">
        <f>F17</f>
        <v>100</v>
      </c>
      <c r="T17" s="1573" t="s">
        <v>11</v>
      </c>
      <c r="U17" s="1574">
        <f>H17</f>
        <v>100</v>
      </c>
      <c r="V17" s="1573" t="s">
        <v>11</v>
      </c>
      <c r="W17" s="1574">
        <f>J17</f>
        <v>100</v>
      </c>
      <c r="X17" s="1567"/>
      <c r="Y17" s="343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37"/>
      <c r="Q18" s="1572"/>
      <c r="R18" s="1573"/>
      <c r="S18" s="1574"/>
      <c r="T18" s="1573"/>
      <c r="U18" s="1574"/>
      <c r="V18" s="1573"/>
      <c r="W18" s="1574"/>
      <c r="X18" s="1567"/>
      <c r="Y18" s="3437"/>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37"/>
      <c r="Q19" s="1572" t="str">
        <f>B19</f>
        <v>公共配套设施</v>
      </c>
      <c r="R19" s="1573" t="s">
        <v>11</v>
      </c>
      <c r="S19" s="1574">
        <f>F19</f>
        <v>100</v>
      </c>
      <c r="T19" s="1573" t="s">
        <v>11</v>
      </c>
      <c r="U19" s="1574">
        <f>H19</f>
        <v>100</v>
      </c>
      <c r="V19" s="1573" t="s">
        <v>11</v>
      </c>
      <c r="W19" s="1574">
        <f>J19</f>
        <v>100</v>
      </c>
      <c r="X19" s="1567"/>
      <c r="Y19" s="343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37"/>
      <c r="Q20" s="1572"/>
      <c r="R20" s="1573"/>
      <c r="S20" s="1574"/>
      <c r="T20" s="1573"/>
      <c r="U20" s="1574"/>
      <c r="V20" s="1573"/>
      <c r="W20" s="1574"/>
      <c r="X20" s="1567"/>
      <c r="Y20" s="3437"/>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37"/>
      <c r="Q21" s="2604" t="str">
        <f>B21</f>
        <v>基础设施水平</v>
      </c>
      <c r="R21" s="1573" t="s">
        <v>11</v>
      </c>
      <c r="S21" s="1574">
        <f>F21</f>
        <v>100</v>
      </c>
      <c r="T21" s="1573" t="s">
        <v>11</v>
      </c>
      <c r="U21" s="1574">
        <f>H21</f>
        <v>100</v>
      </c>
      <c r="V21" s="1573" t="s">
        <v>11</v>
      </c>
      <c r="W21" s="1574">
        <f>J21</f>
        <v>100</v>
      </c>
      <c r="X21" s="2606"/>
      <c r="Y21" s="3437"/>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37"/>
      <c r="Q22" s="2604"/>
      <c r="R22" s="1573"/>
      <c r="S22" s="1574"/>
      <c r="T22" s="1573"/>
      <c r="U22" s="1574"/>
      <c r="V22" s="1573"/>
      <c r="W22" s="1574"/>
      <c r="X22" s="2606"/>
      <c r="Y22" s="3437"/>
      <c r="Z22" s="2605"/>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37"/>
      <c r="Q23" s="1572" t="str">
        <f>B23</f>
        <v>自然及人文环境</v>
      </c>
      <c r="R23" s="1573" t="s">
        <v>11</v>
      </c>
      <c r="S23" s="1574">
        <f>F23</f>
        <v>100</v>
      </c>
      <c r="T23" s="1573" t="s">
        <v>11</v>
      </c>
      <c r="U23" s="1574">
        <f>H23</f>
        <v>100</v>
      </c>
      <c r="V23" s="1573" t="s">
        <v>11</v>
      </c>
      <c r="W23" s="1574">
        <f>J23</f>
        <v>100</v>
      </c>
      <c r="X23" s="1567"/>
      <c r="Y23" s="343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37"/>
      <c r="Q24" s="1572"/>
      <c r="R24" s="1573"/>
      <c r="S24" s="1574"/>
      <c r="T24" s="1573"/>
      <c r="U24" s="1574"/>
      <c r="V24" s="1573"/>
      <c r="W24" s="1574"/>
      <c r="X24" s="1567"/>
      <c r="Y24" s="3437"/>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7"/>
      <c r="Q25" s="1572" t="str">
        <f t="shared" ref="Q25:Q46" si="11">B25</f>
        <v>楼层-1</v>
      </c>
      <c r="R25" s="1573" t="s">
        <v>11</v>
      </c>
      <c r="S25" s="1574">
        <f>F25</f>
        <v>100</v>
      </c>
      <c r="T25" s="1573" t="s">
        <v>11</v>
      </c>
      <c r="U25" s="1574">
        <f>H25</f>
        <v>100</v>
      </c>
      <c r="V25" s="1573" t="s">
        <v>11</v>
      </c>
      <c r="W25" s="1574">
        <f>J25</f>
        <v>100</v>
      </c>
      <c r="X25" s="1567"/>
      <c r="Y25" s="3437"/>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7"/>
      <c r="Q26" s="1572" t="str">
        <f t="shared" si="11"/>
        <v>朝向</v>
      </c>
      <c r="R26" s="1573" t="s">
        <v>11</v>
      </c>
      <c r="S26" s="1574">
        <f>F26</f>
        <v>100</v>
      </c>
      <c r="T26" s="1573" t="s">
        <v>11</v>
      </c>
      <c r="U26" s="1574">
        <f>H26</f>
        <v>100</v>
      </c>
      <c r="V26" s="1573" t="s">
        <v>11</v>
      </c>
      <c r="W26" s="1574">
        <f>J26</f>
        <v>100</v>
      </c>
      <c r="X26" s="1567"/>
      <c r="Y26" s="3437"/>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7"/>
      <c r="Q27" s="1151" t="str">
        <f t="shared" si="11"/>
        <v>道路级别</v>
      </c>
      <c r="R27" s="1568" t="s">
        <v>11</v>
      </c>
      <c r="S27" s="1569">
        <f>F27</f>
        <v>100</v>
      </c>
      <c r="T27" s="1568" t="s">
        <v>11</v>
      </c>
      <c r="U27" s="1569">
        <f>H27</f>
        <v>100</v>
      </c>
      <c r="V27" s="1568" t="s">
        <v>11</v>
      </c>
      <c r="W27" s="1569">
        <f>J27</f>
        <v>100</v>
      </c>
      <c r="X27" s="1570"/>
      <c r="Y27" s="3437"/>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37"/>
      <c r="Q28" s="1572">
        <f t="shared" si="11"/>
        <v>111</v>
      </c>
      <c r="R28" s="1573" t="s">
        <v>11</v>
      </c>
      <c r="S28" s="1574">
        <f t="shared" ref="S28:S46" si="12">F28</f>
        <v>100</v>
      </c>
      <c r="T28" s="1573" t="s">
        <v>11</v>
      </c>
      <c r="U28" s="1574">
        <f t="shared" ref="U28:U46" si="13">H28</f>
        <v>100</v>
      </c>
      <c r="V28" s="1573" t="s">
        <v>11</v>
      </c>
      <c r="W28" s="1574">
        <f t="shared" ref="W28:W46" si="14">J28</f>
        <v>100</v>
      </c>
      <c r="X28" s="1567"/>
      <c r="Y28" s="3437"/>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7"/>
      <c r="Q29" s="1572">
        <f t="shared" si="11"/>
        <v>111</v>
      </c>
      <c r="R29" s="1573" t="s">
        <v>11</v>
      </c>
      <c r="S29" s="1574">
        <f t="shared" si="12"/>
        <v>100</v>
      </c>
      <c r="T29" s="1573" t="s">
        <v>11</v>
      </c>
      <c r="U29" s="1574">
        <f t="shared" si="13"/>
        <v>100</v>
      </c>
      <c r="V29" s="1573" t="s">
        <v>11</v>
      </c>
      <c r="W29" s="1574">
        <f t="shared" si="14"/>
        <v>100</v>
      </c>
      <c r="X29" s="1567"/>
      <c r="Y29" s="343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7"/>
      <c r="Q30" s="1572">
        <f t="shared" si="11"/>
        <v>111</v>
      </c>
      <c r="R30" s="1573" t="s">
        <v>11</v>
      </c>
      <c r="S30" s="1574">
        <f t="shared" si="12"/>
        <v>100</v>
      </c>
      <c r="T30" s="1573" t="s">
        <v>11</v>
      </c>
      <c r="U30" s="1574">
        <f t="shared" si="13"/>
        <v>100</v>
      </c>
      <c r="V30" s="1573" t="s">
        <v>11</v>
      </c>
      <c r="W30" s="1574">
        <f t="shared" si="14"/>
        <v>100</v>
      </c>
      <c r="X30" s="1567"/>
      <c r="Y30" s="3437"/>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7"/>
      <c r="Q31" s="1572">
        <f t="shared" si="11"/>
        <v>111</v>
      </c>
      <c r="R31" s="1573" t="s">
        <v>11</v>
      </c>
      <c r="S31" s="1574">
        <f t="shared" si="12"/>
        <v>100</v>
      </c>
      <c r="T31" s="1573" t="s">
        <v>11</v>
      </c>
      <c r="U31" s="1574">
        <f t="shared" si="13"/>
        <v>100</v>
      </c>
      <c r="V31" s="1573" t="s">
        <v>11</v>
      </c>
      <c r="W31" s="1574">
        <f t="shared" si="14"/>
        <v>100</v>
      </c>
      <c r="X31" s="1567"/>
      <c r="Y31" s="3437"/>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38" t="s">
        <v>549</v>
      </c>
      <c r="Q32" s="1572" t="str">
        <f t="shared" si="11"/>
        <v>建筑类型</v>
      </c>
      <c r="R32" s="1573" t="s">
        <v>11</v>
      </c>
      <c r="S32" s="1574">
        <f t="shared" si="12"/>
        <v>100</v>
      </c>
      <c r="T32" s="1573" t="s">
        <v>11</v>
      </c>
      <c r="U32" s="1574">
        <f t="shared" si="13"/>
        <v>100</v>
      </c>
      <c r="V32" s="1573" t="s">
        <v>11</v>
      </c>
      <c r="W32" s="1574">
        <f t="shared" si="14"/>
        <v>100</v>
      </c>
      <c r="X32" s="1567"/>
      <c r="Y32" s="3439"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39"/>
      <c r="Q33" s="1605" t="str">
        <f t="shared" si="11"/>
        <v>项目建筑规模</v>
      </c>
      <c r="R33" s="1577" t="s">
        <v>11</v>
      </c>
      <c r="S33" s="1578" t="e">
        <f t="shared" si="12"/>
        <v>#N/A</v>
      </c>
      <c r="T33" s="1577" t="s">
        <v>11</v>
      </c>
      <c r="U33" s="1578" t="e">
        <f t="shared" si="13"/>
        <v>#N/A</v>
      </c>
      <c r="V33" s="1577" t="s">
        <v>11</v>
      </c>
      <c r="W33" s="1578" t="e">
        <f t="shared" si="14"/>
        <v>#N/A</v>
      </c>
      <c r="X33" s="1579"/>
      <c r="Y33" s="3439"/>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39"/>
      <c r="Q34" s="1572" t="str">
        <f t="shared" si="11"/>
        <v>建筑结构</v>
      </c>
      <c r="R34" s="1573" t="s">
        <v>11</v>
      </c>
      <c r="S34" s="1574">
        <f t="shared" si="12"/>
        <v>100</v>
      </c>
      <c r="T34" s="1573" t="s">
        <v>11</v>
      </c>
      <c r="U34" s="1574">
        <f t="shared" si="13"/>
        <v>100</v>
      </c>
      <c r="V34" s="1573" t="s">
        <v>11</v>
      </c>
      <c r="W34" s="1574">
        <f t="shared" si="14"/>
        <v>100</v>
      </c>
      <c r="X34" s="1567"/>
      <c r="Y34" s="3439"/>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39"/>
      <c r="Q35" s="1572" t="str">
        <f t="shared" si="11"/>
        <v>建筑品质</v>
      </c>
      <c r="R35" s="1573" t="s">
        <v>11</v>
      </c>
      <c r="S35" s="1574">
        <f t="shared" si="12"/>
        <v>100</v>
      </c>
      <c r="T35" s="1573" t="s">
        <v>11</v>
      </c>
      <c r="U35" s="1574">
        <f t="shared" si="13"/>
        <v>100</v>
      </c>
      <c r="V35" s="1573" t="s">
        <v>11</v>
      </c>
      <c r="W35" s="1574">
        <f t="shared" si="14"/>
        <v>100</v>
      </c>
      <c r="X35" s="1567"/>
      <c r="Y35" s="3439"/>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39"/>
      <c r="Q36" s="1572" t="str">
        <f t="shared" si="11"/>
        <v>公共部分装修</v>
      </c>
      <c r="R36" s="1573" t="s">
        <v>11</v>
      </c>
      <c r="S36" s="1574">
        <f t="shared" si="12"/>
        <v>100</v>
      </c>
      <c r="T36" s="1573" t="s">
        <v>11</v>
      </c>
      <c r="U36" s="1574">
        <f t="shared" si="13"/>
        <v>100</v>
      </c>
      <c r="V36" s="1573" t="s">
        <v>11</v>
      </c>
      <c r="W36" s="1574">
        <f t="shared" si="14"/>
        <v>100</v>
      </c>
      <c r="X36" s="1567"/>
      <c r="Y36" s="3439"/>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39"/>
      <c r="Q37" s="1151" t="str">
        <f t="shared" si="11"/>
        <v>成新度</v>
      </c>
      <c r="R37" s="1568" t="s">
        <v>11</v>
      </c>
      <c r="S37" s="1569" t="e">
        <f t="shared" si="12"/>
        <v>#N/A</v>
      </c>
      <c r="T37" s="1568" t="s">
        <v>11</v>
      </c>
      <c r="U37" s="1569" t="e">
        <f t="shared" si="13"/>
        <v>#N/A</v>
      </c>
      <c r="V37" s="1568" t="s">
        <v>11</v>
      </c>
      <c r="W37" s="1569" t="e">
        <f t="shared" si="14"/>
        <v>#N/A</v>
      </c>
      <c r="X37" s="1570"/>
      <c r="Y37" s="3439"/>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39" t="s">
        <v>549</v>
      </c>
      <c r="Q38" s="1572" t="str">
        <f t="shared" si="11"/>
        <v>物业管理</v>
      </c>
      <c r="R38" s="1573" t="s">
        <v>11</v>
      </c>
      <c r="S38" s="1574">
        <f t="shared" si="12"/>
        <v>100</v>
      </c>
      <c r="T38" s="1573" t="s">
        <v>11</v>
      </c>
      <c r="U38" s="1574">
        <f t="shared" si="13"/>
        <v>100</v>
      </c>
      <c r="V38" s="1573" t="s">
        <v>11</v>
      </c>
      <c r="W38" s="1574">
        <f t="shared" si="14"/>
        <v>100</v>
      </c>
      <c r="X38" s="1567"/>
      <c r="Y38" s="3439"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39"/>
      <c r="Q39" s="1572" t="str">
        <f t="shared" si="11"/>
        <v>市政基础设施</v>
      </c>
      <c r="R39" s="1573" t="s">
        <v>11</v>
      </c>
      <c r="S39" s="1574">
        <f t="shared" si="12"/>
        <v>100</v>
      </c>
      <c r="T39" s="1573" t="s">
        <v>11</v>
      </c>
      <c r="U39" s="1574">
        <f t="shared" si="13"/>
        <v>100</v>
      </c>
      <c r="V39" s="1573" t="s">
        <v>11</v>
      </c>
      <c r="W39" s="1574">
        <f t="shared" si="14"/>
        <v>100</v>
      </c>
      <c r="X39" s="1567"/>
      <c r="Y39" s="3439"/>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9"/>
      <c r="Q40" s="1572" t="str">
        <f t="shared" si="11"/>
        <v>房型</v>
      </c>
      <c r="R40" s="1573" t="s">
        <v>11</v>
      </c>
      <c r="S40" s="1574">
        <f t="shared" si="12"/>
        <v>100</v>
      </c>
      <c r="T40" s="1573" t="s">
        <v>11</v>
      </c>
      <c r="U40" s="1574">
        <f t="shared" si="13"/>
        <v>100</v>
      </c>
      <c r="V40" s="1573" t="s">
        <v>11</v>
      </c>
      <c r="W40" s="1574">
        <f t="shared" si="14"/>
        <v>100</v>
      </c>
      <c r="X40" s="1567"/>
      <c r="Y40" s="3439"/>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9"/>
      <c r="Q41" s="1605" t="str">
        <f t="shared" si="11"/>
        <v>单套/主力户型建筑面积</v>
      </c>
      <c r="R41" s="1577" t="s">
        <v>11</v>
      </c>
      <c r="S41" s="1578">
        <f t="shared" si="12"/>
        <v>100</v>
      </c>
      <c r="T41" s="1577" t="s">
        <v>11</v>
      </c>
      <c r="U41" s="1578">
        <f t="shared" si="13"/>
        <v>100</v>
      </c>
      <c r="V41" s="1577" t="s">
        <v>11</v>
      </c>
      <c r="W41" s="1578">
        <f t="shared" si="14"/>
        <v>100</v>
      </c>
      <c r="X41" s="1579"/>
      <c r="Y41" s="3439"/>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39"/>
      <c r="Q42" s="1572" t="str">
        <f t="shared" si="11"/>
        <v>内部装修</v>
      </c>
      <c r="R42" s="1573" t="s">
        <v>11</v>
      </c>
      <c r="S42" s="1574">
        <f t="shared" si="12"/>
        <v>100</v>
      </c>
      <c r="T42" s="1573" t="s">
        <v>11</v>
      </c>
      <c r="U42" s="1574">
        <f t="shared" si="13"/>
        <v>100</v>
      </c>
      <c r="V42" s="1573" t="s">
        <v>11</v>
      </c>
      <c r="W42" s="1574">
        <f t="shared" si="14"/>
        <v>100</v>
      </c>
      <c r="X42" s="1567"/>
      <c r="Y42" s="3439"/>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9"/>
      <c r="Q43" s="1572" t="str">
        <f t="shared" si="11"/>
        <v>内部装修维护情况</v>
      </c>
      <c r="R43" s="1573" t="s">
        <v>11</v>
      </c>
      <c r="S43" s="1574">
        <f t="shared" si="12"/>
        <v>100</v>
      </c>
      <c r="T43" s="1573" t="s">
        <v>11</v>
      </c>
      <c r="U43" s="1574">
        <f t="shared" si="13"/>
        <v>100</v>
      </c>
      <c r="V43" s="1573" t="s">
        <v>11</v>
      </c>
      <c r="W43" s="1574">
        <f t="shared" si="14"/>
        <v>100</v>
      </c>
      <c r="X43" s="1567"/>
      <c r="Y43" s="343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9"/>
      <c r="Q44" s="1151">
        <f t="shared" si="11"/>
        <v>111</v>
      </c>
      <c r="R44" s="1568" t="s">
        <v>11</v>
      </c>
      <c r="S44" s="1569">
        <f t="shared" si="12"/>
        <v>100</v>
      </c>
      <c r="T44" s="1568" t="s">
        <v>11</v>
      </c>
      <c r="U44" s="1569">
        <f t="shared" si="13"/>
        <v>100</v>
      </c>
      <c r="V44" s="1568" t="s">
        <v>11</v>
      </c>
      <c r="W44" s="1569">
        <f t="shared" si="14"/>
        <v>100</v>
      </c>
      <c r="X44" s="1570"/>
      <c r="Y44" s="343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9"/>
      <c r="Q45" s="1572">
        <f t="shared" si="11"/>
        <v>111</v>
      </c>
      <c r="R45" s="1573" t="s">
        <v>11</v>
      </c>
      <c r="S45" s="1574">
        <f t="shared" si="12"/>
        <v>100</v>
      </c>
      <c r="T45" s="1573" t="s">
        <v>11</v>
      </c>
      <c r="U45" s="1574">
        <f t="shared" si="13"/>
        <v>100</v>
      </c>
      <c r="V45" s="1573" t="s">
        <v>11</v>
      </c>
      <c r="W45" s="1574">
        <f t="shared" si="14"/>
        <v>100</v>
      </c>
      <c r="X45" s="1567"/>
      <c r="Y45" s="3439"/>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27"/>
      <c r="Q46" s="1572">
        <f t="shared" si="11"/>
        <v>111</v>
      </c>
      <c r="R46" s="1573" t="s">
        <v>10</v>
      </c>
      <c r="S46" s="1574">
        <f t="shared" si="12"/>
        <v>100</v>
      </c>
      <c r="T46" s="1573" t="s">
        <v>10</v>
      </c>
      <c r="U46" s="1574">
        <f t="shared" si="13"/>
        <v>100</v>
      </c>
      <c r="V46" s="1573" t="s">
        <v>10</v>
      </c>
      <c r="W46" s="1574">
        <f t="shared" si="14"/>
        <v>100</v>
      </c>
      <c r="X46" s="1567"/>
      <c r="Y46" s="3527"/>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434" t="str">
        <f>A47</f>
        <v>成交单价（元/平方米）</v>
      </c>
      <c r="Q47" s="3434"/>
      <c r="R47" s="3526">
        <f>E47</f>
        <v>0</v>
      </c>
      <c r="S47" s="3526"/>
      <c r="T47" s="3526">
        <f>G47</f>
        <v>0</v>
      </c>
      <c r="U47" s="3526"/>
      <c r="V47" s="3526">
        <f>I47</f>
        <v>0</v>
      </c>
      <c r="W47" s="3526"/>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434" t="str">
        <f>A48</f>
        <v>比较价格（元/平方米）</v>
      </c>
      <c r="Q48" s="343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9"/>
      <c r="Y48" s="1559"/>
      <c r="Z48" s="1559"/>
      <c r="AA48" s="1559"/>
      <c r="AB48" s="1559"/>
      <c r="AC48" s="1559"/>
    </row>
    <row r="49" spans="1:29" ht="15.75" thickBot="1">
      <c r="A49" s="621" t="s">
        <v>2938</v>
      </c>
      <c r="B49" s="622"/>
      <c r="C49" s="2661" t="e">
        <f>R49</f>
        <v>#DIV/0!</v>
      </c>
      <c r="D49" s="2661"/>
      <c r="E49" s="2661"/>
      <c r="F49" s="2661"/>
      <c r="G49" s="2661"/>
      <c r="H49" s="2661"/>
      <c r="I49" s="2661"/>
      <c r="J49" s="2661"/>
      <c r="K49" s="1608"/>
      <c r="L49" s="2145"/>
      <c r="M49" s="2146"/>
      <c r="N49" s="2146"/>
      <c r="O49" s="2146"/>
      <c r="P49" s="3455" t="str">
        <f>A49</f>
        <v>估价对象XX用房的比较价格（楼面单价，元/平方米）</v>
      </c>
      <c r="Q49" s="3456"/>
      <c r="R49" s="3525" t="e">
        <f>IF(F1="售价",ROUND(AVERAGE(R48:V48),0),ROUND(AVERAGE(R48:V48),1))</f>
        <v>#DIV/0!</v>
      </c>
      <c r="S49" s="3525"/>
      <c r="T49" s="3525"/>
      <c r="U49" s="3525"/>
      <c r="V49" s="3525"/>
      <c r="W49" s="352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440" t="s">
        <v>521</v>
      </c>
      <c r="D4" s="3441"/>
      <c r="E4" s="3466" t="s">
        <v>522</v>
      </c>
      <c r="F4" s="3467"/>
      <c r="G4" s="3440" t="s">
        <v>523</v>
      </c>
      <c r="H4" s="3441"/>
      <c r="I4" s="3440" t="s">
        <v>524</v>
      </c>
      <c r="J4" s="3441"/>
      <c r="K4" s="514" t="s">
        <v>525</v>
      </c>
      <c r="L4" s="2134"/>
      <c r="M4" s="2135"/>
      <c r="N4" s="2135"/>
      <c r="O4" s="2135"/>
      <c r="P4" s="3442" t="s">
        <v>526</v>
      </c>
      <c r="Q4" s="3443"/>
      <c r="R4" s="3428" t="s">
        <v>522</v>
      </c>
      <c r="S4" s="3429"/>
      <c r="T4" s="3428" t="s">
        <v>523</v>
      </c>
      <c r="U4" s="3429"/>
      <c r="V4" s="3448" t="s">
        <v>524</v>
      </c>
      <c r="W4" s="3448"/>
      <c r="X4" s="1567"/>
      <c r="Y4" s="3428" t="s">
        <v>526</v>
      </c>
      <c r="Z4" s="3429"/>
      <c r="AA4" s="3423" t="s">
        <v>522</v>
      </c>
      <c r="AB4" s="3448" t="s">
        <v>523</v>
      </c>
      <c r="AC4" s="3423" t="s">
        <v>524</v>
      </c>
    </row>
    <row r="5" spans="1:29" ht="15">
      <c r="A5" s="515"/>
      <c r="B5" s="516"/>
      <c r="C5" s="3451" t="s">
        <v>2932</v>
      </c>
      <c r="D5" s="3452"/>
      <c r="E5" s="3468" t="s">
        <v>2933</v>
      </c>
      <c r="F5" s="3469"/>
      <c r="G5" s="3451" t="s">
        <v>2934</v>
      </c>
      <c r="H5" s="3452"/>
      <c r="I5" s="3451" t="s">
        <v>2935</v>
      </c>
      <c r="J5" s="3452"/>
      <c r="K5" s="514"/>
      <c r="L5" s="2134"/>
      <c r="M5" s="2135"/>
      <c r="N5" s="2135"/>
      <c r="O5" s="2135"/>
      <c r="P5" s="3444"/>
      <c r="Q5" s="3445"/>
      <c r="R5" s="3430"/>
      <c r="S5" s="3431"/>
      <c r="T5" s="3430"/>
      <c r="U5" s="3431"/>
      <c r="V5" s="3448"/>
      <c r="W5" s="3448"/>
      <c r="X5" s="1567"/>
      <c r="Y5" s="3430"/>
      <c r="Z5" s="3431"/>
      <c r="AA5" s="3424"/>
      <c r="AB5" s="3448"/>
      <c r="AC5" s="3424"/>
    </row>
    <row r="6" spans="1:29" ht="15.75" thickBot="1">
      <c r="A6" s="517"/>
      <c r="B6" s="518"/>
      <c r="C6" s="3449" t="s">
        <v>2936</v>
      </c>
      <c r="D6" s="3450"/>
      <c r="E6" s="3470" t="s">
        <v>2936</v>
      </c>
      <c r="F6" s="3471"/>
      <c r="G6" s="3449" t="s">
        <v>2936</v>
      </c>
      <c r="H6" s="3450"/>
      <c r="I6" s="3449" t="s">
        <v>2936</v>
      </c>
      <c r="J6" s="3450"/>
      <c r="K6" s="514" t="s">
        <v>527</v>
      </c>
      <c r="L6" s="2134"/>
      <c r="M6" s="2135"/>
      <c r="N6" s="2135"/>
      <c r="O6" s="2135"/>
      <c r="P6" s="3446"/>
      <c r="Q6" s="3447"/>
      <c r="R6" s="3430"/>
      <c r="S6" s="3431"/>
      <c r="T6" s="3432"/>
      <c r="U6" s="3433"/>
      <c r="V6" s="3448"/>
      <c r="W6" s="3448"/>
      <c r="X6" s="1567"/>
      <c r="Y6" s="3432"/>
      <c r="Z6" s="3433"/>
      <c r="AA6" s="3425"/>
      <c r="AB6" s="3448"/>
      <c r="AC6" s="3425"/>
    </row>
    <row r="7" spans="1:29" s="1220" customFormat="1" ht="15.75" thickBot="1">
      <c r="A7" s="2937"/>
      <c r="B7" s="2944" t="s">
        <v>528</v>
      </c>
      <c r="C7" s="519">
        <f>'数据-取费表'!B2</f>
        <v>43222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6" t="s">
        <v>529</v>
      </c>
      <c r="Q7" s="3435"/>
      <c r="R7" s="1568" t="s">
        <v>8</v>
      </c>
      <c r="S7" s="1569">
        <f t="shared" ref="S7:S15" si="0">F7</f>
        <v>0</v>
      </c>
      <c r="T7" s="1568" t="s">
        <v>8</v>
      </c>
      <c r="U7" s="1569">
        <f t="shared" ref="U7:U15" si="1">H7</f>
        <v>0</v>
      </c>
      <c r="V7" s="1568" t="s">
        <v>8</v>
      </c>
      <c r="W7" s="1569">
        <f t="shared" ref="W7:W15"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6" t="s">
        <v>532</v>
      </c>
      <c r="Q8" s="3427"/>
      <c r="R8" s="1568" t="s">
        <v>8</v>
      </c>
      <c r="S8" s="1569">
        <f t="shared" si="0"/>
        <v>0</v>
      </c>
      <c r="T8" s="1568" t="s">
        <v>8</v>
      </c>
      <c r="U8" s="1569">
        <f t="shared" si="1"/>
        <v>0</v>
      </c>
      <c r="V8" s="1568" t="s">
        <v>8</v>
      </c>
      <c r="W8" s="1569">
        <f t="shared" si="2"/>
        <v>0</v>
      </c>
      <c r="X8" s="1570"/>
      <c r="Y8" s="3426" t="s">
        <v>532</v>
      </c>
      <c r="Z8" s="3427"/>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34" t="s">
        <v>534</v>
      </c>
      <c r="Q9" s="1151" t="str">
        <f t="shared" ref="Q9:Q15" si="6">B9</f>
        <v>用途</v>
      </c>
      <c r="R9" s="1568" t="s">
        <v>8</v>
      </c>
      <c r="S9" s="1569">
        <f t="shared" si="0"/>
        <v>100</v>
      </c>
      <c r="T9" s="1568" t="s">
        <v>8</v>
      </c>
      <c r="U9" s="1569">
        <f t="shared" si="1"/>
        <v>100</v>
      </c>
      <c r="V9" s="1568" t="s">
        <v>8</v>
      </c>
      <c r="W9" s="1569">
        <f t="shared" si="2"/>
        <v>100</v>
      </c>
      <c r="X9" s="1570"/>
      <c r="Y9" s="339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34"/>
      <c r="Q11" s="1151" t="str">
        <f t="shared" si="6"/>
        <v>容积率</v>
      </c>
      <c r="R11" s="1568" t="s">
        <v>8</v>
      </c>
      <c r="S11" s="1569" t="e">
        <f t="shared" si="0"/>
        <v>#N/A</v>
      </c>
      <c r="T11" s="1568" t="s">
        <v>8</v>
      </c>
      <c r="U11" s="1569" t="e">
        <f t="shared" si="1"/>
        <v>#N/A</v>
      </c>
      <c r="V11" s="1568" t="s">
        <v>8</v>
      </c>
      <c r="W11" s="1569" t="e">
        <f t="shared" si="2"/>
        <v>#N/A</v>
      </c>
      <c r="X11" s="1570"/>
      <c r="Y11" s="339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34"/>
      <c r="Q12" s="1151">
        <f t="shared" si="6"/>
        <v>111</v>
      </c>
      <c r="R12" s="1568" t="s">
        <v>8</v>
      </c>
      <c r="S12" s="1569">
        <f t="shared" si="0"/>
        <v>100</v>
      </c>
      <c r="T12" s="1568" t="s">
        <v>8</v>
      </c>
      <c r="U12" s="1569">
        <f t="shared" si="1"/>
        <v>100</v>
      </c>
      <c r="V12" s="1568" t="s">
        <v>8</v>
      </c>
      <c r="W12" s="1569">
        <f t="shared" si="2"/>
        <v>100</v>
      </c>
      <c r="X12" s="1570"/>
      <c r="Y12" s="3391"/>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34"/>
      <c r="Q13" s="1151">
        <f t="shared" si="6"/>
        <v>111</v>
      </c>
      <c r="R13" s="1568" t="s">
        <v>8</v>
      </c>
      <c r="S13" s="1569">
        <f t="shared" si="0"/>
        <v>100</v>
      </c>
      <c r="T13" s="1568" t="s">
        <v>8</v>
      </c>
      <c r="U13" s="1569">
        <f t="shared" si="1"/>
        <v>100</v>
      </c>
      <c r="V13" s="1568" t="s">
        <v>8</v>
      </c>
      <c r="W13" s="1569">
        <f t="shared" si="2"/>
        <v>100</v>
      </c>
      <c r="X13" s="1570"/>
      <c r="Y13" s="3391"/>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34"/>
      <c r="Q14" s="1151">
        <f t="shared" si="6"/>
        <v>111</v>
      </c>
      <c r="R14" s="1568" t="s">
        <v>8</v>
      </c>
      <c r="S14" s="1569">
        <f t="shared" si="0"/>
        <v>100</v>
      </c>
      <c r="T14" s="1568" t="s">
        <v>8</v>
      </c>
      <c r="U14" s="1569">
        <f t="shared" si="1"/>
        <v>100</v>
      </c>
      <c r="V14" s="1568" t="s">
        <v>8</v>
      </c>
      <c r="W14" s="1569">
        <f t="shared" si="2"/>
        <v>100</v>
      </c>
      <c r="X14" s="1570"/>
      <c r="Y14" s="3391"/>
      <c r="Z14" s="1150">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36" t="s">
        <v>539</v>
      </c>
      <c r="Q15" s="1572" t="str">
        <f t="shared" si="6"/>
        <v>商业繁华度</v>
      </c>
      <c r="R15" s="1573" t="s">
        <v>8</v>
      </c>
      <c r="S15" s="1574">
        <f t="shared" si="0"/>
        <v>100</v>
      </c>
      <c r="T15" s="1573" t="s">
        <v>8</v>
      </c>
      <c r="U15" s="1574">
        <f t="shared" si="1"/>
        <v>100</v>
      </c>
      <c r="V15" s="1573" t="s">
        <v>8</v>
      </c>
      <c r="W15" s="1574">
        <f t="shared" si="2"/>
        <v>100</v>
      </c>
      <c r="X15" s="1567"/>
      <c r="Y15" s="3436"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7"/>
      <c r="Q16" s="1572"/>
      <c r="R16" s="1573"/>
      <c r="S16" s="1574"/>
      <c r="T16" s="1573"/>
      <c r="U16" s="1574"/>
      <c r="V16" s="1573"/>
      <c r="W16" s="1574"/>
      <c r="X16" s="1567"/>
      <c r="Y16" s="3437"/>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37"/>
      <c r="Q17" s="1572" t="str">
        <f>B17</f>
        <v>交通便捷度</v>
      </c>
      <c r="R17" s="1573" t="s">
        <v>8</v>
      </c>
      <c r="S17" s="1574">
        <f>F17</f>
        <v>100</v>
      </c>
      <c r="T17" s="1573" t="s">
        <v>8</v>
      </c>
      <c r="U17" s="1574">
        <f>H17</f>
        <v>100</v>
      </c>
      <c r="V17" s="1573" t="s">
        <v>8</v>
      </c>
      <c r="W17" s="1574">
        <f>J17</f>
        <v>100</v>
      </c>
      <c r="X17" s="1567"/>
      <c r="Y17" s="343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7"/>
      <c r="Q18" s="1572"/>
      <c r="R18" s="1573"/>
      <c r="S18" s="1574"/>
      <c r="T18" s="1573"/>
      <c r="U18" s="1574"/>
      <c r="V18" s="1573"/>
      <c r="W18" s="1574"/>
      <c r="X18" s="1567"/>
      <c r="Y18" s="3437"/>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37"/>
      <c r="Q19" s="1572" t="str">
        <f>B19</f>
        <v>公共配套设施</v>
      </c>
      <c r="R19" s="1573" t="s">
        <v>8</v>
      </c>
      <c r="S19" s="1574">
        <f>F19</f>
        <v>100</v>
      </c>
      <c r="T19" s="1573" t="s">
        <v>8</v>
      </c>
      <c r="U19" s="1574">
        <f>H19</f>
        <v>100</v>
      </c>
      <c r="V19" s="1573" t="s">
        <v>8</v>
      </c>
      <c r="W19" s="1574">
        <f>J19</f>
        <v>100</v>
      </c>
      <c r="X19" s="1567"/>
      <c r="Y19" s="3437"/>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37"/>
      <c r="Q20" s="1572"/>
      <c r="R20" s="1573"/>
      <c r="S20" s="1574"/>
      <c r="T20" s="1573"/>
      <c r="U20" s="1574"/>
      <c r="V20" s="1573"/>
      <c r="W20" s="1574"/>
      <c r="X20" s="1567"/>
      <c r="Y20" s="3437"/>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37"/>
      <c r="Q21" s="2604" t="str">
        <f>B21</f>
        <v>基础设施水平</v>
      </c>
      <c r="R21" s="1573" t="s">
        <v>8</v>
      </c>
      <c r="S21" s="1574">
        <f>F21</f>
        <v>100</v>
      </c>
      <c r="T21" s="1573" t="s">
        <v>8</v>
      </c>
      <c r="U21" s="1574">
        <f>H21</f>
        <v>100</v>
      </c>
      <c r="V21" s="1573" t="s">
        <v>8</v>
      </c>
      <c r="W21" s="1574">
        <f>J21</f>
        <v>100</v>
      </c>
      <c r="X21" s="2606"/>
      <c r="Y21" s="3437"/>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37"/>
      <c r="Q22" s="2604"/>
      <c r="R22" s="1573"/>
      <c r="S22" s="1574"/>
      <c r="T22" s="1573"/>
      <c r="U22" s="1574"/>
      <c r="V22" s="1573"/>
      <c r="W22" s="1574"/>
      <c r="X22" s="2606"/>
      <c r="Y22" s="3437"/>
      <c r="Z22" s="2605"/>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37"/>
      <c r="Q23" s="1572" t="str">
        <f>B23</f>
        <v>自然及人文环境</v>
      </c>
      <c r="R23" s="1573" t="s">
        <v>8</v>
      </c>
      <c r="S23" s="1574">
        <f>F23</f>
        <v>100</v>
      </c>
      <c r="T23" s="1573" t="s">
        <v>8</v>
      </c>
      <c r="U23" s="1574">
        <f>H23</f>
        <v>100</v>
      </c>
      <c r="V23" s="1573" t="s">
        <v>8</v>
      </c>
      <c r="W23" s="1574">
        <f>J23</f>
        <v>100</v>
      </c>
      <c r="X23" s="1567"/>
      <c r="Y23" s="3437"/>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37"/>
      <c r="Q24" s="1572"/>
      <c r="R24" s="1573"/>
      <c r="S24" s="1574"/>
      <c r="T24" s="1573"/>
      <c r="U24" s="1574"/>
      <c r="V24" s="1573"/>
      <c r="W24" s="1574"/>
      <c r="X24" s="1567"/>
      <c r="Y24" s="3437"/>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7"/>
      <c r="Q25" s="1572" t="str">
        <f t="shared" ref="Q25:Q46" si="11">B25</f>
        <v>临街状况</v>
      </c>
      <c r="R25" s="1573" t="s">
        <v>8</v>
      </c>
      <c r="S25" s="1574">
        <f>F25</f>
        <v>100</v>
      </c>
      <c r="T25" s="1573" t="s">
        <v>8</v>
      </c>
      <c r="U25" s="1574">
        <f>H25</f>
        <v>100</v>
      </c>
      <c r="V25" s="1573" t="s">
        <v>8</v>
      </c>
      <c r="W25" s="1574">
        <f>J25</f>
        <v>100</v>
      </c>
      <c r="X25" s="1567"/>
      <c r="Y25" s="3437"/>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7"/>
      <c r="Q26" s="1572" t="str">
        <f t="shared" si="11"/>
        <v>平面位置/可视性</v>
      </c>
      <c r="R26" s="1573" t="s">
        <v>8</v>
      </c>
      <c r="S26" s="1574">
        <f>F26</f>
        <v>100</v>
      </c>
      <c r="T26" s="1573" t="s">
        <v>8</v>
      </c>
      <c r="U26" s="1574">
        <f>H26</f>
        <v>100</v>
      </c>
      <c r="V26" s="1573" t="s">
        <v>8</v>
      </c>
      <c r="W26" s="1574">
        <f>J26</f>
        <v>100</v>
      </c>
      <c r="X26" s="1567"/>
      <c r="Y26" s="3437"/>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37"/>
      <c r="Q27" s="1151" t="str">
        <f t="shared" si="11"/>
        <v>人流量</v>
      </c>
      <c r="R27" s="1568" t="s">
        <v>8</v>
      </c>
      <c r="S27" s="1569">
        <f>F27</f>
        <v>100</v>
      </c>
      <c r="T27" s="1568" t="s">
        <v>8</v>
      </c>
      <c r="U27" s="1569">
        <f>H27</f>
        <v>100</v>
      </c>
      <c r="V27" s="1568" t="s">
        <v>8</v>
      </c>
      <c r="W27" s="1569">
        <f>J27</f>
        <v>100</v>
      </c>
      <c r="X27" s="1570"/>
      <c r="Y27" s="3437"/>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7"/>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7"/>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7"/>
      <c r="Q29" s="1572">
        <f t="shared" si="11"/>
        <v>111</v>
      </c>
      <c r="R29" s="1573" t="s">
        <v>8</v>
      </c>
      <c r="S29" s="1574">
        <f t="shared" si="12"/>
        <v>100</v>
      </c>
      <c r="T29" s="1573" t="s">
        <v>8</v>
      </c>
      <c r="U29" s="1574">
        <f t="shared" si="13"/>
        <v>100</v>
      </c>
      <c r="V29" s="1573" t="s">
        <v>8</v>
      </c>
      <c r="W29" s="1574">
        <f t="shared" si="14"/>
        <v>100</v>
      </c>
      <c r="X29" s="1567"/>
      <c r="Y29" s="3437"/>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7"/>
      <c r="Q30" s="1572">
        <f t="shared" si="11"/>
        <v>111</v>
      </c>
      <c r="R30" s="1573" t="s">
        <v>8</v>
      </c>
      <c r="S30" s="1574">
        <f t="shared" si="12"/>
        <v>100</v>
      </c>
      <c r="T30" s="1573" t="s">
        <v>8</v>
      </c>
      <c r="U30" s="1574">
        <f t="shared" si="13"/>
        <v>100</v>
      </c>
      <c r="V30" s="1573" t="s">
        <v>8</v>
      </c>
      <c r="W30" s="1574">
        <f t="shared" si="14"/>
        <v>100</v>
      </c>
      <c r="X30" s="1567"/>
      <c r="Y30" s="3437"/>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7"/>
      <c r="Q31" s="1572">
        <f t="shared" si="11"/>
        <v>111</v>
      </c>
      <c r="R31" s="1573" t="s">
        <v>8</v>
      </c>
      <c r="S31" s="1574">
        <f t="shared" si="12"/>
        <v>100</v>
      </c>
      <c r="T31" s="1573" t="s">
        <v>8</v>
      </c>
      <c r="U31" s="1574">
        <f t="shared" si="13"/>
        <v>100</v>
      </c>
      <c r="V31" s="1573" t="s">
        <v>8</v>
      </c>
      <c r="W31" s="1574">
        <f t="shared" si="14"/>
        <v>100</v>
      </c>
      <c r="X31" s="1567"/>
      <c r="Y31" s="3437"/>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8" t="s">
        <v>549</v>
      </c>
      <c r="Q32" s="1572" t="str">
        <f t="shared" si="11"/>
        <v>商业类型</v>
      </c>
      <c r="R32" s="1573" t="s">
        <v>8</v>
      </c>
      <c r="S32" s="1574">
        <f t="shared" si="12"/>
        <v>100</v>
      </c>
      <c r="T32" s="1573" t="s">
        <v>8</v>
      </c>
      <c r="U32" s="1574">
        <f t="shared" si="13"/>
        <v>100</v>
      </c>
      <c r="V32" s="1573" t="s">
        <v>8</v>
      </c>
      <c r="W32" s="1574">
        <f t="shared" si="14"/>
        <v>100</v>
      </c>
      <c r="X32" s="1567"/>
      <c r="Y32" s="3439"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9"/>
      <c r="Q33" s="1605" t="str">
        <f t="shared" si="11"/>
        <v>项目建筑规模</v>
      </c>
      <c r="R33" s="1577" t="s">
        <v>8</v>
      </c>
      <c r="S33" s="1578" t="e">
        <f t="shared" si="12"/>
        <v>#N/A</v>
      </c>
      <c r="T33" s="1577" t="s">
        <v>8</v>
      </c>
      <c r="U33" s="1578" t="e">
        <f t="shared" si="13"/>
        <v>#N/A</v>
      </c>
      <c r="V33" s="1577" t="s">
        <v>8</v>
      </c>
      <c r="W33" s="1578" t="e">
        <f t="shared" si="14"/>
        <v>#N/A</v>
      </c>
      <c r="X33" s="1579"/>
      <c r="Y33" s="3439"/>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9"/>
      <c r="Q34" s="1572" t="str">
        <f t="shared" si="11"/>
        <v>建筑结构</v>
      </c>
      <c r="R34" s="1573" t="s">
        <v>8</v>
      </c>
      <c r="S34" s="1574">
        <f t="shared" si="12"/>
        <v>100</v>
      </c>
      <c r="T34" s="1573" t="s">
        <v>8</v>
      </c>
      <c r="U34" s="1574">
        <f t="shared" si="13"/>
        <v>100</v>
      </c>
      <c r="V34" s="1573" t="s">
        <v>8</v>
      </c>
      <c r="W34" s="1574">
        <f t="shared" si="14"/>
        <v>100</v>
      </c>
      <c r="X34" s="1567"/>
      <c r="Y34" s="3439"/>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9"/>
      <c r="Q35" s="1572" t="str">
        <f t="shared" si="11"/>
        <v>公共部分装修</v>
      </c>
      <c r="R35" s="1573" t="s">
        <v>8</v>
      </c>
      <c r="S35" s="1574">
        <f t="shared" si="12"/>
        <v>100</v>
      </c>
      <c r="T35" s="1573" t="s">
        <v>8</v>
      </c>
      <c r="U35" s="1574">
        <f t="shared" si="13"/>
        <v>100</v>
      </c>
      <c r="V35" s="1573" t="s">
        <v>8</v>
      </c>
      <c r="W35" s="1574">
        <f t="shared" si="14"/>
        <v>100</v>
      </c>
      <c r="X35" s="1567"/>
      <c r="Y35" s="3439"/>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9"/>
      <c r="Q36" s="1572" t="str">
        <f t="shared" si="11"/>
        <v>成新度</v>
      </c>
      <c r="R36" s="1573" t="s">
        <v>8</v>
      </c>
      <c r="S36" s="1574" t="e">
        <f t="shared" si="12"/>
        <v>#N/A</v>
      </c>
      <c r="T36" s="1573" t="s">
        <v>8</v>
      </c>
      <c r="U36" s="1574" t="e">
        <f t="shared" si="13"/>
        <v>#N/A</v>
      </c>
      <c r="V36" s="1573" t="s">
        <v>8</v>
      </c>
      <c r="W36" s="1574" t="e">
        <f t="shared" si="14"/>
        <v>#N/A</v>
      </c>
      <c r="X36" s="1567"/>
      <c r="Y36" s="3439"/>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9"/>
      <c r="Q37" s="1151" t="str">
        <f t="shared" si="11"/>
        <v>市政基础设施</v>
      </c>
      <c r="R37" s="1568" t="s">
        <v>8</v>
      </c>
      <c r="S37" s="1569">
        <f t="shared" si="12"/>
        <v>100</v>
      </c>
      <c r="T37" s="1568" t="s">
        <v>8</v>
      </c>
      <c r="U37" s="1569">
        <f t="shared" si="13"/>
        <v>100</v>
      </c>
      <c r="V37" s="1568" t="s">
        <v>8</v>
      </c>
      <c r="W37" s="1569">
        <f t="shared" si="14"/>
        <v>100</v>
      </c>
      <c r="X37" s="1570"/>
      <c r="Y37" s="3439"/>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9" t="s">
        <v>765</v>
      </c>
      <c r="Q38" s="1572" t="str">
        <f t="shared" si="11"/>
        <v>业态</v>
      </c>
      <c r="R38" s="1573" t="s">
        <v>8</v>
      </c>
      <c r="S38" s="1574">
        <f t="shared" si="12"/>
        <v>100</v>
      </c>
      <c r="T38" s="1573" t="s">
        <v>8</v>
      </c>
      <c r="U38" s="1574">
        <f t="shared" si="13"/>
        <v>100</v>
      </c>
      <c r="V38" s="1573" t="s">
        <v>8</v>
      </c>
      <c r="W38" s="1574">
        <f t="shared" si="14"/>
        <v>100</v>
      </c>
      <c r="X38" s="1567"/>
      <c r="Y38" s="3439"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9"/>
      <c r="Q39" s="1572" t="str">
        <f t="shared" si="11"/>
        <v>层高</v>
      </c>
      <c r="R39" s="1573" t="s">
        <v>8</v>
      </c>
      <c r="S39" s="1574">
        <f t="shared" si="12"/>
        <v>100</v>
      </c>
      <c r="T39" s="1573" t="s">
        <v>8</v>
      </c>
      <c r="U39" s="1574">
        <f t="shared" si="13"/>
        <v>100</v>
      </c>
      <c r="V39" s="1573" t="s">
        <v>8</v>
      </c>
      <c r="W39" s="1574">
        <f t="shared" si="14"/>
        <v>100</v>
      </c>
      <c r="X39" s="1567"/>
      <c r="Y39" s="3439"/>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9"/>
      <c r="Q40" s="1572" t="str">
        <f t="shared" si="11"/>
        <v>单套建筑面积</v>
      </c>
      <c r="R40" s="1573" t="s">
        <v>8</v>
      </c>
      <c r="S40" s="1574">
        <f t="shared" si="12"/>
        <v>100</v>
      </c>
      <c r="T40" s="1573" t="s">
        <v>8</v>
      </c>
      <c r="U40" s="1574">
        <f t="shared" si="13"/>
        <v>100</v>
      </c>
      <c r="V40" s="1573" t="s">
        <v>8</v>
      </c>
      <c r="W40" s="1574">
        <f t="shared" si="14"/>
        <v>100</v>
      </c>
      <c r="X40" s="1567"/>
      <c r="Y40" s="3439"/>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9"/>
      <c r="Q41" s="1605" t="str">
        <f t="shared" si="11"/>
        <v>进深比</v>
      </c>
      <c r="R41" s="1577" t="s">
        <v>8</v>
      </c>
      <c r="S41" s="1578">
        <f t="shared" si="12"/>
        <v>100</v>
      </c>
      <c r="T41" s="1577" t="s">
        <v>8</v>
      </c>
      <c r="U41" s="1578">
        <f t="shared" si="13"/>
        <v>100</v>
      </c>
      <c r="V41" s="1577" t="s">
        <v>8</v>
      </c>
      <c r="W41" s="1578">
        <f t="shared" si="14"/>
        <v>100</v>
      </c>
      <c r="X41" s="1579"/>
      <c r="Y41" s="3439"/>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9"/>
      <c r="Q42" s="1572" t="str">
        <f t="shared" si="11"/>
        <v>内部装修</v>
      </c>
      <c r="R42" s="1573" t="s">
        <v>8</v>
      </c>
      <c r="S42" s="1574">
        <f t="shared" si="12"/>
        <v>100</v>
      </c>
      <c r="T42" s="1573" t="s">
        <v>8</v>
      </c>
      <c r="U42" s="1574">
        <f t="shared" si="13"/>
        <v>100</v>
      </c>
      <c r="V42" s="1573" t="s">
        <v>8</v>
      </c>
      <c r="W42" s="1574">
        <f t="shared" si="14"/>
        <v>100</v>
      </c>
      <c r="X42" s="1567"/>
      <c r="Y42" s="3439"/>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9"/>
      <c r="Q43" s="1572" t="str">
        <f t="shared" si="11"/>
        <v>内部装修维护情况</v>
      </c>
      <c r="R43" s="1573" t="s">
        <v>8</v>
      </c>
      <c r="S43" s="1574">
        <f t="shared" si="12"/>
        <v>100</v>
      </c>
      <c r="T43" s="1573" t="s">
        <v>8</v>
      </c>
      <c r="U43" s="1574">
        <f t="shared" si="13"/>
        <v>100</v>
      </c>
      <c r="V43" s="1573" t="s">
        <v>8</v>
      </c>
      <c r="W43" s="1574">
        <f t="shared" si="14"/>
        <v>100</v>
      </c>
      <c r="X43" s="1567"/>
      <c r="Y43" s="3439"/>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9"/>
      <c r="Q44" s="1151">
        <f t="shared" si="11"/>
        <v>111</v>
      </c>
      <c r="R44" s="1568" t="s">
        <v>8</v>
      </c>
      <c r="S44" s="1569">
        <f t="shared" si="12"/>
        <v>100</v>
      </c>
      <c r="T44" s="1568" t="s">
        <v>8</v>
      </c>
      <c r="U44" s="1569">
        <f t="shared" si="13"/>
        <v>100</v>
      </c>
      <c r="V44" s="1568" t="s">
        <v>8</v>
      </c>
      <c r="W44" s="1569">
        <f t="shared" si="14"/>
        <v>100</v>
      </c>
      <c r="X44" s="1570"/>
      <c r="Y44" s="3439"/>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9"/>
      <c r="Q45" s="1572">
        <f t="shared" si="11"/>
        <v>111</v>
      </c>
      <c r="R45" s="1573" t="s">
        <v>8</v>
      </c>
      <c r="S45" s="1574">
        <f t="shared" si="12"/>
        <v>100</v>
      </c>
      <c r="T45" s="1573" t="s">
        <v>8</v>
      </c>
      <c r="U45" s="1574">
        <f t="shared" si="13"/>
        <v>100</v>
      </c>
      <c r="V45" s="1573" t="s">
        <v>8</v>
      </c>
      <c r="W45" s="1574">
        <f t="shared" si="14"/>
        <v>100</v>
      </c>
      <c r="X45" s="1567"/>
      <c r="Y45" s="3439"/>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27"/>
      <c r="Q46" s="1572">
        <f t="shared" si="11"/>
        <v>111</v>
      </c>
      <c r="R46" s="1573" t="s">
        <v>8</v>
      </c>
      <c r="S46" s="1574">
        <f t="shared" si="12"/>
        <v>100</v>
      </c>
      <c r="T46" s="1573" t="s">
        <v>8</v>
      </c>
      <c r="U46" s="1574">
        <f t="shared" si="13"/>
        <v>100</v>
      </c>
      <c r="V46" s="1573" t="s">
        <v>8</v>
      </c>
      <c r="W46" s="1574">
        <f t="shared" si="14"/>
        <v>100</v>
      </c>
      <c r="X46" s="1567"/>
      <c r="Y46" s="3527"/>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434" t="str">
        <f>A47</f>
        <v>成交单价（元/平方米）</v>
      </c>
      <c r="Q47" s="3434"/>
      <c r="R47" s="3526">
        <f>E47</f>
        <v>0</v>
      </c>
      <c r="S47" s="3526"/>
      <c r="T47" s="3526">
        <f>G47</f>
        <v>0</v>
      </c>
      <c r="U47" s="3526"/>
      <c r="V47" s="3526">
        <f>I47</f>
        <v>0</v>
      </c>
      <c r="W47" s="3526"/>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434" t="str">
        <f>A48</f>
        <v>比较价格（元/平方米）</v>
      </c>
      <c r="Q48" s="343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59"/>
      <c r="Y48" s="1559"/>
      <c r="Z48" s="1559"/>
      <c r="AA48" s="1559"/>
      <c r="AB48" s="1559"/>
      <c r="AC48" s="1559"/>
    </row>
    <row r="49" spans="1:29" ht="15.75" thickBot="1">
      <c r="A49" s="621" t="s">
        <v>2938</v>
      </c>
      <c r="B49" s="622"/>
      <c r="C49" s="2661" t="e">
        <f>R49</f>
        <v>#DIV/0!</v>
      </c>
      <c r="D49" s="2661"/>
      <c r="E49" s="2661"/>
      <c r="F49" s="2661"/>
      <c r="G49" s="2661"/>
      <c r="H49" s="2661"/>
      <c r="I49" s="2661"/>
      <c r="J49" s="2661"/>
      <c r="K49" s="1613"/>
      <c r="L49" s="2145"/>
      <c r="M49" s="2146"/>
      <c r="N49" s="2135"/>
      <c r="O49" s="2146"/>
      <c r="P49" s="3455" t="str">
        <f>A49</f>
        <v>估价对象XX用房的比较价格（楼面单价，元/平方米）</v>
      </c>
      <c r="Q49" s="3456"/>
      <c r="R49" s="3525" t="e">
        <f>IF(F1="售价",ROUND(AVERAGE(R48:V48),0),ROUND(AVERAGE(R48:V48),1))</f>
        <v>#DIV/0!</v>
      </c>
      <c r="S49" s="3525"/>
      <c r="T49" s="3525"/>
      <c r="U49" s="3525"/>
      <c r="V49" s="3525"/>
      <c r="W49" s="352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182153.37平方米。根据《建设工程规划许可证》[]、《出让合同》[]，估价对象规划建筑面积为60473.5平方米。</v>
      </c>
    </row>
    <row r="7" spans="1:4" ht="93.75">
      <c r="A7" s="2898" t="s">
        <v>2751</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2018年5月2日（评估专业人员勘察现场之日）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440" t="s">
        <v>521</v>
      </c>
      <c r="D4" s="3441"/>
      <c r="E4" s="3466" t="s">
        <v>522</v>
      </c>
      <c r="F4" s="3467"/>
      <c r="G4" s="3440" t="s">
        <v>523</v>
      </c>
      <c r="H4" s="3441"/>
      <c r="I4" s="3440" t="s">
        <v>524</v>
      </c>
      <c r="J4" s="3441"/>
      <c r="K4" s="514" t="s">
        <v>525</v>
      </c>
      <c r="L4" s="2134"/>
      <c r="M4" s="2135"/>
      <c r="N4" s="2135"/>
      <c r="O4" s="2135"/>
      <c r="P4" s="3528" t="s">
        <v>526</v>
      </c>
      <c r="Q4" s="3443"/>
      <c r="R4" s="3428" t="s">
        <v>522</v>
      </c>
      <c r="S4" s="3429"/>
      <c r="T4" s="3428" t="s">
        <v>523</v>
      </c>
      <c r="U4" s="3429"/>
      <c r="V4" s="3448" t="s">
        <v>524</v>
      </c>
      <c r="W4" s="3448"/>
      <c r="X4" s="1567"/>
      <c r="Y4" s="3428" t="s">
        <v>526</v>
      </c>
      <c r="Z4" s="3429"/>
      <c r="AA4" s="3423" t="s">
        <v>522</v>
      </c>
      <c r="AB4" s="3423" t="s">
        <v>523</v>
      </c>
      <c r="AC4" s="3423" t="s">
        <v>524</v>
      </c>
    </row>
    <row r="5" spans="1:29" ht="15">
      <c r="A5" s="515"/>
      <c r="B5" s="516"/>
      <c r="C5" s="3451" t="s">
        <v>2932</v>
      </c>
      <c r="D5" s="3452"/>
      <c r="E5" s="3468" t="s">
        <v>2933</v>
      </c>
      <c r="F5" s="3469"/>
      <c r="G5" s="3451" t="s">
        <v>2934</v>
      </c>
      <c r="H5" s="3452"/>
      <c r="I5" s="3451" t="s">
        <v>2935</v>
      </c>
      <c r="J5" s="3452"/>
      <c r="K5" s="514"/>
      <c r="L5" s="2134"/>
      <c r="M5" s="2135"/>
      <c r="N5" s="2135"/>
      <c r="O5" s="2135"/>
      <c r="P5" s="3529"/>
      <c r="Q5" s="3445"/>
      <c r="R5" s="3430"/>
      <c r="S5" s="3431"/>
      <c r="T5" s="3430"/>
      <c r="U5" s="3431"/>
      <c r="V5" s="3448"/>
      <c r="W5" s="3448"/>
      <c r="X5" s="1567"/>
      <c r="Y5" s="3430"/>
      <c r="Z5" s="3431"/>
      <c r="AA5" s="3424"/>
      <c r="AB5" s="3424"/>
      <c r="AC5" s="3424"/>
    </row>
    <row r="6" spans="1:29" ht="15.75" thickBot="1">
      <c r="A6" s="517"/>
      <c r="B6" s="518"/>
      <c r="C6" s="3449" t="s">
        <v>2936</v>
      </c>
      <c r="D6" s="3450"/>
      <c r="E6" s="3470" t="s">
        <v>2936</v>
      </c>
      <c r="F6" s="3471"/>
      <c r="G6" s="3449" t="s">
        <v>2936</v>
      </c>
      <c r="H6" s="3450"/>
      <c r="I6" s="3449" t="s">
        <v>2936</v>
      </c>
      <c r="J6" s="3450"/>
      <c r="K6" s="514" t="s">
        <v>527</v>
      </c>
      <c r="L6" s="2134"/>
      <c r="M6" s="2135"/>
      <c r="N6" s="2135"/>
      <c r="O6" s="2135"/>
      <c r="P6" s="3530"/>
      <c r="Q6" s="3447"/>
      <c r="R6" s="3430"/>
      <c r="S6" s="3431"/>
      <c r="T6" s="3432"/>
      <c r="U6" s="3433"/>
      <c r="V6" s="3448"/>
      <c r="W6" s="3448"/>
      <c r="X6" s="1567"/>
      <c r="Y6" s="3432"/>
      <c r="Z6" s="3433"/>
      <c r="AA6" s="3425"/>
      <c r="AB6" s="3425"/>
      <c r="AC6" s="3425"/>
    </row>
    <row r="7" spans="1:29" s="1220" customFormat="1" ht="15.75" thickBot="1">
      <c r="A7" s="2937"/>
      <c r="B7" s="2944" t="s">
        <v>528</v>
      </c>
      <c r="C7" s="519">
        <f>'数据-取费表'!B2</f>
        <v>43222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5" t="s">
        <v>529</v>
      </c>
      <c r="Q7" s="3435"/>
      <c r="R7" s="1568" t="s">
        <v>8</v>
      </c>
      <c r="S7" s="1569">
        <f t="shared" ref="S7:S15" si="0">F7</f>
        <v>0</v>
      </c>
      <c r="T7" s="1568" t="s">
        <v>8</v>
      </c>
      <c r="U7" s="1569">
        <f t="shared" ref="U7:U15" si="1">H7</f>
        <v>0</v>
      </c>
      <c r="V7" s="1568" t="s">
        <v>8</v>
      </c>
      <c r="W7" s="1569">
        <f t="shared" ref="W7:W15"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5" t="s">
        <v>532</v>
      </c>
      <c r="Q8" s="3427"/>
      <c r="R8" s="1568" t="s">
        <v>8</v>
      </c>
      <c r="S8" s="1569">
        <f t="shared" si="0"/>
        <v>0</v>
      </c>
      <c r="T8" s="1568" t="s">
        <v>8</v>
      </c>
      <c r="U8" s="1569">
        <f t="shared" si="1"/>
        <v>0</v>
      </c>
      <c r="V8" s="1568" t="s">
        <v>8</v>
      </c>
      <c r="W8" s="1569">
        <f t="shared" si="2"/>
        <v>0</v>
      </c>
      <c r="X8" s="1570"/>
      <c r="Y8" s="3426" t="s">
        <v>532</v>
      </c>
      <c r="Z8" s="3427"/>
      <c r="AA8" s="1571" t="e">
        <f t="shared" ref="AA8:AA47" si="3">D8/F8</f>
        <v>#DIV/0!</v>
      </c>
      <c r="AB8" s="1571" t="e">
        <f t="shared" ref="AB8:AB47" si="4">D8/H8</f>
        <v>#DIV/0!</v>
      </c>
      <c r="AC8" s="1571" t="e">
        <f t="shared" ref="AC8:AC47" si="5">D8/J8</f>
        <v>#DIV/0!</v>
      </c>
    </row>
    <row r="9" spans="1:29" s="1220"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34" t="s">
        <v>534</v>
      </c>
      <c r="Q9" s="1151" t="str">
        <f t="shared" ref="Q9:Q15" si="6">B9</f>
        <v>用途</v>
      </c>
      <c r="R9" s="1568" t="s">
        <v>8</v>
      </c>
      <c r="S9" s="1569">
        <f t="shared" si="0"/>
        <v>100</v>
      </c>
      <c r="T9" s="1568" t="s">
        <v>8</v>
      </c>
      <c r="U9" s="1569">
        <f t="shared" si="1"/>
        <v>100</v>
      </c>
      <c r="V9" s="1568" t="s">
        <v>8</v>
      </c>
      <c r="W9" s="1569">
        <f t="shared" si="2"/>
        <v>100</v>
      </c>
      <c r="X9" s="1570"/>
      <c r="Y9" s="339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34"/>
      <c r="Q11" s="1151" t="str">
        <f t="shared" si="6"/>
        <v>容积率</v>
      </c>
      <c r="R11" s="1568" t="s">
        <v>8</v>
      </c>
      <c r="S11" s="1569" t="e">
        <f t="shared" si="0"/>
        <v>#N/A</v>
      </c>
      <c r="T11" s="1568" t="s">
        <v>8</v>
      </c>
      <c r="U11" s="1569" t="e">
        <f t="shared" si="1"/>
        <v>#N/A</v>
      </c>
      <c r="V11" s="1568" t="s">
        <v>8</v>
      </c>
      <c r="W11" s="1569" t="e">
        <f t="shared" si="2"/>
        <v>#N/A</v>
      </c>
      <c r="X11" s="1570"/>
      <c r="Y11" s="339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34"/>
      <c r="Q12" s="1151">
        <f t="shared" si="6"/>
        <v>111</v>
      </c>
      <c r="R12" s="1568" t="s">
        <v>8</v>
      </c>
      <c r="S12" s="1569">
        <f t="shared" si="0"/>
        <v>100</v>
      </c>
      <c r="T12" s="1568" t="s">
        <v>8</v>
      </c>
      <c r="U12" s="1569">
        <f t="shared" si="1"/>
        <v>100</v>
      </c>
      <c r="V12" s="1568" t="s">
        <v>8</v>
      </c>
      <c r="W12" s="1569">
        <f t="shared" si="2"/>
        <v>100</v>
      </c>
      <c r="X12" s="1570"/>
      <c r="Y12" s="3391"/>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34"/>
      <c r="Q13" s="1151">
        <f t="shared" si="6"/>
        <v>111</v>
      </c>
      <c r="R13" s="1568" t="s">
        <v>8</v>
      </c>
      <c r="S13" s="1569">
        <f t="shared" si="0"/>
        <v>100</v>
      </c>
      <c r="T13" s="1568" t="s">
        <v>8</v>
      </c>
      <c r="U13" s="1569">
        <f t="shared" si="1"/>
        <v>100</v>
      </c>
      <c r="V13" s="1568" t="s">
        <v>8</v>
      </c>
      <c r="W13" s="1569">
        <f t="shared" si="2"/>
        <v>100</v>
      </c>
      <c r="X13" s="1570"/>
      <c r="Y13" s="3391"/>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34"/>
      <c r="Q14" s="1151">
        <f t="shared" si="6"/>
        <v>111</v>
      </c>
      <c r="R14" s="1568" t="s">
        <v>8</v>
      </c>
      <c r="S14" s="1569">
        <f t="shared" si="0"/>
        <v>100</v>
      </c>
      <c r="T14" s="1568" t="s">
        <v>8</v>
      </c>
      <c r="U14" s="1569">
        <f t="shared" si="1"/>
        <v>100</v>
      </c>
      <c r="V14" s="1568" t="s">
        <v>8</v>
      </c>
      <c r="W14" s="1569">
        <f t="shared" si="2"/>
        <v>100</v>
      </c>
      <c r="X14" s="1570"/>
      <c r="Y14" s="3391"/>
      <c r="Z14" s="1150">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36" t="s">
        <v>539</v>
      </c>
      <c r="Q15" s="1572" t="str">
        <f t="shared" si="6"/>
        <v>办公集聚程度</v>
      </c>
      <c r="R15" s="1573" t="s">
        <v>8</v>
      </c>
      <c r="S15" s="1574">
        <f t="shared" si="0"/>
        <v>100</v>
      </c>
      <c r="T15" s="1573" t="s">
        <v>8</v>
      </c>
      <c r="U15" s="1574">
        <f t="shared" si="1"/>
        <v>100</v>
      </c>
      <c r="V15" s="1573" t="s">
        <v>8</v>
      </c>
      <c r="W15" s="1574">
        <f t="shared" si="2"/>
        <v>100</v>
      </c>
      <c r="X15" s="1567"/>
      <c r="Y15" s="3436"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37"/>
      <c r="Q16" s="1572"/>
      <c r="R16" s="1573"/>
      <c r="S16" s="1574"/>
      <c r="T16" s="1573"/>
      <c r="U16" s="1574"/>
      <c r="V16" s="1573"/>
      <c r="W16" s="1574"/>
      <c r="X16" s="1567"/>
      <c r="Y16" s="3437"/>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37"/>
      <c r="Q17" s="1572" t="str">
        <f>B17</f>
        <v>交通便捷度</v>
      </c>
      <c r="R17" s="1573" t="s">
        <v>8</v>
      </c>
      <c r="S17" s="1574">
        <f>F17</f>
        <v>100</v>
      </c>
      <c r="T17" s="1573" t="s">
        <v>8</v>
      </c>
      <c r="U17" s="1574">
        <f>H17</f>
        <v>100</v>
      </c>
      <c r="V17" s="1573" t="s">
        <v>8</v>
      </c>
      <c r="W17" s="1574">
        <f>J17</f>
        <v>100</v>
      </c>
      <c r="X17" s="1567"/>
      <c r="Y17" s="3437"/>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37"/>
      <c r="Q18" s="1572"/>
      <c r="R18" s="1573"/>
      <c r="S18" s="1574"/>
      <c r="T18" s="1573"/>
      <c r="U18" s="1574"/>
      <c r="V18" s="1573"/>
      <c r="W18" s="1574"/>
      <c r="X18" s="1567"/>
      <c r="Y18" s="3437"/>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37"/>
      <c r="Q19" s="1572" t="str">
        <f>B19</f>
        <v>公共配套设施</v>
      </c>
      <c r="R19" s="1573" t="s">
        <v>8</v>
      </c>
      <c r="S19" s="1574">
        <f>F19</f>
        <v>100</v>
      </c>
      <c r="T19" s="1573" t="s">
        <v>8</v>
      </c>
      <c r="U19" s="1574">
        <f>H19</f>
        <v>100</v>
      </c>
      <c r="V19" s="1573" t="s">
        <v>8</v>
      </c>
      <c r="W19" s="1574">
        <f>J19</f>
        <v>100</v>
      </c>
      <c r="X19" s="1567"/>
      <c r="Y19" s="3437"/>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37"/>
      <c r="Q20" s="1572"/>
      <c r="R20" s="1573"/>
      <c r="S20" s="1574"/>
      <c r="T20" s="1573"/>
      <c r="U20" s="1574"/>
      <c r="V20" s="1573"/>
      <c r="W20" s="1574"/>
      <c r="X20" s="1567"/>
      <c r="Y20" s="3437"/>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37"/>
      <c r="Q21" s="2604" t="str">
        <f>B21</f>
        <v>基础设施水平</v>
      </c>
      <c r="R21" s="1573" t="s">
        <v>8</v>
      </c>
      <c r="S21" s="1574">
        <f>F21</f>
        <v>100</v>
      </c>
      <c r="T21" s="1573" t="s">
        <v>8</v>
      </c>
      <c r="U21" s="1574">
        <f>H21</f>
        <v>100</v>
      </c>
      <c r="V21" s="1573" t="s">
        <v>8</v>
      </c>
      <c r="W21" s="1574">
        <f>J21</f>
        <v>100</v>
      </c>
      <c r="X21" s="2606"/>
      <c r="Y21" s="3437"/>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37"/>
      <c r="Q22" s="2604"/>
      <c r="R22" s="1573"/>
      <c r="S22" s="1574"/>
      <c r="T22" s="1573"/>
      <c r="U22" s="1574"/>
      <c r="V22" s="1573"/>
      <c r="W22" s="1574"/>
      <c r="X22" s="2606"/>
      <c r="Y22" s="3437"/>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37"/>
      <c r="Q23" s="1572" t="str">
        <f>B23</f>
        <v>环境质量</v>
      </c>
      <c r="R23" s="1573" t="s">
        <v>8</v>
      </c>
      <c r="S23" s="1574">
        <f>F23</f>
        <v>100</v>
      </c>
      <c r="T23" s="1573" t="s">
        <v>8</v>
      </c>
      <c r="U23" s="1574">
        <f>H23</f>
        <v>100</v>
      </c>
      <c r="V23" s="1573" t="s">
        <v>8</v>
      </c>
      <c r="W23" s="1574">
        <f>J23</f>
        <v>100</v>
      </c>
      <c r="X23" s="1567"/>
      <c r="Y23" s="3437"/>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37"/>
      <c r="Q24" s="1572"/>
      <c r="R24" s="1573"/>
      <c r="S24" s="1574"/>
      <c r="T24" s="1573"/>
      <c r="U24" s="1574"/>
      <c r="V24" s="1573"/>
      <c r="W24" s="1574"/>
      <c r="X24" s="1567"/>
      <c r="Y24" s="3437"/>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37"/>
      <c r="Q25" s="1572" t="str">
        <f>B25</f>
        <v>毗邻道路的类型与等级</v>
      </c>
      <c r="R25" s="1573" t="s">
        <v>8</v>
      </c>
      <c r="S25" s="1574">
        <f>F25</f>
        <v>100</v>
      </c>
      <c r="T25" s="1573" t="s">
        <v>8</v>
      </c>
      <c r="U25" s="1574">
        <f>H25</f>
        <v>100</v>
      </c>
      <c r="V25" s="1573" t="s">
        <v>8</v>
      </c>
      <c r="W25" s="1574">
        <f>J25</f>
        <v>100</v>
      </c>
      <c r="X25" s="1567"/>
      <c r="Y25" s="3437"/>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37"/>
      <c r="Q26" s="1572"/>
      <c r="R26" s="1573"/>
      <c r="S26" s="1574"/>
      <c r="T26" s="1573"/>
      <c r="U26" s="1574"/>
      <c r="V26" s="1573"/>
      <c r="W26" s="1574"/>
      <c r="X26" s="1567"/>
      <c r="Y26" s="3437"/>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7"/>
      <c r="Q27" s="1572" t="str">
        <f t="shared" ref="Q27:Q47" si="11">B27</f>
        <v>楼层</v>
      </c>
      <c r="R27" s="1573" t="s">
        <v>8</v>
      </c>
      <c r="S27" s="1574">
        <f>F27</f>
        <v>100</v>
      </c>
      <c r="T27" s="1573" t="s">
        <v>8</v>
      </c>
      <c r="U27" s="1574">
        <f>H27</f>
        <v>100</v>
      </c>
      <c r="V27" s="1573" t="s">
        <v>8</v>
      </c>
      <c r="W27" s="1574">
        <f>J27</f>
        <v>100</v>
      </c>
      <c r="X27" s="1567"/>
      <c r="Y27" s="3437"/>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37"/>
      <c r="Q28" s="1151" t="str">
        <f t="shared" si="11"/>
        <v>朝向</v>
      </c>
      <c r="R28" s="1568" t="s">
        <v>8</v>
      </c>
      <c r="S28" s="1569">
        <f>F28</f>
        <v>100</v>
      </c>
      <c r="T28" s="1568" t="s">
        <v>8</v>
      </c>
      <c r="U28" s="1569">
        <f>H28</f>
        <v>100</v>
      </c>
      <c r="V28" s="1568" t="s">
        <v>8</v>
      </c>
      <c r="W28" s="1569">
        <f>J28</f>
        <v>100</v>
      </c>
      <c r="X28" s="1570"/>
      <c r="Y28" s="3437"/>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37"/>
      <c r="Q29" s="1572">
        <f t="shared" si="11"/>
        <v>111</v>
      </c>
      <c r="R29" s="1573" t="s">
        <v>8</v>
      </c>
      <c r="S29" s="1574">
        <f t="shared" ref="S29:S47" si="12">F29</f>
        <v>100</v>
      </c>
      <c r="T29" s="1573" t="s">
        <v>8</v>
      </c>
      <c r="U29" s="1574">
        <f t="shared" ref="U29:U47" si="13">H29</f>
        <v>100</v>
      </c>
      <c r="V29" s="1573" t="s">
        <v>8</v>
      </c>
      <c r="W29" s="1574">
        <f t="shared" ref="W29:W47" si="14">J29</f>
        <v>100</v>
      </c>
      <c r="X29" s="1567"/>
      <c r="Y29" s="3437"/>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37"/>
      <c r="Q30" s="1572">
        <f t="shared" si="11"/>
        <v>111</v>
      </c>
      <c r="R30" s="1573" t="s">
        <v>8</v>
      </c>
      <c r="S30" s="1574">
        <f t="shared" si="12"/>
        <v>100</v>
      </c>
      <c r="T30" s="1573" t="s">
        <v>8</v>
      </c>
      <c r="U30" s="1574">
        <f t="shared" si="13"/>
        <v>100</v>
      </c>
      <c r="V30" s="1573" t="s">
        <v>8</v>
      </c>
      <c r="W30" s="1574">
        <f t="shared" si="14"/>
        <v>100</v>
      </c>
      <c r="X30" s="1567"/>
      <c r="Y30" s="3437"/>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37"/>
      <c r="Q31" s="1572">
        <f t="shared" si="11"/>
        <v>111</v>
      </c>
      <c r="R31" s="1573" t="s">
        <v>8</v>
      </c>
      <c r="S31" s="1574">
        <f t="shared" si="12"/>
        <v>100</v>
      </c>
      <c r="T31" s="1573" t="s">
        <v>8</v>
      </c>
      <c r="U31" s="1574">
        <f t="shared" si="13"/>
        <v>100</v>
      </c>
      <c r="V31" s="1573" t="s">
        <v>8</v>
      </c>
      <c r="W31" s="1574">
        <f t="shared" si="14"/>
        <v>100</v>
      </c>
      <c r="X31" s="1567"/>
      <c r="Y31" s="3437"/>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37"/>
      <c r="Q32" s="1572">
        <f t="shared" si="11"/>
        <v>111</v>
      </c>
      <c r="R32" s="1573" t="s">
        <v>8</v>
      </c>
      <c r="S32" s="1574">
        <f t="shared" si="12"/>
        <v>100</v>
      </c>
      <c r="T32" s="1573" t="s">
        <v>8</v>
      </c>
      <c r="U32" s="1574">
        <f t="shared" si="13"/>
        <v>100</v>
      </c>
      <c r="V32" s="1573" t="s">
        <v>8</v>
      </c>
      <c r="W32" s="1574">
        <f t="shared" si="14"/>
        <v>100</v>
      </c>
      <c r="X32" s="1567"/>
      <c r="Y32" s="3437"/>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38" t="s">
        <v>549</v>
      </c>
      <c r="Q33" s="1572" t="str">
        <f t="shared" si="11"/>
        <v>建筑类型</v>
      </c>
      <c r="R33" s="1573" t="s">
        <v>8</v>
      </c>
      <c r="S33" s="1574">
        <f t="shared" si="12"/>
        <v>100</v>
      </c>
      <c r="T33" s="1573" t="s">
        <v>8</v>
      </c>
      <c r="U33" s="1574">
        <f t="shared" si="13"/>
        <v>100</v>
      </c>
      <c r="V33" s="1573" t="s">
        <v>8</v>
      </c>
      <c r="W33" s="1574">
        <f t="shared" si="14"/>
        <v>100</v>
      </c>
      <c r="X33" s="1567"/>
      <c r="Y33" s="3439"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9"/>
      <c r="Q34" s="1605" t="str">
        <f t="shared" si="11"/>
        <v>项目建筑规模</v>
      </c>
      <c r="R34" s="1577" t="s">
        <v>8</v>
      </c>
      <c r="S34" s="1578" t="e">
        <f t="shared" si="12"/>
        <v>#N/A</v>
      </c>
      <c r="T34" s="1577" t="s">
        <v>8</v>
      </c>
      <c r="U34" s="1578" t="e">
        <f t="shared" si="13"/>
        <v>#N/A</v>
      </c>
      <c r="V34" s="1577" t="s">
        <v>8</v>
      </c>
      <c r="W34" s="1578" t="e">
        <f t="shared" si="14"/>
        <v>#N/A</v>
      </c>
      <c r="X34" s="1579"/>
      <c r="Y34" s="3439"/>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9"/>
      <c r="Q35" s="1572" t="str">
        <f t="shared" si="11"/>
        <v>建筑结构</v>
      </c>
      <c r="R35" s="1573" t="s">
        <v>8</v>
      </c>
      <c r="S35" s="1574">
        <f t="shared" si="12"/>
        <v>100</v>
      </c>
      <c r="T35" s="1573" t="s">
        <v>8</v>
      </c>
      <c r="U35" s="1574">
        <f t="shared" si="13"/>
        <v>100</v>
      </c>
      <c r="V35" s="1573" t="s">
        <v>8</v>
      </c>
      <c r="W35" s="1574">
        <f t="shared" si="14"/>
        <v>100</v>
      </c>
      <c r="X35" s="1567"/>
      <c r="Y35" s="3439"/>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9"/>
      <c r="Q36" s="1572" t="str">
        <f t="shared" si="11"/>
        <v>公共部分装修</v>
      </c>
      <c r="R36" s="1573" t="s">
        <v>8</v>
      </c>
      <c r="S36" s="1574">
        <f t="shared" si="12"/>
        <v>100</v>
      </c>
      <c r="T36" s="1573" t="s">
        <v>8</v>
      </c>
      <c r="U36" s="1574">
        <f t="shared" si="13"/>
        <v>100</v>
      </c>
      <c r="V36" s="1573" t="s">
        <v>8</v>
      </c>
      <c r="W36" s="1574">
        <f t="shared" si="14"/>
        <v>100</v>
      </c>
      <c r="X36" s="1567"/>
      <c r="Y36" s="3439"/>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9"/>
      <c r="Q37" s="1572" t="str">
        <f t="shared" si="11"/>
        <v>成新度</v>
      </c>
      <c r="R37" s="1573" t="s">
        <v>8</v>
      </c>
      <c r="S37" s="1574" t="e">
        <f t="shared" si="12"/>
        <v>#N/A</v>
      </c>
      <c r="T37" s="1573" t="s">
        <v>8</v>
      </c>
      <c r="U37" s="1574" t="e">
        <f t="shared" si="13"/>
        <v>#N/A</v>
      </c>
      <c r="V37" s="1573" t="s">
        <v>8</v>
      </c>
      <c r="W37" s="1574" t="e">
        <f t="shared" si="14"/>
        <v>#N/A</v>
      </c>
      <c r="X37" s="1567"/>
      <c r="Y37" s="3439"/>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9"/>
      <c r="Q38" s="1151" t="str">
        <f t="shared" si="11"/>
        <v>写字楼等级</v>
      </c>
      <c r="R38" s="1568" t="s">
        <v>8</v>
      </c>
      <c r="S38" s="1569">
        <f t="shared" si="12"/>
        <v>100</v>
      </c>
      <c r="T38" s="1568" t="s">
        <v>8</v>
      </c>
      <c r="U38" s="1569">
        <f t="shared" si="13"/>
        <v>100</v>
      </c>
      <c r="V38" s="1568" t="s">
        <v>8</v>
      </c>
      <c r="W38" s="1569">
        <f t="shared" si="14"/>
        <v>100</v>
      </c>
      <c r="X38" s="1570"/>
      <c r="Y38" s="3439"/>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9" t="s">
        <v>549</v>
      </c>
      <c r="Q39" s="1572" t="str">
        <f t="shared" si="11"/>
        <v>物业管理</v>
      </c>
      <c r="R39" s="1573" t="s">
        <v>8</v>
      </c>
      <c r="S39" s="1574">
        <f t="shared" si="12"/>
        <v>100</v>
      </c>
      <c r="T39" s="1573" t="s">
        <v>8</v>
      </c>
      <c r="U39" s="1574">
        <f t="shared" si="13"/>
        <v>100</v>
      </c>
      <c r="V39" s="1573" t="s">
        <v>8</v>
      </c>
      <c r="W39" s="1574">
        <f t="shared" si="14"/>
        <v>100</v>
      </c>
      <c r="X39" s="1567"/>
      <c r="Y39" s="3439"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9"/>
      <c r="Q40" s="1572" t="str">
        <f t="shared" si="11"/>
        <v>市政基础设施</v>
      </c>
      <c r="R40" s="1573" t="s">
        <v>8</v>
      </c>
      <c r="S40" s="1574">
        <f t="shared" si="12"/>
        <v>100</v>
      </c>
      <c r="T40" s="1573" t="s">
        <v>8</v>
      </c>
      <c r="U40" s="1574">
        <f t="shared" si="13"/>
        <v>100</v>
      </c>
      <c r="V40" s="1573" t="s">
        <v>8</v>
      </c>
      <c r="W40" s="1574">
        <f t="shared" si="14"/>
        <v>100</v>
      </c>
      <c r="X40" s="1567"/>
      <c r="Y40" s="3439"/>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9"/>
      <c r="Q41" s="1572" t="str">
        <f t="shared" si="11"/>
        <v>层高</v>
      </c>
      <c r="R41" s="1573" t="s">
        <v>8</v>
      </c>
      <c r="S41" s="1574">
        <f t="shared" si="12"/>
        <v>100</v>
      </c>
      <c r="T41" s="1573" t="s">
        <v>8</v>
      </c>
      <c r="U41" s="1574">
        <f t="shared" si="13"/>
        <v>100</v>
      </c>
      <c r="V41" s="1573" t="s">
        <v>8</v>
      </c>
      <c r="W41" s="1574">
        <f t="shared" si="14"/>
        <v>100</v>
      </c>
      <c r="X41" s="1567"/>
      <c r="Y41" s="3439"/>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9"/>
      <c r="Q42" s="1605" t="str">
        <f t="shared" si="11"/>
        <v>单套建筑面积</v>
      </c>
      <c r="R42" s="1577" t="s">
        <v>8</v>
      </c>
      <c r="S42" s="1578">
        <f t="shared" si="12"/>
        <v>100</v>
      </c>
      <c r="T42" s="1577" t="s">
        <v>8</v>
      </c>
      <c r="U42" s="1578">
        <f t="shared" si="13"/>
        <v>100</v>
      </c>
      <c r="V42" s="1577" t="s">
        <v>8</v>
      </c>
      <c r="W42" s="1578">
        <f t="shared" si="14"/>
        <v>100</v>
      </c>
      <c r="X42" s="1579"/>
      <c r="Y42" s="3439"/>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9"/>
      <c r="Q43" s="1572" t="str">
        <f t="shared" si="11"/>
        <v>内部装修</v>
      </c>
      <c r="R43" s="1573" t="s">
        <v>8</v>
      </c>
      <c r="S43" s="1574">
        <f t="shared" si="12"/>
        <v>100</v>
      </c>
      <c r="T43" s="1573" t="s">
        <v>8</v>
      </c>
      <c r="U43" s="1574">
        <f t="shared" si="13"/>
        <v>100</v>
      </c>
      <c r="V43" s="1573" t="s">
        <v>8</v>
      </c>
      <c r="W43" s="1574">
        <f t="shared" si="14"/>
        <v>100</v>
      </c>
      <c r="X43" s="1567"/>
      <c r="Y43" s="3439"/>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9"/>
      <c r="Q44" s="1572" t="str">
        <f t="shared" si="11"/>
        <v>内部装修维护情况</v>
      </c>
      <c r="R44" s="1573" t="s">
        <v>8</v>
      </c>
      <c r="S44" s="1574">
        <f t="shared" si="12"/>
        <v>100</v>
      </c>
      <c r="T44" s="1573" t="s">
        <v>8</v>
      </c>
      <c r="U44" s="1574">
        <f t="shared" si="13"/>
        <v>100</v>
      </c>
      <c r="V44" s="1573" t="s">
        <v>8</v>
      </c>
      <c r="W44" s="1574">
        <f t="shared" si="14"/>
        <v>100</v>
      </c>
      <c r="X44" s="1567"/>
      <c r="Y44" s="3439"/>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9"/>
      <c r="Q45" s="1151">
        <f t="shared" si="11"/>
        <v>111</v>
      </c>
      <c r="R45" s="1568" t="s">
        <v>8</v>
      </c>
      <c r="S45" s="1569">
        <f t="shared" si="12"/>
        <v>100</v>
      </c>
      <c r="T45" s="1568" t="s">
        <v>8</v>
      </c>
      <c r="U45" s="1569">
        <f t="shared" si="13"/>
        <v>100</v>
      </c>
      <c r="V45" s="1568" t="s">
        <v>8</v>
      </c>
      <c r="W45" s="1569">
        <f t="shared" si="14"/>
        <v>100</v>
      </c>
      <c r="X45" s="1570"/>
      <c r="Y45" s="3439"/>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9"/>
      <c r="Q46" s="1572">
        <f t="shared" si="11"/>
        <v>111</v>
      </c>
      <c r="R46" s="1573" t="s">
        <v>8</v>
      </c>
      <c r="S46" s="1574">
        <f t="shared" si="12"/>
        <v>100</v>
      </c>
      <c r="T46" s="1573" t="s">
        <v>8</v>
      </c>
      <c r="U46" s="1574">
        <f t="shared" si="13"/>
        <v>100</v>
      </c>
      <c r="V46" s="1573" t="s">
        <v>8</v>
      </c>
      <c r="W46" s="1574">
        <f t="shared" si="14"/>
        <v>100</v>
      </c>
      <c r="X46" s="1567"/>
      <c r="Y46" s="3439"/>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27"/>
      <c r="Q47" s="1572">
        <f t="shared" si="11"/>
        <v>111</v>
      </c>
      <c r="R47" s="1573" t="s">
        <v>8</v>
      </c>
      <c r="S47" s="1574">
        <f t="shared" si="12"/>
        <v>100</v>
      </c>
      <c r="T47" s="1573" t="s">
        <v>8</v>
      </c>
      <c r="U47" s="1574">
        <f t="shared" si="13"/>
        <v>100</v>
      </c>
      <c r="V47" s="1573" t="s">
        <v>8</v>
      </c>
      <c r="W47" s="1574">
        <f t="shared" si="14"/>
        <v>100</v>
      </c>
      <c r="X47" s="1567"/>
      <c r="Y47" s="3527"/>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456" t="str">
        <f>A48</f>
        <v>成交单价（元/平方米）</v>
      </c>
      <c r="Q48" s="3434"/>
      <c r="R48" s="3526">
        <f>E48</f>
        <v>0</v>
      </c>
      <c r="S48" s="3526"/>
      <c r="T48" s="3526">
        <f>G48</f>
        <v>0</v>
      </c>
      <c r="U48" s="3526"/>
      <c r="V48" s="3526">
        <f>I48</f>
        <v>0</v>
      </c>
      <c r="W48" s="3526"/>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456" t="str">
        <f>A49</f>
        <v>比较价格（元/平方米）</v>
      </c>
      <c r="Q49" s="343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59"/>
      <c r="Y49" s="1559"/>
      <c r="Z49" s="1559"/>
      <c r="AA49" s="1559"/>
      <c r="AB49" s="1559"/>
      <c r="AC49" s="1559"/>
    </row>
    <row r="50" spans="1:29" ht="15.75" thickBot="1">
      <c r="A50" s="621" t="s">
        <v>2938</v>
      </c>
      <c r="B50" s="622"/>
      <c r="C50" s="2661" t="e">
        <f>R50</f>
        <v>#DIV/0!</v>
      </c>
      <c r="D50" s="2661"/>
      <c r="E50" s="2661"/>
      <c r="F50" s="2661"/>
      <c r="G50" s="2661"/>
      <c r="H50" s="2661"/>
      <c r="I50" s="2661"/>
      <c r="J50" s="2661"/>
      <c r="K50" s="1613"/>
      <c r="L50" s="2145"/>
      <c r="M50" s="2135"/>
      <c r="N50" s="2135"/>
      <c r="O50" s="2135"/>
      <c r="P50" s="3531" t="str">
        <f>A50</f>
        <v>估价对象XX用房的比较价格（楼面单价，元/平方米）</v>
      </c>
      <c r="Q50" s="3456"/>
      <c r="R50" s="3525" t="e">
        <f>IF(F1="售价",ROUND(AVERAGE(R49:V49),0),ROUND(AVERAGE(R49:V49),1))</f>
        <v>#DIV/0!</v>
      </c>
      <c r="S50" s="3525"/>
      <c r="T50" s="3525"/>
      <c r="U50" s="3525"/>
      <c r="V50" s="3525"/>
      <c r="W50" s="352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440" t="s">
        <v>521</v>
      </c>
      <c r="D4" s="3441"/>
      <c r="E4" s="3466" t="s">
        <v>522</v>
      </c>
      <c r="F4" s="3467"/>
      <c r="G4" s="3440" t="s">
        <v>523</v>
      </c>
      <c r="H4" s="3441"/>
      <c r="I4" s="3440" t="s">
        <v>524</v>
      </c>
      <c r="J4" s="3441"/>
      <c r="K4" s="514" t="s">
        <v>525</v>
      </c>
      <c r="L4" s="2134"/>
      <c r="M4" s="2135"/>
      <c r="N4" s="2135"/>
      <c r="O4" s="2135"/>
      <c r="P4" s="3442" t="s">
        <v>526</v>
      </c>
      <c r="Q4" s="3443"/>
      <c r="R4" s="3428" t="s">
        <v>522</v>
      </c>
      <c r="S4" s="3429"/>
      <c r="T4" s="3428" t="s">
        <v>523</v>
      </c>
      <c r="U4" s="3429"/>
      <c r="V4" s="3448" t="s">
        <v>524</v>
      </c>
      <c r="W4" s="3448"/>
      <c r="X4" s="1567"/>
      <c r="Y4" s="3428" t="s">
        <v>526</v>
      </c>
      <c r="Z4" s="3429"/>
      <c r="AA4" s="3423" t="s">
        <v>522</v>
      </c>
      <c r="AB4" s="3424" t="s">
        <v>523</v>
      </c>
      <c r="AC4" s="3423" t="s">
        <v>524</v>
      </c>
    </row>
    <row r="5" spans="1:29" ht="15">
      <c r="A5" s="515"/>
      <c r="B5" s="516"/>
      <c r="C5" s="3451" t="s">
        <v>2932</v>
      </c>
      <c r="D5" s="3452"/>
      <c r="E5" s="3468" t="s">
        <v>2933</v>
      </c>
      <c r="F5" s="3469"/>
      <c r="G5" s="3451" t="s">
        <v>2934</v>
      </c>
      <c r="H5" s="3452"/>
      <c r="I5" s="3451" t="s">
        <v>2935</v>
      </c>
      <c r="J5" s="3452"/>
      <c r="K5" s="514"/>
      <c r="L5" s="2134"/>
      <c r="M5" s="2135"/>
      <c r="N5" s="2135"/>
      <c r="O5" s="2135"/>
      <c r="P5" s="3444"/>
      <c r="Q5" s="3445"/>
      <c r="R5" s="3430"/>
      <c r="S5" s="3431"/>
      <c r="T5" s="3430"/>
      <c r="U5" s="3431"/>
      <c r="V5" s="3448"/>
      <c r="W5" s="3448"/>
      <c r="X5" s="1567"/>
      <c r="Y5" s="3430"/>
      <c r="Z5" s="3431"/>
      <c r="AA5" s="3424"/>
      <c r="AB5" s="3424"/>
      <c r="AC5" s="3424"/>
    </row>
    <row r="6" spans="1:29" ht="15.75" thickBot="1">
      <c r="A6" s="517"/>
      <c r="B6" s="518"/>
      <c r="C6" s="3449" t="s">
        <v>2936</v>
      </c>
      <c r="D6" s="3450"/>
      <c r="E6" s="3470" t="s">
        <v>2936</v>
      </c>
      <c r="F6" s="3471"/>
      <c r="G6" s="3449" t="s">
        <v>2936</v>
      </c>
      <c r="H6" s="3450"/>
      <c r="I6" s="3449" t="s">
        <v>2936</v>
      </c>
      <c r="J6" s="3450"/>
      <c r="K6" s="514" t="s">
        <v>527</v>
      </c>
      <c r="L6" s="2134"/>
      <c r="M6" s="2135"/>
      <c r="N6" s="2135"/>
      <c r="O6" s="2135"/>
      <c r="P6" s="3446"/>
      <c r="Q6" s="3447"/>
      <c r="R6" s="3430"/>
      <c r="S6" s="3431"/>
      <c r="T6" s="3432"/>
      <c r="U6" s="3433"/>
      <c r="V6" s="3448"/>
      <c r="W6" s="3448"/>
      <c r="X6" s="1567"/>
      <c r="Y6" s="3432"/>
      <c r="Z6" s="3433"/>
      <c r="AA6" s="3425"/>
      <c r="AB6" s="3425"/>
      <c r="AC6" s="3425"/>
    </row>
    <row r="7" spans="1:29" s="1220" customFormat="1" ht="15.75" thickBot="1">
      <c r="A7" s="2937"/>
      <c r="B7" s="2944" t="s">
        <v>528</v>
      </c>
      <c r="C7" s="519">
        <f>'数据-取费表'!B2</f>
        <v>43222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6" t="s">
        <v>529</v>
      </c>
      <c r="Q7" s="3435"/>
      <c r="R7" s="1568" t="s">
        <v>8</v>
      </c>
      <c r="S7" s="1569">
        <f t="shared" ref="S7:S15" si="0">F7</f>
        <v>0</v>
      </c>
      <c r="T7" s="1568" t="s">
        <v>8</v>
      </c>
      <c r="U7" s="1569">
        <f t="shared" ref="U7:U15" si="1">H7</f>
        <v>0</v>
      </c>
      <c r="V7" s="1568" t="s">
        <v>8</v>
      </c>
      <c r="W7" s="1569">
        <f t="shared" ref="W7:W15"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6" t="s">
        <v>532</v>
      </c>
      <c r="Q8" s="3427"/>
      <c r="R8" s="1568" t="s">
        <v>8</v>
      </c>
      <c r="S8" s="1569">
        <f t="shared" si="0"/>
        <v>0</v>
      </c>
      <c r="T8" s="1568" t="s">
        <v>8</v>
      </c>
      <c r="U8" s="1569">
        <f t="shared" si="1"/>
        <v>0</v>
      </c>
      <c r="V8" s="1568" t="s">
        <v>8</v>
      </c>
      <c r="W8" s="1569">
        <f t="shared" si="2"/>
        <v>0</v>
      </c>
      <c r="X8" s="1570"/>
      <c r="Y8" s="3426" t="s">
        <v>532</v>
      </c>
      <c r="Z8" s="3427"/>
      <c r="AA8" s="1571" t="e">
        <f t="shared" ref="AA8:AA40" si="3">D8/F8</f>
        <v>#DIV/0!</v>
      </c>
      <c r="AB8" s="1571" t="e">
        <f t="shared" ref="AB8:AB40" si="4">D8/H8</f>
        <v>#DIV/0!</v>
      </c>
      <c r="AC8" s="1571" t="e">
        <f t="shared" ref="AC8:AC40" si="5">D8/J8</f>
        <v>#DIV/0!</v>
      </c>
    </row>
    <row r="9" spans="1:29" s="1220"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34" t="s">
        <v>534</v>
      </c>
      <c r="Q9" s="1151" t="str">
        <f t="shared" ref="Q9:Q15" si="6">B9</f>
        <v>用途</v>
      </c>
      <c r="R9" s="1568" t="s">
        <v>8</v>
      </c>
      <c r="S9" s="1569">
        <f t="shared" si="0"/>
        <v>100</v>
      </c>
      <c r="T9" s="1568" t="s">
        <v>8</v>
      </c>
      <c r="U9" s="1569">
        <f t="shared" si="1"/>
        <v>100</v>
      </c>
      <c r="V9" s="1568" t="s">
        <v>8</v>
      </c>
      <c r="W9" s="1569">
        <f t="shared" si="2"/>
        <v>100</v>
      </c>
      <c r="X9" s="1570"/>
      <c r="Y9" s="3391"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34"/>
      <c r="Q11" s="1151" t="str">
        <f t="shared" si="6"/>
        <v>容积率</v>
      </c>
      <c r="R11" s="1568" t="s">
        <v>8</v>
      </c>
      <c r="S11" s="1569" t="e">
        <f t="shared" si="0"/>
        <v>#N/A</v>
      </c>
      <c r="T11" s="1568" t="s">
        <v>8</v>
      </c>
      <c r="U11" s="1569" t="e">
        <f t="shared" si="1"/>
        <v>#N/A</v>
      </c>
      <c r="V11" s="1568" t="s">
        <v>8</v>
      </c>
      <c r="W11" s="1569" t="e">
        <f t="shared" si="2"/>
        <v>#N/A</v>
      </c>
      <c r="X11" s="1570"/>
      <c r="Y11" s="3391"/>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34"/>
      <c r="Q12" s="1151">
        <f t="shared" si="6"/>
        <v>111</v>
      </c>
      <c r="R12" s="1568" t="s">
        <v>8</v>
      </c>
      <c r="S12" s="1569">
        <f t="shared" si="0"/>
        <v>100</v>
      </c>
      <c r="T12" s="1568" t="s">
        <v>8</v>
      </c>
      <c r="U12" s="1569">
        <f t="shared" si="1"/>
        <v>100</v>
      </c>
      <c r="V12" s="1568" t="s">
        <v>8</v>
      </c>
      <c r="W12" s="1569">
        <f t="shared" si="2"/>
        <v>100</v>
      </c>
      <c r="X12" s="1570"/>
      <c r="Y12" s="3391"/>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34"/>
      <c r="Q13" s="1151">
        <f t="shared" si="6"/>
        <v>111</v>
      </c>
      <c r="R13" s="1568" t="s">
        <v>8</v>
      </c>
      <c r="S13" s="1569">
        <f t="shared" si="0"/>
        <v>100</v>
      </c>
      <c r="T13" s="1568" t="s">
        <v>8</v>
      </c>
      <c r="U13" s="1569">
        <f t="shared" si="1"/>
        <v>100</v>
      </c>
      <c r="V13" s="1568" t="s">
        <v>8</v>
      </c>
      <c r="W13" s="1569">
        <f t="shared" si="2"/>
        <v>100</v>
      </c>
      <c r="X13" s="1570"/>
      <c r="Y13" s="3391"/>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34"/>
      <c r="Q14" s="1151">
        <f t="shared" si="6"/>
        <v>111</v>
      </c>
      <c r="R14" s="1568" t="s">
        <v>8</v>
      </c>
      <c r="S14" s="1569">
        <f t="shared" si="0"/>
        <v>100</v>
      </c>
      <c r="T14" s="1568" t="s">
        <v>8</v>
      </c>
      <c r="U14" s="1569">
        <f t="shared" si="1"/>
        <v>100</v>
      </c>
      <c r="V14" s="1568" t="s">
        <v>8</v>
      </c>
      <c r="W14" s="1569">
        <f t="shared" si="2"/>
        <v>100</v>
      </c>
      <c r="X14" s="1570"/>
      <c r="Y14" s="3391"/>
      <c r="Z14" s="1150">
        <f t="shared" si="7"/>
        <v>111</v>
      </c>
      <c r="AA14" s="1571">
        <f t="shared" si="3"/>
        <v>1</v>
      </c>
      <c r="AB14" s="1571">
        <f t="shared" si="4"/>
        <v>1</v>
      </c>
      <c r="AC14" s="1571">
        <f t="shared" si="5"/>
        <v>1</v>
      </c>
    </row>
    <row r="15" spans="1:29" ht="57">
      <c r="A15" s="2935" t="s">
        <v>2757</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36" t="s">
        <v>539</v>
      </c>
      <c r="Q15" s="1572" t="str">
        <f t="shared" si="6"/>
        <v>产业集聚程度</v>
      </c>
      <c r="R15" s="1573" t="s">
        <v>8</v>
      </c>
      <c r="S15" s="1574">
        <f t="shared" si="0"/>
        <v>100</v>
      </c>
      <c r="T15" s="1573" t="s">
        <v>8</v>
      </c>
      <c r="U15" s="1574">
        <f t="shared" si="1"/>
        <v>100</v>
      </c>
      <c r="V15" s="1573" t="s">
        <v>8</v>
      </c>
      <c r="W15" s="1574">
        <f t="shared" si="2"/>
        <v>100</v>
      </c>
      <c r="X15" s="1567"/>
      <c r="Y15" s="3436"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37"/>
      <c r="Q16" s="1572"/>
      <c r="R16" s="1573"/>
      <c r="S16" s="1574"/>
      <c r="T16" s="1573"/>
      <c r="U16" s="1574"/>
      <c r="V16" s="1573"/>
      <c r="W16" s="1574"/>
      <c r="X16" s="1567"/>
      <c r="Y16" s="3437"/>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37"/>
      <c r="Q17" s="1572" t="str">
        <f>B17</f>
        <v>交通便捷度</v>
      </c>
      <c r="R17" s="1573" t="s">
        <v>8</v>
      </c>
      <c r="S17" s="1574">
        <f>F17</f>
        <v>100</v>
      </c>
      <c r="T17" s="1573" t="s">
        <v>8</v>
      </c>
      <c r="U17" s="1574">
        <f>H17</f>
        <v>100</v>
      </c>
      <c r="V17" s="1573" t="s">
        <v>8</v>
      </c>
      <c r="W17" s="1574">
        <f>J17</f>
        <v>100</v>
      </c>
      <c r="X17" s="1567"/>
      <c r="Y17" s="3437"/>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37"/>
      <c r="Q18" s="1572"/>
      <c r="R18" s="1573"/>
      <c r="S18" s="1574"/>
      <c r="T18" s="1573"/>
      <c r="U18" s="1574"/>
      <c r="V18" s="1573"/>
      <c r="W18" s="1574"/>
      <c r="X18" s="1567"/>
      <c r="Y18" s="3437"/>
      <c r="Z18" s="1575"/>
      <c r="AA18" s="1576">
        <v>1</v>
      </c>
      <c r="AB18" s="1576">
        <v>1</v>
      </c>
      <c r="AC18" s="1576">
        <v>1</v>
      </c>
    </row>
    <row r="19" spans="1:29" ht="42.75">
      <c r="A19" s="532"/>
      <c r="B19" s="2628"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37"/>
      <c r="Q19" s="1572" t="str">
        <f>B19</f>
        <v>公共配套设施</v>
      </c>
      <c r="R19" s="1573" t="s">
        <v>8</v>
      </c>
      <c r="S19" s="1574">
        <f>F19</f>
        <v>100</v>
      </c>
      <c r="T19" s="1573" t="s">
        <v>8</v>
      </c>
      <c r="U19" s="1574">
        <f>H19</f>
        <v>100</v>
      </c>
      <c r="V19" s="1573" t="s">
        <v>8</v>
      </c>
      <c r="W19" s="1574">
        <f>J19</f>
        <v>100</v>
      </c>
      <c r="X19" s="1567"/>
      <c r="Y19" s="3437"/>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37"/>
      <c r="Q20" s="1572"/>
      <c r="R20" s="1573"/>
      <c r="S20" s="1574"/>
      <c r="T20" s="1573"/>
      <c r="U20" s="1574"/>
      <c r="V20" s="1573"/>
      <c r="W20" s="1574"/>
      <c r="X20" s="1567"/>
      <c r="Y20" s="3437"/>
      <c r="Z20" s="1575"/>
      <c r="AA20" s="1576">
        <v>1</v>
      </c>
      <c r="AB20" s="1576">
        <v>1</v>
      </c>
      <c r="AC20" s="1576">
        <v>1</v>
      </c>
    </row>
    <row r="21" spans="1:29" ht="28.5">
      <c r="A21" s="532"/>
      <c r="B21" s="2616"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37"/>
      <c r="Q21" s="2604" t="str">
        <f>B21</f>
        <v>基础设施水平</v>
      </c>
      <c r="R21" s="1573" t="s">
        <v>8</v>
      </c>
      <c r="S21" s="1574">
        <f>F21</f>
        <v>100</v>
      </c>
      <c r="T21" s="1573" t="s">
        <v>8</v>
      </c>
      <c r="U21" s="1574">
        <f>H21</f>
        <v>100</v>
      </c>
      <c r="V21" s="1573" t="s">
        <v>8</v>
      </c>
      <c r="W21" s="1574">
        <f>J21</f>
        <v>100</v>
      </c>
      <c r="X21" s="2606"/>
      <c r="Y21" s="3437"/>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37"/>
      <c r="Q22" s="2604"/>
      <c r="R22" s="1573"/>
      <c r="S22" s="1574"/>
      <c r="T22" s="1573"/>
      <c r="U22" s="1574"/>
      <c r="V22" s="1573"/>
      <c r="W22" s="1574"/>
      <c r="X22" s="2606"/>
      <c r="Y22" s="3437"/>
      <c r="Z22" s="2605"/>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37"/>
      <c r="Q23" s="1572" t="str">
        <f>B23</f>
        <v>环境质量</v>
      </c>
      <c r="R23" s="1573" t="s">
        <v>8</v>
      </c>
      <c r="S23" s="1574">
        <f>F23</f>
        <v>100</v>
      </c>
      <c r="T23" s="1573" t="s">
        <v>8</v>
      </c>
      <c r="U23" s="1574">
        <f>H23</f>
        <v>100</v>
      </c>
      <c r="V23" s="1573" t="s">
        <v>8</v>
      </c>
      <c r="W23" s="1574">
        <f>J23</f>
        <v>100</v>
      </c>
      <c r="X23" s="1567"/>
      <c r="Y23" s="3437"/>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37"/>
      <c r="Q24" s="1572"/>
      <c r="R24" s="1573"/>
      <c r="S24" s="1574"/>
      <c r="T24" s="1573"/>
      <c r="U24" s="1574"/>
      <c r="V24" s="1573"/>
      <c r="W24" s="1574"/>
      <c r="X24" s="1567"/>
      <c r="Y24" s="3437"/>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7"/>
      <c r="Q25" s="1572">
        <f>B25</f>
        <v>111</v>
      </c>
      <c r="R25" s="1573" t="s">
        <v>8</v>
      </c>
      <c r="S25" s="1574">
        <f>F25</f>
        <v>100</v>
      </c>
      <c r="T25" s="1573" t="s">
        <v>8</v>
      </c>
      <c r="U25" s="1574">
        <f>H25</f>
        <v>100</v>
      </c>
      <c r="V25" s="1573" t="s">
        <v>8</v>
      </c>
      <c r="W25" s="1574">
        <f>J25</f>
        <v>100</v>
      </c>
      <c r="X25" s="1567"/>
      <c r="Y25" s="3437"/>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7"/>
      <c r="Q26" s="1572">
        <f t="shared" ref="Q26:Q40" si="11">B26</f>
        <v>111</v>
      </c>
      <c r="R26" s="1573" t="s">
        <v>8</v>
      </c>
      <c r="S26" s="1574">
        <f>F26</f>
        <v>100</v>
      </c>
      <c r="T26" s="1573" t="s">
        <v>8</v>
      </c>
      <c r="U26" s="1574">
        <f>H26</f>
        <v>100</v>
      </c>
      <c r="V26" s="1573" t="s">
        <v>8</v>
      </c>
      <c r="W26" s="1574">
        <f>J26</f>
        <v>100</v>
      </c>
      <c r="X26" s="1567"/>
      <c r="Y26" s="3437"/>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7"/>
      <c r="Q27" s="1151">
        <f t="shared" si="11"/>
        <v>111</v>
      </c>
      <c r="R27" s="1568" t="s">
        <v>8</v>
      </c>
      <c r="S27" s="1569">
        <f>F27</f>
        <v>100</v>
      </c>
      <c r="T27" s="1568" t="s">
        <v>8</v>
      </c>
      <c r="U27" s="1569">
        <f>H27</f>
        <v>100</v>
      </c>
      <c r="V27" s="1568" t="s">
        <v>8</v>
      </c>
      <c r="W27" s="1569">
        <f>J27</f>
        <v>100</v>
      </c>
      <c r="X27" s="1570"/>
      <c r="Y27" s="3437"/>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37"/>
      <c r="Q28" s="1572">
        <f t="shared" si="11"/>
        <v>111</v>
      </c>
      <c r="R28" s="1573" t="s">
        <v>8</v>
      </c>
      <c r="S28" s="1574">
        <f t="shared" ref="S28:S40" si="12">F28</f>
        <v>100</v>
      </c>
      <c r="T28" s="1573" t="s">
        <v>8</v>
      </c>
      <c r="U28" s="1574">
        <f t="shared" ref="U28:U40" si="13">H28</f>
        <v>100</v>
      </c>
      <c r="V28" s="1573" t="s">
        <v>8</v>
      </c>
      <c r="W28" s="1574">
        <f t="shared" ref="W28:W40" si="14">J28</f>
        <v>100</v>
      </c>
      <c r="X28" s="1567"/>
      <c r="Y28" s="3437"/>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38" t="s">
        <v>549</v>
      </c>
      <c r="Q29" s="1572" t="str">
        <f t="shared" si="11"/>
        <v>建筑类型</v>
      </c>
      <c r="R29" s="1573" t="s">
        <v>8</v>
      </c>
      <c r="S29" s="1574">
        <f t="shared" si="12"/>
        <v>100</v>
      </c>
      <c r="T29" s="1573" t="s">
        <v>8</v>
      </c>
      <c r="U29" s="1574">
        <f t="shared" si="13"/>
        <v>100</v>
      </c>
      <c r="V29" s="1573" t="s">
        <v>8</v>
      </c>
      <c r="W29" s="1574">
        <f t="shared" si="14"/>
        <v>100</v>
      </c>
      <c r="X29" s="1567"/>
      <c r="Y29" s="3439"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9"/>
      <c r="Q30" s="1605" t="str">
        <f t="shared" si="11"/>
        <v>项目建筑规模</v>
      </c>
      <c r="R30" s="1577" t="s">
        <v>8</v>
      </c>
      <c r="S30" s="1578" t="e">
        <f t="shared" si="12"/>
        <v>#N/A</v>
      </c>
      <c r="T30" s="1577" t="s">
        <v>8</v>
      </c>
      <c r="U30" s="1578" t="e">
        <f t="shared" si="13"/>
        <v>#N/A</v>
      </c>
      <c r="V30" s="1577" t="s">
        <v>8</v>
      </c>
      <c r="W30" s="1578" t="e">
        <f t="shared" si="14"/>
        <v>#N/A</v>
      </c>
      <c r="X30" s="1579"/>
      <c r="Y30" s="3439"/>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9"/>
      <c r="Q31" s="1572" t="str">
        <f t="shared" si="11"/>
        <v>建筑结构</v>
      </c>
      <c r="R31" s="1573" t="s">
        <v>8</v>
      </c>
      <c r="S31" s="1574">
        <f t="shared" si="12"/>
        <v>100</v>
      </c>
      <c r="T31" s="1573" t="s">
        <v>8</v>
      </c>
      <c r="U31" s="1574">
        <f t="shared" si="13"/>
        <v>100</v>
      </c>
      <c r="V31" s="1573" t="s">
        <v>8</v>
      </c>
      <c r="W31" s="1574">
        <f t="shared" si="14"/>
        <v>100</v>
      </c>
      <c r="X31" s="1567"/>
      <c r="Y31" s="3439"/>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9"/>
      <c r="Q32" s="1572" t="str">
        <f t="shared" si="11"/>
        <v>公共部分装修</v>
      </c>
      <c r="R32" s="1573" t="s">
        <v>8</v>
      </c>
      <c r="S32" s="1574">
        <f t="shared" si="12"/>
        <v>100</v>
      </c>
      <c r="T32" s="1573" t="s">
        <v>8</v>
      </c>
      <c r="U32" s="1574">
        <f t="shared" si="13"/>
        <v>100</v>
      </c>
      <c r="V32" s="1573" t="s">
        <v>8</v>
      </c>
      <c r="W32" s="1574">
        <f t="shared" si="14"/>
        <v>100</v>
      </c>
      <c r="X32" s="1567"/>
      <c r="Y32" s="3439"/>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9"/>
      <c r="Q33" s="1572" t="str">
        <f t="shared" si="11"/>
        <v>成新度</v>
      </c>
      <c r="R33" s="1573" t="s">
        <v>8</v>
      </c>
      <c r="S33" s="1574" t="e">
        <f t="shared" si="12"/>
        <v>#N/A</v>
      </c>
      <c r="T33" s="1573" t="s">
        <v>8</v>
      </c>
      <c r="U33" s="1574" t="e">
        <f t="shared" si="13"/>
        <v>#N/A</v>
      </c>
      <c r="V33" s="1573" t="s">
        <v>8</v>
      </c>
      <c r="W33" s="1574" t="e">
        <f t="shared" si="14"/>
        <v>#N/A</v>
      </c>
      <c r="X33" s="1567"/>
      <c r="Y33" s="3439"/>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9"/>
      <c r="Q34" s="1151" t="str">
        <f t="shared" si="11"/>
        <v>物业管理</v>
      </c>
      <c r="R34" s="1568" t="s">
        <v>8</v>
      </c>
      <c r="S34" s="1569">
        <f t="shared" si="12"/>
        <v>100</v>
      </c>
      <c r="T34" s="1568" t="s">
        <v>8</v>
      </c>
      <c r="U34" s="1569">
        <f t="shared" si="13"/>
        <v>100</v>
      </c>
      <c r="V34" s="1568" t="s">
        <v>8</v>
      </c>
      <c r="W34" s="1569">
        <f t="shared" si="14"/>
        <v>100</v>
      </c>
      <c r="X34" s="1570"/>
      <c r="Y34" s="3439"/>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9" t="s">
        <v>549</v>
      </c>
      <c r="Q35" s="1572" t="str">
        <f t="shared" si="11"/>
        <v>市政基础设施</v>
      </c>
      <c r="R35" s="1573" t="s">
        <v>8</v>
      </c>
      <c r="S35" s="1574">
        <f t="shared" si="12"/>
        <v>100</v>
      </c>
      <c r="T35" s="1573" t="s">
        <v>8</v>
      </c>
      <c r="U35" s="1574">
        <f t="shared" si="13"/>
        <v>100</v>
      </c>
      <c r="V35" s="1573" t="s">
        <v>8</v>
      </c>
      <c r="W35" s="1574">
        <f t="shared" si="14"/>
        <v>100</v>
      </c>
      <c r="X35" s="1567"/>
      <c r="Y35" s="3439"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9"/>
      <c r="Q36" s="1572" t="str">
        <f t="shared" si="11"/>
        <v>内部装修</v>
      </c>
      <c r="R36" s="1573" t="s">
        <v>8</v>
      </c>
      <c r="S36" s="1574">
        <f t="shared" si="12"/>
        <v>100</v>
      </c>
      <c r="T36" s="1573" t="s">
        <v>8</v>
      </c>
      <c r="U36" s="1574">
        <f t="shared" si="13"/>
        <v>100</v>
      </c>
      <c r="V36" s="1573" t="s">
        <v>8</v>
      </c>
      <c r="W36" s="1574">
        <f t="shared" si="14"/>
        <v>100</v>
      </c>
      <c r="X36" s="1567"/>
      <c r="Y36" s="3439"/>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9"/>
      <c r="Q37" s="1572" t="str">
        <f t="shared" si="11"/>
        <v>内部装修状况</v>
      </c>
      <c r="R37" s="1573" t="s">
        <v>8</v>
      </c>
      <c r="S37" s="1574">
        <f t="shared" si="12"/>
        <v>100</v>
      </c>
      <c r="T37" s="1573" t="s">
        <v>8</v>
      </c>
      <c r="U37" s="1574">
        <f t="shared" si="13"/>
        <v>100</v>
      </c>
      <c r="V37" s="1573" t="s">
        <v>8</v>
      </c>
      <c r="W37" s="1574">
        <f t="shared" si="14"/>
        <v>100</v>
      </c>
      <c r="X37" s="1567"/>
      <c r="Y37" s="3439"/>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9"/>
      <c r="Q38" s="1605">
        <f t="shared" si="11"/>
        <v>111</v>
      </c>
      <c r="R38" s="1577" t="s">
        <v>8</v>
      </c>
      <c r="S38" s="1578">
        <f t="shared" si="12"/>
        <v>100</v>
      </c>
      <c r="T38" s="1577" t="s">
        <v>8</v>
      </c>
      <c r="U38" s="1578">
        <f t="shared" si="13"/>
        <v>100</v>
      </c>
      <c r="V38" s="1577" t="s">
        <v>8</v>
      </c>
      <c r="W38" s="1578">
        <f t="shared" si="14"/>
        <v>100</v>
      </c>
      <c r="X38" s="1579"/>
      <c r="Y38" s="3439"/>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9"/>
      <c r="Q39" s="1572">
        <f t="shared" si="11"/>
        <v>111</v>
      </c>
      <c r="R39" s="1573" t="s">
        <v>8</v>
      </c>
      <c r="S39" s="1574">
        <f t="shared" si="12"/>
        <v>100</v>
      </c>
      <c r="T39" s="1573" t="s">
        <v>8</v>
      </c>
      <c r="U39" s="1574">
        <f t="shared" si="13"/>
        <v>100</v>
      </c>
      <c r="V39" s="1573" t="s">
        <v>8</v>
      </c>
      <c r="W39" s="1574">
        <f t="shared" si="14"/>
        <v>100</v>
      </c>
      <c r="X39" s="1567"/>
      <c r="Y39" s="3439"/>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27"/>
      <c r="Q40" s="1572">
        <f t="shared" si="11"/>
        <v>111</v>
      </c>
      <c r="R40" s="1573" t="s">
        <v>8</v>
      </c>
      <c r="S40" s="1574">
        <f t="shared" si="12"/>
        <v>100</v>
      </c>
      <c r="T40" s="1573" t="s">
        <v>8</v>
      </c>
      <c r="U40" s="1574">
        <f t="shared" si="13"/>
        <v>100</v>
      </c>
      <c r="V40" s="1573" t="s">
        <v>8</v>
      </c>
      <c r="W40" s="1574">
        <f t="shared" si="14"/>
        <v>100</v>
      </c>
      <c r="X40" s="1567"/>
      <c r="Y40" s="3527"/>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434" t="str">
        <f>A41</f>
        <v>成交单价（元/平方米）</v>
      </c>
      <c r="Q41" s="3434"/>
      <c r="R41" s="3526">
        <f>E41</f>
        <v>0</v>
      </c>
      <c r="S41" s="3526"/>
      <c r="T41" s="3526">
        <f>G41</f>
        <v>0</v>
      </c>
      <c r="U41" s="3526"/>
      <c r="V41" s="3526">
        <f>I41</f>
        <v>0</v>
      </c>
      <c r="W41" s="3526"/>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434" t="str">
        <f>A42</f>
        <v>比较价格（元/平方米）</v>
      </c>
      <c r="Q42" s="343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59"/>
      <c r="Y42" s="1559"/>
      <c r="Z42" s="1559"/>
      <c r="AA42" s="1559"/>
      <c r="AB42" s="1559"/>
      <c r="AC42" s="1559"/>
    </row>
    <row r="43" spans="1:29" ht="15.75" thickBot="1">
      <c r="A43" s="621" t="s">
        <v>2938</v>
      </c>
      <c r="B43" s="622"/>
      <c r="C43" s="2661" t="e">
        <f>R43</f>
        <v>#DIV/0!</v>
      </c>
      <c r="D43" s="2661"/>
      <c r="E43" s="2661"/>
      <c r="F43" s="2661"/>
      <c r="G43" s="2661"/>
      <c r="H43" s="2661"/>
      <c r="I43" s="2661"/>
      <c r="J43" s="2661"/>
      <c r="K43" s="1613"/>
      <c r="L43" s="2145"/>
      <c r="M43" s="2146"/>
      <c r="N43" s="2146"/>
      <c r="O43" s="2146"/>
      <c r="P43" s="3455" t="str">
        <f>A43</f>
        <v>估价对象XX用房的比较价格（楼面单价，元/平方米）</v>
      </c>
      <c r="Q43" s="3456"/>
      <c r="R43" s="3525" t="e">
        <f>IF(F1="售价",ROUND(AVERAGE(R42:V42),0),ROUND(AVERAGE(R42:V42),1))</f>
        <v>#DIV/0!</v>
      </c>
      <c r="S43" s="3525"/>
      <c r="T43" s="3525"/>
      <c r="U43" s="3525"/>
      <c r="V43" s="3525"/>
      <c r="W43" s="352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40" t="s">
        <v>797</v>
      </c>
      <c r="D4" s="3441"/>
      <c r="E4" s="3440" t="s">
        <v>798</v>
      </c>
      <c r="F4" s="3441"/>
      <c r="G4" s="3440" t="s">
        <v>799</v>
      </c>
      <c r="H4" s="3441"/>
      <c r="I4" s="3440" t="s">
        <v>800</v>
      </c>
      <c r="J4" s="3441"/>
      <c r="K4" s="514" t="s">
        <v>801</v>
      </c>
      <c r="L4" s="2134"/>
      <c r="M4" s="2135"/>
      <c r="N4" s="2135"/>
      <c r="O4" s="2135"/>
      <c r="P4" s="3442" t="s">
        <v>802</v>
      </c>
      <c r="Q4" s="3443"/>
      <c r="R4" s="3428" t="s">
        <v>798</v>
      </c>
      <c r="S4" s="3429"/>
      <c r="T4" s="3428" t="s">
        <v>799</v>
      </c>
      <c r="U4" s="3429"/>
      <c r="V4" s="3448" t="s">
        <v>800</v>
      </c>
      <c r="W4" s="3448"/>
      <c r="X4" s="1567"/>
      <c r="Y4" s="3428" t="s">
        <v>802</v>
      </c>
      <c r="Z4" s="3429"/>
      <c r="AA4" s="3423" t="s">
        <v>798</v>
      </c>
      <c r="AB4" s="3424" t="s">
        <v>799</v>
      </c>
      <c r="AC4" s="3423" t="s">
        <v>800</v>
      </c>
    </row>
    <row r="5" spans="1:29" ht="15">
      <c r="A5" s="515"/>
      <c r="B5" s="516"/>
      <c r="C5" s="3451" t="s">
        <v>2932</v>
      </c>
      <c r="D5" s="3452"/>
      <c r="E5" s="3451" t="s">
        <v>2933</v>
      </c>
      <c r="F5" s="3452"/>
      <c r="G5" s="3451" t="s">
        <v>2934</v>
      </c>
      <c r="H5" s="3452"/>
      <c r="I5" s="3451" t="s">
        <v>2935</v>
      </c>
      <c r="J5" s="3452"/>
      <c r="K5" s="514"/>
      <c r="L5" s="2134"/>
      <c r="M5" s="2135"/>
      <c r="N5" s="2135"/>
      <c r="O5" s="2135"/>
      <c r="P5" s="3444"/>
      <c r="Q5" s="3445"/>
      <c r="R5" s="3430"/>
      <c r="S5" s="3431"/>
      <c r="T5" s="3430"/>
      <c r="U5" s="3431"/>
      <c r="V5" s="3448"/>
      <c r="W5" s="3448"/>
      <c r="X5" s="1567"/>
      <c r="Y5" s="3430"/>
      <c r="Z5" s="3431"/>
      <c r="AA5" s="3424"/>
      <c r="AB5" s="3424"/>
      <c r="AC5" s="3424"/>
    </row>
    <row r="6" spans="1:29" ht="15.75" thickBot="1">
      <c r="A6" s="517"/>
      <c r="B6" s="518"/>
      <c r="C6" s="3449" t="s">
        <v>2936</v>
      </c>
      <c r="D6" s="3450"/>
      <c r="E6" s="3453" t="s">
        <v>2936</v>
      </c>
      <c r="F6" s="3454"/>
      <c r="G6" s="3449" t="s">
        <v>2936</v>
      </c>
      <c r="H6" s="3450"/>
      <c r="I6" s="3449" t="s">
        <v>2936</v>
      </c>
      <c r="J6" s="3450"/>
      <c r="K6" s="514" t="s">
        <v>527</v>
      </c>
      <c r="L6" s="2134"/>
      <c r="M6" s="2135"/>
      <c r="N6" s="2135"/>
      <c r="O6" s="2135"/>
      <c r="P6" s="3446"/>
      <c r="Q6" s="3447"/>
      <c r="R6" s="3430"/>
      <c r="S6" s="3431"/>
      <c r="T6" s="3432"/>
      <c r="U6" s="3433"/>
      <c r="V6" s="3448"/>
      <c r="W6" s="3448"/>
      <c r="X6" s="1567"/>
      <c r="Y6" s="3432"/>
      <c r="Z6" s="3433"/>
      <c r="AA6" s="3425"/>
      <c r="AB6" s="3425"/>
      <c r="AC6" s="3425"/>
    </row>
    <row r="7" spans="1:29" s="1220" customFormat="1" ht="15.75" thickBot="1">
      <c r="A7" s="2937"/>
      <c r="B7" s="2944" t="s">
        <v>528</v>
      </c>
      <c r="C7" s="519">
        <f>'数据-取费表'!B2</f>
        <v>43222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6" t="s">
        <v>529</v>
      </c>
      <c r="Q7" s="3435"/>
      <c r="R7" s="1568" t="s">
        <v>8</v>
      </c>
      <c r="S7" s="1569">
        <f t="shared" ref="S7:S14" si="0">F7</f>
        <v>0</v>
      </c>
      <c r="T7" s="1568" t="s">
        <v>8</v>
      </c>
      <c r="U7" s="1569">
        <f t="shared" ref="U7:U14" si="1">H7</f>
        <v>0</v>
      </c>
      <c r="V7" s="1568" t="s">
        <v>8</v>
      </c>
      <c r="W7" s="1569">
        <f t="shared" ref="W7:W14"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6" t="s">
        <v>532</v>
      </c>
      <c r="Q8" s="3427"/>
      <c r="R8" s="1568" t="s">
        <v>8</v>
      </c>
      <c r="S8" s="1569">
        <f t="shared" si="0"/>
        <v>0</v>
      </c>
      <c r="T8" s="1568" t="s">
        <v>8</v>
      </c>
      <c r="U8" s="1569">
        <f t="shared" si="1"/>
        <v>0</v>
      </c>
      <c r="V8" s="1568" t="s">
        <v>8</v>
      </c>
      <c r="W8" s="1569">
        <f t="shared" si="2"/>
        <v>0</v>
      </c>
      <c r="X8" s="1570"/>
      <c r="Y8" s="3426" t="s">
        <v>532</v>
      </c>
      <c r="Z8" s="3427"/>
      <c r="AA8" s="1571" t="e">
        <f t="shared" ref="AA8:AA36" si="3">D8/F8</f>
        <v>#DIV/0!</v>
      </c>
      <c r="AB8" s="1571" t="e">
        <f t="shared" ref="AB8:AB36" si="4">D8/H8</f>
        <v>#DIV/0!</v>
      </c>
      <c r="AC8" s="1571" t="e">
        <f t="shared" ref="AC8:AC36" si="5">D8/J8</f>
        <v>#DIV/0!</v>
      </c>
    </row>
    <row r="9" spans="1:29" s="1220"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34" t="s">
        <v>534</v>
      </c>
      <c r="Q9" s="1151" t="str">
        <f t="shared" ref="Q9:Q14" si="6">B9</f>
        <v>用途</v>
      </c>
      <c r="R9" s="1568" t="s">
        <v>8</v>
      </c>
      <c r="S9" s="1569">
        <f t="shared" si="0"/>
        <v>100</v>
      </c>
      <c r="T9" s="1568" t="s">
        <v>8</v>
      </c>
      <c r="U9" s="1569">
        <f t="shared" si="1"/>
        <v>100</v>
      </c>
      <c r="V9" s="1568" t="s">
        <v>8</v>
      </c>
      <c r="W9" s="1569">
        <f t="shared" si="2"/>
        <v>100</v>
      </c>
      <c r="X9" s="1570"/>
      <c r="Y9" s="3391"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34"/>
      <c r="Q11" s="1151">
        <f t="shared" si="6"/>
        <v>111</v>
      </c>
      <c r="R11" s="1568" t="s">
        <v>8</v>
      </c>
      <c r="S11" s="1569">
        <f t="shared" si="0"/>
        <v>100</v>
      </c>
      <c r="T11" s="1568" t="s">
        <v>8</v>
      </c>
      <c r="U11" s="1569">
        <f t="shared" si="1"/>
        <v>100</v>
      </c>
      <c r="V11" s="1568" t="s">
        <v>8</v>
      </c>
      <c r="W11" s="1569">
        <f t="shared" si="2"/>
        <v>100</v>
      </c>
      <c r="X11" s="1570"/>
      <c r="Y11" s="3391"/>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34"/>
      <c r="Q12" s="1151">
        <f t="shared" si="6"/>
        <v>111</v>
      </c>
      <c r="R12" s="1568" t="s">
        <v>8</v>
      </c>
      <c r="S12" s="1569">
        <f t="shared" si="0"/>
        <v>100</v>
      </c>
      <c r="T12" s="1568" t="s">
        <v>8</v>
      </c>
      <c r="U12" s="1569">
        <f t="shared" si="1"/>
        <v>100</v>
      </c>
      <c r="V12" s="1568" t="s">
        <v>8</v>
      </c>
      <c r="W12" s="1569">
        <f t="shared" si="2"/>
        <v>100</v>
      </c>
      <c r="X12" s="1570"/>
      <c r="Y12" s="3391"/>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34"/>
      <c r="Q13" s="1151">
        <f t="shared" si="6"/>
        <v>111</v>
      </c>
      <c r="R13" s="1568" t="s">
        <v>8</v>
      </c>
      <c r="S13" s="1569">
        <f t="shared" si="0"/>
        <v>100</v>
      </c>
      <c r="T13" s="1568" t="s">
        <v>8</v>
      </c>
      <c r="U13" s="1569">
        <f t="shared" si="1"/>
        <v>100</v>
      </c>
      <c r="V13" s="1568" t="s">
        <v>8</v>
      </c>
      <c r="W13" s="1569">
        <f t="shared" si="2"/>
        <v>100</v>
      </c>
      <c r="X13" s="1570"/>
      <c r="Y13" s="3391"/>
      <c r="Z13" s="1150">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36" t="s">
        <v>539</v>
      </c>
      <c r="Q14" s="1572" t="str">
        <f t="shared" si="6"/>
        <v>交通便捷度</v>
      </c>
      <c r="R14" s="1573" t="s">
        <v>8</v>
      </c>
      <c r="S14" s="1574">
        <f t="shared" si="0"/>
        <v>100</v>
      </c>
      <c r="T14" s="1573" t="s">
        <v>8</v>
      </c>
      <c r="U14" s="1574">
        <f t="shared" si="1"/>
        <v>100</v>
      </c>
      <c r="V14" s="1573" t="s">
        <v>8</v>
      </c>
      <c r="W14" s="1574">
        <f t="shared" si="2"/>
        <v>100</v>
      </c>
      <c r="X14" s="1567"/>
      <c r="Y14" s="3436"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37"/>
      <c r="Q15" s="1572"/>
      <c r="R15" s="1573"/>
      <c r="S15" s="1574"/>
      <c r="T15" s="1573"/>
      <c r="U15" s="1574"/>
      <c r="V15" s="1573"/>
      <c r="W15" s="1574"/>
      <c r="X15" s="1567"/>
      <c r="Y15" s="3437"/>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37"/>
      <c r="Q16" s="1572" t="str">
        <f>B16</f>
        <v>公共配套设施</v>
      </c>
      <c r="R16" s="1573" t="s">
        <v>8</v>
      </c>
      <c r="S16" s="1574">
        <f>F16</f>
        <v>100</v>
      </c>
      <c r="T16" s="1573" t="s">
        <v>8</v>
      </c>
      <c r="U16" s="1574">
        <f>H16</f>
        <v>100</v>
      </c>
      <c r="V16" s="1573" t="s">
        <v>8</v>
      </c>
      <c r="W16" s="1574">
        <f>J16</f>
        <v>100</v>
      </c>
      <c r="X16" s="1567"/>
      <c r="Y16" s="3437"/>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37"/>
      <c r="Q17" s="1572"/>
      <c r="R17" s="1573"/>
      <c r="S17" s="1574"/>
      <c r="T17" s="1573"/>
      <c r="U17" s="1574"/>
      <c r="V17" s="1573"/>
      <c r="W17" s="1574"/>
      <c r="X17" s="1567"/>
      <c r="Y17" s="3437"/>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37"/>
      <c r="Q18" s="2604" t="str">
        <f>B18</f>
        <v>基础设施水平</v>
      </c>
      <c r="R18" s="1573" t="s">
        <v>8</v>
      </c>
      <c r="S18" s="1574">
        <f>F18</f>
        <v>100</v>
      </c>
      <c r="T18" s="1573" t="s">
        <v>8</v>
      </c>
      <c r="U18" s="1574">
        <f>H18</f>
        <v>100</v>
      </c>
      <c r="V18" s="1573" t="s">
        <v>8</v>
      </c>
      <c r="W18" s="1574">
        <f>J18</f>
        <v>100</v>
      </c>
      <c r="X18" s="2606"/>
      <c r="Y18" s="3437"/>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37"/>
      <c r="Q19" s="2604"/>
      <c r="R19" s="1573"/>
      <c r="S19" s="1574"/>
      <c r="T19" s="1573"/>
      <c r="U19" s="1574"/>
      <c r="V19" s="1573"/>
      <c r="W19" s="1574"/>
      <c r="X19" s="2606"/>
      <c r="Y19" s="3437"/>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37"/>
      <c r="Q20" s="1572" t="str">
        <f>B20</f>
        <v>自然及人文环境</v>
      </c>
      <c r="R20" s="1573" t="s">
        <v>8</v>
      </c>
      <c r="S20" s="1574">
        <f>F20</f>
        <v>100</v>
      </c>
      <c r="T20" s="1573" t="s">
        <v>8</v>
      </c>
      <c r="U20" s="1574">
        <f>H20</f>
        <v>100</v>
      </c>
      <c r="V20" s="1573" t="s">
        <v>8</v>
      </c>
      <c r="W20" s="1574">
        <f>J20</f>
        <v>100</v>
      </c>
      <c r="X20" s="1567"/>
      <c r="Y20" s="3437"/>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37"/>
      <c r="Q21" s="1572"/>
      <c r="R21" s="1573"/>
      <c r="S21" s="1574"/>
      <c r="T21" s="1573"/>
      <c r="U21" s="1574"/>
      <c r="V21" s="1573"/>
      <c r="W21" s="1574"/>
      <c r="X21" s="1567"/>
      <c r="Y21" s="3437"/>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7"/>
      <c r="Q22" s="1572" t="str">
        <f>B22</f>
        <v>楼层</v>
      </c>
      <c r="R22" s="1573" t="s">
        <v>8</v>
      </c>
      <c r="S22" s="1574">
        <f>F22</f>
        <v>100</v>
      </c>
      <c r="T22" s="1573" t="s">
        <v>8</v>
      </c>
      <c r="U22" s="1574">
        <f>H22</f>
        <v>100</v>
      </c>
      <c r="V22" s="1573" t="s">
        <v>8</v>
      </c>
      <c r="W22" s="1574">
        <f>J22</f>
        <v>100</v>
      </c>
      <c r="X22" s="1567"/>
      <c r="Y22" s="3437"/>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7"/>
      <c r="Q23" s="1572">
        <f>B23</f>
        <v>111</v>
      </c>
      <c r="R23" s="1573" t="s">
        <v>8</v>
      </c>
      <c r="S23" s="1574">
        <f>F23</f>
        <v>100</v>
      </c>
      <c r="T23" s="1573" t="s">
        <v>8</v>
      </c>
      <c r="U23" s="1574">
        <f>H23</f>
        <v>100</v>
      </c>
      <c r="V23" s="1573" t="s">
        <v>8</v>
      </c>
      <c r="W23" s="1574">
        <f>J23</f>
        <v>100</v>
      </c>
      <c r="X23" s="1567"/>
      <c r="Y23" s="3437"/>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7"/>
      <c r="Q24" s="1572">
        <f t="shared" ref="Q24:Q36" si="11">B24</f>
        <v>111</v>
      </c>
      <c r="R24" s="1573" t="s">
        <v>8</v>
      </c>
      <c r="S24" s="1574">
        <f>F24</f>
        <v>100</v>
      </c>
      <c r="T24" s="1573" t="s">
        <v>8</v>
      </c>
      <c r="U24" s="1574">
        <f>H24</f>
        <v>100</v>
      </c>
      <c r="V24" s="1573" t="s">
        <v>8</v>
      </c>
      <c r="W24" s="1574">
        <f>J24</f>
        <v>100</v>
      </c>
      <c r="X24" s="1567"/>
      <c r="Y24" s="3437"/>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37"/>
      <c r="Q25" s="1151">
        <f t="shared" si="11"/>
        <v>111</v>
      </c>
      <c r="R25" s="1568" t="s">
        <v>8</v>
      </c>
      <c r="S25" s="1569">
        <f>F25</f>
        <v>100</v>
      </c>
      <c r="T25" s="1568" t="s">
        <v>8</v>
      </c>
      <c r="U25" s="1569">
        <f>H25</f>
        <v>100</v>
      </c>
      <c r="V25" s="1568" t="s">
        <v>8</v>
      </c>
      <c r="W25" s="1569">
        <f>J25</f>
        <v>100</v>
      </c>
      <c r="X25" s="1570"/>
      <c r="Y25" s="3437"/>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8"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9"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9"/>
      <c r="Q27" s="1605" t="str">
        <f t="shared" si="11"/>
        <v>项目停车位配比</v>
      </c>
      <c r="R27" s="1577" t="s">
        <v>8</v>
      </c>
      <c r="S27" s="1578">
        <f t="shared" si="12"/>
        <v>100</v>
      </c>
      <c r="T27" s="1577" t="s">
        <v>8</v>
      </c>
      <c r="U27" s="1578">
        <f t="shared" si="13"/>
        <v>100</v>
      </c>
      <c r="V27" s="1577" t="s">
        <v>8</v>
      </c>
      <c r="W27" s="1578">
        <f t="shared" si="14"/>
        <v>100</v>
      </c>
      <c r="X27" s="1579"/>
      <c r="Y27" s="3439"/>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9"/>
      <c r="Q28" s="1572" t="str">
        <f t="shared" si="11"/>
        <v>公共部分装修</v>
      </c>
      <c r="R28" s="1573" t="s">
        <v>8</v>
      </c>
      <c r="S28" s="1574">
        <f t="shared" si="12"/>
        <v>100</v>
      </c>
      <c r="T28" s="1573" t="s">
        <v>8</v>
      </c>
      <c r="U28" s="1574">
        <f t="shared" si="13"/>
        <v>100</v>
      </c>
      <c r="V28" s="1573" t="s">
        <v>8</v>
      </c>
      <c r="W28" s="1574">
        <f t="shared" si="14"/>
        <v>100</v>
      </c>
      <c r="X28" s="1567"/>
      <c r="Y28" s="3439"/>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9"/>
      <c r="Q29" s="1572" t="str">
        <f t="shared" si="11"/>
        <v>成新率</v>
      </c>
      <c r="R29" s="1573" t="s">
        <v>8</v>
      </c>
      <c r="S29" s="1574" t="e">
        <f t="shared" si="12"/>
        <v>#N/A</v>
      </c>
      <c r="T29" s="1573" t="s">
        <v>8</v>
      </c>
      <c r="U29" s="1574" t="e">
        <f t="shared" si="13"/>
        <v>#N/A</v>
      </c>
      <c r="V29" s="1573" t="s">
        <v>8</v>
      </c>
      <c r="W29" s="1574" t="e">
        <f t="shared" si="14"/>
        <v>#N/A</v>
      </c>
      <c r="X29" s="1567"/>
      <c r="Y29" s="3439"/>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9"/>
      <c r="Q30" s="1572" t="str">
        <f t="shared" si="11"/>
        <v>物业等级</v>
      </c>
      <c r="R30" s="1573" t="s">
        <v>8</v>
      </c>
      <c r="S30" s="1574">
        <f t="shared" si="12"/>
        <v>100</v>
      </c>
      <c r="T30" s="1573" t="s">
        <v>8</v>
      </c>
      <c r="U30" s="1574">
        <f t="shared" si="13"/>
        <v>100</v>
      </c>
      <c r="V30" s="1573" t="s">
        <v>8</v>
      </c>
      <c r="W30" s="1574">
        <f t="shared" si="14"/>
        <v>100</v>
      </c>
      <c r="X30" s="1567"/>
      <c r="Y30" s="3439"/>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9"/>
      <c r="Q31" s="1151" t="str">
        <f t="shared" si="11"/>
        <v>停车位面积</v>
      </c>
      <c r="R31" s="1568" t="s">
        <v>8</v>
      </c>
      <c r="S31" s="1569" t="e">
        <f t="shared" si="12"/>
        <v>#N/A</v>
      </c>
      <c r="T31" s="1568" t="s">
        <v>8</v>
      </c>
      <c r="U31" s="1569" t="e">
        <f t="shared" si="13"/>
        <v>#N/A</v>
      </c>
      <c r="V31" s="1568" t="s">
        <v>8</v>
      </c>
      <c r="W31" s="1569" t="e">
        <f t="shared" si="14"/>
        <v>#N/A</v>
      </c>
      <c r="X31" s="1570"/>
      <c r="Y31" s="3439"/>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9" t="s">
        <v>549</v>
      </c>
      <c r="Q32" s="1572" t="str">
        <f t="shared" si="11"/>
        <v>车位类型</v>
      </c>
      <c r="R32" s="1573" t="s">
        <v>8</v>
      </c>
      <c r="S32" s="1574">
        <f t="shared" si="12"/>
        <v>100</v>
      </c>
      <c r="T32" s="1573" t="s">
        <v>8</v>
      </c>
      <c r="U32" s="1574">
        <f t="shared" si="13"/>
        <v>100</v>
      </c>
      <c r="V32" s="1573" t="s">
        <v>8</v>
      </c>
      <c r="W32" s="1574">
        <f t="shared" si="14"/>
        <v>100</v>
      </c>
      <c r="X32" s="1567"/>
      <c r="Y32" s="3439"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9"/>
      <c r="Q33" s="1572" t="str">
        <f t="shared" si="11"/>
        <v>是否直接入户</v>
      </c>
      <c r="R33" s="1573" t="s">
        <v>8</v>
      </c>
      <c r="S33" s="1574">
        <f t="shared" si="12"/>
        <v>100</v>
      </c>
      <c r="T33" s="1573" t="s">
        <v>8</v>
      </c>
      <c r="U33" s="1574">
        <f t="shared" si="13"/>
        <v>100</v>
      </c>
      <c r="V33" s="1573" t="s">
        <v>8</v>
      </c>
      <c r="W33" s="1574">
        <f t="shared" si="14"/>
        <v>100</v>
      </c>
      <c r="X33" s="1567"/>
      <c r="Y33" s="3439"/>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9"/>
      <c r="Q34" s="1572">
        <f t="shared" si="11"/>
        <v>111</v>
      </c>
      <c r="R34" s="1573" t="s">
        <v>8</v>
      </c>
      <c r="S34" s="1574">
        <f t="shared" si="12"/>
        <v>100</v>
      </c>
      <c r="T34" s="1573" t="s">
        <v>8</v>
      </c>
      <c r="U34" s="1574">
        <f t="shared" si="13"/>
        <v>100</v>
      </c>
      <c r="V34" s="1573" t="s">
        <v>8</v>
      </c>
      <c r="W34" s="1574">
        <f t="shared" si="14"/>
        <v>100</v>
      </c>
      <c r="X34" s="1567"/>
      <c r="Y34" s="3439"/>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9"/>
      <c r="Q35" s="1605">
        <f t="shared" si="11"/>
        <v>111</v>
      </c>
      <c r="R35" s="1577" t="s">
        <v>8</v>
      </c>
      <c r="S35" s="1578">
        <f t="shared" si="12"/>
        <v>100</v>
      </c>
      <c r="T35" s="1577" t="s">
        <v>8</v>
      </c>
      <c r="U35" s="1578">
        <f t="shared" si="13"/>
        <v>100</v>
      </c>
      <c r="V35" s="1577" t="s">
        <v>8</v>
      </c>
      <c r="W35" s="1578">
        <f t="shared" si="14"/>
        <v>100</v>
      </c>
      <c r="X35" s="1579"/>
      <c r="Y35" s="3439"/>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9"/>
      <c r="Q36" s="1572">
        <f t="shared" si="11"/>
        <v>111</v>
      </c>
      <c r="R36" s="1573" t="s">
        <v>8</v>
      </c>
      <c r="S36" s="1574">
        <f t="shared" si="12"/>
        <v>100</v>
      </c>
      <c r="T36" s="1573" t="s">
        <v>8</v>
      </c>
      <c r="U36" s="1574">
        <f t="shared" si="13"/>
        <v>100</v>
      </c>
      <c r="V36" s="1573" t="s">
        <v>8</v>
      </c>
      <c r="W36" s="1574">
        <f t="shared" si="14"/>
        <v>100</v>
      </c>
      <c r="X36" s="1567"/>
      <c r="Y36" s="3439"/>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434" t="str">
        <f>A37</f>
        <v>成交单价</v>
      </c>
      <c r="Q37" s="3434"/>
      <c r="R37" s="3526">
        <f>E37</f>
        <v>0</v>
      </c>
      <c r="S37" s="3526"/>
      <c r="T37" s="3526">
        <f>G37</f>
        <v>0</v>
      </c>
      <c r="U37" s="3526"/>
      <c r="V37" s="3526">
        <f>I37</f>
        <v>0</v>
      </c>
      <c r="W37" s="3526"/>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434" t="str">
        <f>A38</f>
        <v>比较价格（元/平方米）</v>
      </c>
      <c r="Q38" s="343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59"/>
      <c r="Y38" s="1559"/>
      <c r="Z38" s="1559"/>
      <c r="AA38" s="1559"/>
      <c r="AB38" s="1559"/>
      <c r="AC38" s="1559"/>
    </row>
    <row r="39" spans="1:29" ht="15.75" thickBot="1">
      <c r="A39" s="621" t="s">
        <v>2938</v>
      </c>
      <c r="B39" s="622"/>
      <c r="C39" s="2661" t="e">
        <f>R39</f>
        <v>#DIV/0!</v>
      </c>
      <c r="D39" s="2661"/>
      <c r="E39" s="2661"/>
      <c r="F39" s="2661"/>
      <c r="G39" s="2661"/>
      <c r="H39" s="2661"/>
      <c r="I39" s="2661"/>
      <c r="J39" s="2661"/>
      <c r="K39" s="1613"/>
      <c r="L39" s="2145"/>
      <c r="M39" s="2146"/>
      <c r="N39" s="2146"/>
      <c r="O39" s="2146"/>
      <c r="P39" s="3455" t="str">
        <f>A39</f>
        <v>估价对象XX用房的比较价格（楼面单价，元/平方米）</v>
      </c>
      <c r="Q39" s="3456"/>
      <c r="R39" s="3525" t="e">
        <f>IF(F1="售价",ROUND(AVERAGE(R38:V38),0),ROUND(AVERAGE(R38:V38),1))</f>
        <v>#DIV/0!</v>
      </c>
      <c r="S39" s="3525"/>
      <c r="T39" s="3525"/>
      <c r="U39" s="3525"/>
      <c r="V39" s="3525"/>
      <c r="W39" s="352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440" t="s">
        <v>797</v>
      </c>
      <c r="D4" s="3441"/>
      <c r="E4" s="3466" t="s">
        <v>798</v>
      </c>
      <c r="F4" s="3467"/>
      <c r="G4" s="3440" t="s">
        <v>799</v>
      </c>
      <c r="H4" s="3441"/>
      <c r="I4" s="3440" t="s">
        <v>800</v>
      </c>
      <c r="J4" s="3441"/>
      <c r="K4" s="514" t="s">
        <v>801</v>
      </c>
      <c r="L4" s="2134"/>
      <c r="M4" s="2135"/>
      <c r="N4" s="2135"/>
      <c r="O4" s="2135"/>
      <c r="P4" s="3442" t="s">
        <v>802</v>
      </c>
      <c r="Q4" s="3443"/>
      <c r="R4" s="3428" t="s">
        <v>798</v>
      </c>
      <c r="S4" s="3429"/>
      <c r="T4" s="3428" t="s">
        <v>799</v>
      </c>
      <c r="U4" s="3429"/>
      <c r="V4" s="3448" t="s">
        <v>800</v>
      </c>
      <c r="W4" s="3448"/>
      <c r="X4" s="1567"/>
      <c r="Y4" s="3428" t="s">
        <v>802</v>
      </c>
      <c r="Z4" s="3429"/>
      <c r="AA4" s="3423" t="s">
        <v>798</v>
      </c>
      <c r="AB4" s="3424" t="s">
        <v>799</v>
      </c>
      <c r="AC4" s="3423" t="s">
        <v>800</v>
      </c>
    </row>
    <row r="5" spans="1:29" ht="15">
      <c r="A5" s="515"/>
      <c r="B5" s="516"/>
      <c r="C5" s="3451" t="s">
        <v>2932</v>
      </c>
      <c r="D5" s="3452"/>
      <c r="E5" s="3468" t="s">
        <v>2933</v>
      </c>
      <c r="F5" s="3469"/>
      <c r="G5" s="3451" t="s">
        <v>2934</v>
      </c>
      <c r="H5" s="3452"/>
      <c r="I5" s="3451" t="s">
        <v>2935</v>
      </c>
      <c r="J5" s="3452"/>
      <c r="K5" s="514"/>
      <c r="L5" s="2134"/>
      <c r="M5" s="2135"/>
      <c r="N5" s="2135"/>
      <c r="O5" s="2135"/>
      <c r="P5" s="3444"/>
      <c r="Q5" s="3445"/>
      <c r="R5" s="3430"/>
      <c r="S5" s="3431"/>
      <c r="T5" s="3430"/>
      <c r="U5" s="3431"/>
      <c r="V5" s="3448"/>
      <c r="W5" s="3448"/>
      <c r="X5" s="1567"/>
      <c r="Y5" s="3430"/>
      <c r="Z5" s="3431"/>
      <c r="AA5" s="3424"/>
      <c r="AB5" s="3424"/>
      <c r="AC5" s="3424"/>
    </row>
    <row r="6" spans="1:29" ht="15.75" thickBot="1">
      <c r="A6" s="517"/>
      <c r="B6" s="518"/>
      <c r="C6" s="3449" t="s">
        <v>2936</v>
      </c>
      <c r="D6" s="3450"/>
      <c r="E6" s="3470" t="s">
        <v>2936</v>
      </c>
      <c r="F6" s="3471"/>
      <c r="G6" s="3449" t="s">
        <v>2936</v>
      </c>
      <c r="H6" s="3450"/>
      <c r="I6" s="3449" t="s">
        <v>2936</v>
      </c>
      <c r="J6" s="3450"/>
      <c r="K6" s="514" t="s">
        <v>527</v>
      </c>
      <c r="L6" s="2134"/>
      <c r="M6" s="2135"/>
      <c r="N6" s="2135"/>
      <c r="O6" s="2135"/>
      <c r="P6" s="3446"/>
      <c r="Q6" s="3447"/>
      <c r="R6" s="3430"/>
      <c r="S6" s="3431"/>
      <c r="T6" s="3432"/>
      <c r="U6" s="3433"/>
      <c r="V6" s="3448"/>
      <c r="W6" s="3448"/>
      <c r="X6" s="1567"/>
      <c r="Y6" s="3432"/>
      <c r="Z6" s="3433"/>
      <c r="AA6" s="3425"/>
      <c r="AB6" s="3425"/>
      <c r="AC6" s="3425"/>
    </row>
    <row r="7" spans="1:29" s="1220" customFormat="1" ht="15.75" thickBot="1">
      <c r="A7" s="2937"/>
      <c r="B7" s="2944" t="s">
        <v>528</v>
      </c>
      <c r="C7" s="519">
        <f>'数据-取费表'!B2</f>
        <v>43222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6" t="s">
        <v>529</v>
      </c>
      <c r="Q7" s="3435"/>
      <c r="R7" s="1568" t="s">
        <v>8</v>
      </c>
      <c r="S7" s="1569">
        <f t="shared" ref="S7:S14" si="0">F7</f>
        <v>0</v>
      </c>
      <c r="T7" s="1568" t="s">
        <v>8</v>
      </c>
      <c r="U7" s="1569">
        <f t="shared" ref="U7:U14" si="1">H7</f>
        <v>0</v>
      </c>
      <c r="V7" s="1568" t="s">
        <v>8</v>
      </c>
      <c r="W7" s="1569">
        <f t="shared" ref="W7:W14" si="2">J7</f>
        <v>0</v>
      </c>
      <c r="X7" s="1570"/>
      <c r="Y7" s="3426" t="s">
        <v>529</v>
      </c>
      <c r="Z7" s="3427"/>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6" t="s">
        <v>532</v>
      </c>
      <c r="Q8" s="3427"/>
      <c r="R8" s="1568" t="s">
        <v>8</v>
      </c>
      <c r="S8" s="1569">
        <f t="shared" si="0"/>
        <v>0</v>
      </c>
      <c r="T8" s="1568" t="s">
        <v>8</v>
      </c>
      <c r="U8" s="1569">
        <f t="shared" si="1"/>
        <v>0</v>
      </c>
      <c r="V8" s="1568" t="s">
        <v>8</v>
      </c>
      <c r="W8" s="1569">
        <f t="shared" si="2"/>
        <v>0</v>
      </c>
      <c r="X8" s="1570"/>
      <c r="Y8" s="3426" t="s">
        <v>532</v>
      </c>
      <c r="Z8" s="3427"/>
      <c r="AA8" s="1571" t="e">
        <f t="shared" ref="AA8:AA34" si="3">D8/F8</f>
        <v>#DIV/0!</v>
      </c>
      <c r="AB8" s="1571" t="e">
        <f t="shared" ref="AB8:AB34" si="4">D8/H8</f>
        <v>#DIV/0!</v>
      </c>
      <c r="AC8" s="1571" t="e">
        <f t="shared" ref="AC8:AC34" si="5">D8/J8</f>
        <v>#DIV/0!</v>
      </c>
    </row>
    <row r="9" spans="1:29" s="1220"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34" t="s">
        <v>534</v>
      </c>
      <c r="Q9" s="1151" t="str">
        <f t="shared" ref="Q9:Q14" si="6">B9</f>
        <v>用途</v>
      </c>
      <c r="R9" s="1568" t="s">
        <v>8</v>
      </c>
      <c r="S9" s="1569">
        <f t="shared" si="0"/>
        <v>100</v>
      </c>
      <c r="T9" s="1568" t="s">
        <v>8</v>
      </c>
      <c r="U9" s="1569">
        <f t="shared" si="1"/>
        <v>100</v>
      </c>
      <c r="V9" s="1568" t="s">
        <v>8</v>
      </c>
      <c r="W9" s="1569">
        <f t="shared" si="2"/>
        <v>100</v>
      </c>
      <c r="X9" s="1570"/>
      <c r="Y9" s="3391"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34"/>
      <c r="Q10" s="1151" t="str">
        <f t="shared" si="6"/>
        <v>土地使用年限（年）</v>
      </c>
      <c r="R10" s="1568" t="s">
        <v>8</v>
      </c>
      <c r="S10" s="1569">
        <f t="shared" si="0"/>
        <v>100</v>
      </c>
      <c r="T10" s="1568" t="s">
        <v>8</v>
      </c>
      <c r="U10" s="1569">
        <f t="shared" si="1"/>
        <v>100</v>
      </c>
      <c r="V10" s="1568" t="s">
        <v>8</v>
      </c>
      <c r="W10" s="1569">
        <f t="shared" si="2"/>
        <v>100</v>
      </c>
      <c r="X10" s="1570"/>
      <c r="Y10" s="3391"/>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34"/>
      <c r="Q11" s="1151">
        <f t="shared" si="6"/>
        <v>111</v>
      </c>
      <c r="R11" s="1568" t="s">
        <v>8</v>
      </c>
      <c r="S11" s="1569">
        <f t="shared" si="0"/>
        <v>100</v>
      </c>
      <c r="T11" s="1568" t="s">
        <v>8</v>
      </c>
      <c r="U11" s="1569">
        <f t="shared" si="1"/>
        <v>100</v>
      </c>
      <c r="V11" s="1568" t="s">
        <v>8</v>
      </c>
      <c r="W11" s="1569">
        <f t="shared" si="2"/>
        <v>100</v>
      </c>
      <c r="X11" s="1570"/>
      <c r="Y11" s="3391"/>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34"/>
      <c r="Q12" s="1151">
        <f t="shared" si="6"/>
        <v>111</v>
      </c>
      <c r="R12" s="1568" t="s">
        <v>8</v>
      </c>
      <c r="S12" s="1569">
        <f t="shared" si="0"/>
        <v>100</v>
      </c>
      <c r="T12" s="1568" t="s">
        <v>8</v>
      </c>
      <c r="U12" s="1569">
        <f t="shared" si="1"/>
        <v>100</v>
      </c>
      <c r="V12" s="1568" t="s">
        <v>8</v>
      </c>
      <c r="W12" s="1569">
        <f t="shared" si="2"/>
        <v>100</v>
      </c>
      <c r="X12" s="1570"/>
      <c r="Y12" s="3391"/>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34"/>
      <c r="Q13" s="1151">
        <f t="shared" si="6"/>
        <v>111</v>
      </c>
      <c r="R13" s="1568" t="s">
        <v>8</v>
      </c>
      <c r="S13" s="1569">
        <f t="shared" si="0"/>
        <v>100</v>
      </c>
      <c r="T13" s="1568" t="s">
        <v>8</v>
      </c>
      <c r="U13" s="1569">
        <f t="shared" si="1"/>
        <v>100</v>
      </c>
      <c r="V13" s="1568" t="s">
        <v>8</v>
      </c>
      <c r="W13" s="1569">
        <f t="shared" si="2"/>
        <v>100</v>
      </c>
      <c r="X13" s="1570"/>
      <c r="Y13" s="3391"/>
      <c r="Z13" s="1150">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36" t="s">
        <v>539</v>
      </c>
      <c r="Q14" s="1572" t="str">
        <f t="shared" si="6"/>
        <v>交通便捷度</v>
      </c>
      <c r="R14" s="1573" t="s">
        <v>8</v>
      </c>
      <c r="S14" s="1574">
        <f t="shared" si="0"/>
        <v>100</v>
      </c>
      <c r="T14" s="1573" t="s">
        <v>8</v>
      </c>
      <c r="U14" s="1574">
        <f t="shared" si="1"/>
        <v>100</v>
      </c>
      <c r="V14" s="1573" t="s">
        <v>8</v>
      </c>
      <c r="W14" s="1574">
        <f t="shared" si="2"/>
        <v>100</v>
      </c>
      <c r="X14" s="1567"/>
      <c r="Y14" s="3436"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37"/>
      <c r="Q15" s="1572"/>
      <c r="R15" s="1573"/>
      <c r="S15" s="1574"/>
      <c r="T15" s="1573"/>
      <c r="U15" s="1574"/>
      <c r="V15" s="1573"/>
      <c r="W15" s="1574"/>
      <c r="X15" s="1567"/>
      <c r="Y15" s="3437"/>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37"/>
      <c r="Q16" s="1572" t="str">
        <f>B16</f>
        <v>公共配套设施</v>
      </c>
      <c r="R16" s="1573" t="s">
        <v>8</v>
      </c>
      <c r="S16" s="1574">
        <f>F16</f>
        <v>100</v>
      </c>
      <c r="T16" s="1573" t="s">
        <v>8</v>
      </c>
      <c r="U16" s="1574">
        <f>H16</f>
        <v>100</v>
      </c>
      <c r="V16" s="1573" t="s">
        <v>8</v>
      </c>
      <c r="W16" s="1574">
        <f>J16</f>
        <v>100</v>
      </c>
      <c r="X16" s="1567"/>
      <c r="Y16" s="3437"/>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37"/>
      <c r="Q17" s="1572"/>
      <c r="R17" s="1573"/>
      <c r="S17" s="1574"/>
      <c r="T17" s="1573"/>
      <c r="U17" s="1574"/>
      <c r="V17" s="1573"/>
      <c r="W17" s="1574"/>
      <c r="X17" s="1567"/>
      <c r="Y17" s="3437"/>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37"/>
      <c r="Q18" s="2604" t="str">
        <f>B18</f>
        <v>基础设施水平</v>
      </c>
      <c r="R18" s="1573" t="s">
        <v>8</v>
      </c>
      <c r="S18" s="1574">
        <f>F18</f>
        <v>100</v>
      </c>
      <c r="T18" s="1573" t="s">
        <v>8</v>
      </c>
      <c r="U18" s="1574">
        <f>H18</f>
        <v>100</v>
      </c>
      <c r="V18" s="1573" t="s">
        <v>8</v>
      </c>
      <c r="W18" s="1574">
        <f>J18</f>
        <v>100</v>
      </c>
      <c r="X18" s="2606"/>
      <c r="Y18" s="3437"/>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37"/>
      <c r="Q19" s="2604"/>
      <c r="R19" s="1573"/>
      <c r="S19" s="1574"/>
      <c r="T19" s="1573"/>
      <c r="U19" s="1574"/>
      <c r="V19" s="1573"/>
      <c r="W19" s="1574"/>
      <c r="X19" s="2606"/>
      <c r="Y19" s="3437"/>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37"/>
      <c r="Q20" s="1572" t="str">
        <f>B20</f>
        <v>自然及人文环境</v>
      </c>
      <c r="R20" s="1573" t="s">
        <v>8</v>
      </c>
      <c r="S20" s="1574">
        <f>F20</f>
        <v>100</v>
      </c>
      <c r="T20" s="1573" t="s">
        <v>8</v>
      </c>
      <c r="U20" s="1574">
        <f>H20</f>
        <v>100</v>
      </c>
      <c r="V20" s="1573" t="s">
        <v>8</v>
      </c>
      <c r="W20" s="1574">
        <f>J20</f>
        <v>100</v>
      </c>
      <c r="X20" s="1567"/>
      <c r="Y20" s="3437"/>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37"/>
      <c r="Q21" s="1572"/>
      <c r="R21" s="1573"/>
      <c r="S21" s="1574"/>
      <c r="T21" s="1573"/>
      <c r="U21" s="1574"/>
      <c r="V21" s="1573"/>
      <c r="W21" s="1574"/>
      <c r="X21" s="1567"/>
      <c r="Y21" s="3437"/>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7"/>
      <c r="Q22" s="1572" t="str">
        <f>B22</f>
        <v>楼层</v>
      </c>
      <c r="R22" s="1573" t="s">
        <v>8</v>
      </c>
      <c r="S22" s="1574">
        <f>F22</f>
        <v>100</v>
      </c>
      <c r="T22" s="1573" t="s">
        <v>8</v>
      </c>
      <c r="U22" s="1574">
        <f>H22</f>
        <v>100</v>
      </c>
      <c r="V22" s="1573" t="s">
        <v>8</v>
      </c>
      <c r="W22" s="1574">
        <f>J22</f>
        <v>100</v>
      </c>
      <c r="X22" s="1567"/>
      <c r="Y22" s="3437"/>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7"/>
      <c r="Q23" s="1572">
        <f>B23</f>
        <v>111</v>
      </c>
      <c r="R23" s="1573" t="s">
        <v>8</v>
      </c>
      <c r="S23" s="1574">
        <f>F23</f>
        <v>100</v>
      </c>
      <c r="T23" s="1573" t="s">
        <v>8</v>
      </c>
      <c r="U23" s="1574">
        <f>H23</f>
        <v>100</v>
      </c>
      <c r="V23" s="1573" t="s">
        <v>8</v>
      </c>
      <c r="W23" s="1574">
        <f>J23</f>
        <v>100</v>
      </c>
      <c r="X23" s="1567"/>
      <c r="Y23" s="3437"/>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7"/>
      <c r="Q24" s="1572">
        <f t="shared" ref="Q24:Q34" si="11">B24</f>
        <v>111</v>
      </c>
      <c r="R24" s="1573" t="s">
        <v>8</v>
      </c>
      <c r="S24" s="1574">
        <f>F24</f>
        <v>100</v>
      </c>
      <c r="T24" s="1573" t="s">
        <v>8</v>
      </c>
      <c r="U24" s="1574">
        <f>H24</f>
        <v>100</v>
      </c>
      <c r="V24" s="1573" t="s">
        <v>8</v>
      </c>
      <c r="W24" s="1574">
        <f>J24</f>
        <v>100</v>
      </c>
      <c r="X24" s="1567"/>
      <c r="Y24" s="3437"/>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37"/>
      <c r="Q25" s="1151">
        <f t="shared" si="11"/>
        <v>111</v>
      </c>
      <c r="R25" s="1568" t="s">
        <v>8</v>
      </c>
      <c r="S25" s="1569">
        <f>F25</f>
        <v>100</v>
      </c>
      <c r="T25" s="1568" t="s">
        <v>8</v>
      </c>
      <c r="U25" s="1569">
        <f>H25</f>
        <v>100</v>
      </c>
      <c r="V25" s="1568" t="s">
        <v>8</v>
      </c>
      <c r="W25" s="1569">
        <f>J25</f>
        <v>100</v>
      </c>
      <c r="X25" s="1570"/>
      <c r="Y25" s="3437"/>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38"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9"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9"/>
      <c r="Q27" s="1605" t="str">
        <f t="shared" si="11"/>
        <v>成新率</v>
      </c>
      <c r="R27" s="1577" t="s">
        <v>8</v>
      </c>
      <c r="S27" s="1578" t="e">
        <f t="shared" si="12"/>
        <v>#N/A</v>
      </c>
      <c r="T27" s="1577" t="s">
        <v>8</v>
      </c>
      <c r="U27" s="1578" t="e">
        <f t="shared" si="13"/>
        <v>#N/A</v>
      </c>
      <c r="V27" s="1577" t="s">
        <v>8</v>
      </c>
      <c r="W27" s="1578" t="e">
        <f t="shared" si="14"/>
        <v>#N/A</v>
      </c>
      <c r="X27" s="1579"/>
      <c r="Y27" s="3439"/>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9"/>
      <c r="Q28" s="1572" t="str">
        <f t="shared" si="11"/>
        <v>物业等级</v>
      </c>
      <c r="R28" s="1573" t="s">
        <v>8</v>
      </c>
      <c r="S28" s="1574">
        <f t="shared" si="12"/>
        <v>100</v>
      </c>
      <c r="T28" s="1573" t="s">
        <v>8</v>
      </c>
      <c r="U28" s="1574">
        <f t="shared" si="13"/>
        <v>100</v>
      </c>
      <c r="V28" s="1573" t="s">
        <v>8</v>
      </c>
      <c r="W28" s="1574">
        <f t="shared" si="14"/>
        <v>100</v>
      </c>
      <c r="X28" s="1567"/>
      <c r="Y28" s="3439"/>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9"/>
      <c r="Q29" s="1572" t="str">
        <f t="shared" si="11"/>
        <v>有无电梯</v>
      </c>
      <c r="R29" s="1573" t="s">
        <v>8</v>
      </c>
      <c r="S29" s="1574">
        <f t="shared" si="12"/>
        <v>100</v>
      </c>
      <c r="T29" s="1573" t="s">
        <v>8</v>
      </c>
      <c r="U29" s="1574">
        <f t="shared" si="13"/>
        <v>100</v>
      </c>
      <c r="V29" s="1573" t="s">
        <v>8</v>
      </c>
      <c r="W29" s="1574">
        <f t="shared" si="14"/>
        <v>100</v>
      </c>
      <c r="X29" s="1567"/>
      <c r="Y29" s="3439"/>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9"/>
      <c r="Q30" s="1572" t="str">
        <f t="shared" si="11"/>
        <v>建筑面积</v>
      </c>
      <c r="R30" s="1573" t="s">
        <v>8</v>
      </c>
      <c r="S30" s="1574" t="e">
        <f t="shared" si="12"/>
        <v>#N/A</v>
      </c>
      <c r="T30" s="1573" t="s">
        <v>8</v>
      </c>
      <c r="U30" s="1574" t="e">
        <f t="shared" si="13"/>
        <v>#N/A</v>
      </c>
      <c r="V30" s="1573" t="s">
        <v>8</v>
      </c>
      <c r="W30" s="1574" t="e">
        <f t="shared" si="14"/>
        <v>#N/A</v>
      </c>
      <c r="X30" s="1567"/>
      <c r="Y30" s="3439"/>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9"/>
      <c r="Q31" s="1151" t="str">
        <f t="shared" si="11"/>
        <v>是否封闭</v>
      </c>
      <c r="R31" s="1568" t="s">
        <v>8</v>
      </c>
      <c r="S31" s="1569">
        <f t="shared" si="12"/>
        <v>100</v>
      </c>
      <c r="T31" s="1568" t="s">
        <v>8</v>
      </c>
      <c r="U31" s="1569">
        <f t="shared" si="13"/>
        <v>100</v>
      </c>
      <c r="V31" s="1568" t="s">
        <v>8</v>
      </c>
      <c r="W31" s="1569">
        <f t="shared" si="14"/>
        <v>100</v>
      </c>
      <c r="X31" s="1570"/>
      <c r="Y31" s="3439"/>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9" t="s">
        <v>549</v>
      </c>
      <c r="Q32" s="1572">
        <f t="shared" si="11"/>
        <v>111</v>
      </c>
      <c r="R32" s="1573" t="s">
        <v>8</v>
      </c>
      <c r="S32" s="1574">
        <f t="shared" si="12"/>
        <v>100</v>
      </c>
      <c r="T32" s="1573" t="s">
        <v>8</v>
      </c>
      <c r="U32" s="1574">
        <f t="shared" si="13"/>
        <v>100</v>
      </c>
      <c r="V32" s="1573" t="s">
        <v>8</v>
      </c>
      <c r="W32" s="1574">
        <f t="shared" si="14"/>
        <v>100</v>
      </c>
      <c r="X32" s="1567"/>
      <c r="Y32" s="3439"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9"/>
      <c r="Q33" s="1572">
        <f t="shared" si="11"/>
        <v>111</v>
      </c>
      <c r="R33" s="1573" t="s">
        <v>8</v>
      </c>
      <c r="S33" s="1574">
        <f t="shared" si="12"/>
        <v>100</v>
      </c>
      <c r="T33" s="1573" t="s">
        <v>8</v>
      </c>
      <c r="U33" s="1574">
        <f t="shared" si="13"/>
        <v>100</v>
      </c>
      <c r="V33" s="1573" t="s">
        <v>8</v>
      </c>
      <c r="W33" s="1574">
        <f t="shared" si="14"/>
        <v>100</v>
      </c>
      <c r="X33" s="1567"/>
      <c r="Y33" s="3439"/>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9"/>
      <c r="Q34" s="1572">
        <f t="shared" si="11"/>
        <v>111</v>
      </c>
      <c r="R34" s="1573" t="s">
        <v>8</v>
      </c>
      <c r="S34" s="1574">
        <f t="shared" si="12"/>
        <v>100</v>
      </c>
      <c r="T34" s="1573" t="s">
        <v>8</v>
      </c>
      <c r="U34" s="1574">
        <f t="shared" si="13"/>
        <v>100</v>
      </c>
      <c r="V34" s="1573" t="s">
        <v>8</v>
      </c>
      <c r="W34" s="1574">
        <f t="shared" si="14"/>
        <v>100</v>
      </c>
      <c r="X34" s="1567"/>
      <c r="Y34" s="3439"/>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434" t="str">
        <f>A35</f>
        <v>成交单价（元/平方米）</v>
      </c>
      <c r="Q35" s="3434"/>
      <c r="R35" s="3526">
        <f>E35</f>
        <v>0</v>
      </c>
      <c r="S35" s="3526"/>
      <c r="T35" s="3526">
        <f>G35</f>
        <v>0</v>
      </c>
      <c r="U35" s="3526"/>
      <c r="V35" s="3526">
        <f>I35</f>
        <v>0</v>
      </c>
      <c r="W35" s="3526"/>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434" t="str">
        <f>A36</f>
        <v>比较价格（元/平方米）</v>
      </c>
      <c r="Q36" s="343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59"/>
      <c r="Y36" s="1559"/>
      <c r="Z36" s="1559"/>
      <c r="AA36" s="1559"/>
      <c r="AB36" s="1559"/>
      <c r="AC36" s="1559"/>
    </row>
    <row r="37" spans="1:29" ht="15.75" thickBot="1">
      <c r="A37" s="621" t="s">
        <v>2938</v>
      </c>
      <c r="B37" s="622"/>
      <c r="C37" s="2661" t="e">
        <f>R37</f>
        <v>#DIV/0!</v>
      </c>
      <c r="D37" s="2661"/>
      <c r="E37" s="2661"/>
      <c r="F37" s="2661"/>
      <c r="G37" s="2661"/>
      <c r="H37" s="2661"/>
      <c r="I37" s="2661"/>
      <c r="J37" s="2661"/>
      <c r="K37" s="1613"/>
      <c r="L37" s="2145"/>
      <c r="M37" s="2146"/>
      <c r="N37" s="2146"/>
      <c r="O37" s="2146"/>
      <c r="P37" s="3455" t="str">
        <f>A37</f>
        <v>估价对象XX用房的比较价格（楼面单价，元/平方米）</v>
      </c>
      <c r="Q37" s="3456"/>
      <c r="R37" s="3525" t="e">
        <f>IF(F1="售价",ROUND(AVERAGE(R36:V36),0),ROUND(AVERAGE(R36:V36),1))</f>
        <v>#DIV/0!</v>
      </c>
      <c r="S37" s="3525"/>
      <c r="T37" s="3525"/>
      <c r="U37" s="3525"/>
      <c r="V37" s="3525"/>
      <c r="W37" s="352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35" t="s">
        <v>2306</v>
      </c>
      <c r="D1" s="3536"/>
      <c r="E1" s="3536"/>
      <c r="F1" s="3536"/>
      <c r="G1" s="3536"/>
      <c r="H1" s="3536"/>
      <c r="I1" s="3536"/>
      <c r="J1" s="3536"/>
      <c r="K1" s="3536"/>
      <c r="L1" s="3536"/>
      <c r="M1" s="3536"/>
      <c r="N1" s="3536"/>
      <c r="O1" s="3536"/>
      <c r="P1" s="3536"/>
      <c r="Q1" s="3536"/>
      <c r="R1" s="3536"/>
      <c r="S1" s="3537"/>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2942</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540" t="s">
        <v>2579</v>
      </c>
      <c r="C1" s="3540"/>
      <c r="D1" s="3540"/>
      <c r="E1" s="3540"/>
      <c r="F1" s="3540"/>
      <c r="G1" s="3539" t="s">
        <v>2580</v>
      </c>
      <c r="H1" s="3539"/>
      <c r="I1" s="3539"/>
      <c r="J1" s="3539"/>
      <c r="K1" s="3539"/>
      <c r="L1" s="3539"/>
      <c r="N1" s="3539" t="s">
        <v>2581</v>
      </c>
      <c r="O1" s="3539"/>
      <c r="P1" s="3539"/>
      <c r="Q1" s="3539"/>
      <c r="R1" s="2679"/>
      <c r="S1" s="3539" t="s">
        <v>2582</v>
      </c>
      <c r="T1" s="3539"/>
      <c r="U1" s="3539"/>
      <c r="V1" s="3539"/>
      <c r="X1" s="3538" t="s">
        <v>2642</v>
      </c>
      <c r="Y1" s="3539"/>
      <c r="Z1" s="3539"/>
      <c r="AA1" s="3539"/>
      <c r="AB1" s="3539"/>
      <c r="AD1" s="3538" t="s">
        <v>2646</v>
      </c>
      <c r="AE1" s="3539"/>
      <c r="AF1" s="3539"/>
      <c r="AG1" s="3539"/>
      <c r="AH1" s="3539"/>
    </row>
    <row r="2" spans="1:34" s="2781" customFormat="1" ht="14.25" thickBot="1">
      <c r="B2" s="2789" t="s">
        <v>2583</v>
      </c>
      <c r="C2" s="2789" t="s">
        <v>2644</v>
      </c>
      <c r="D2" s="2782" t="s">
        <v>1644</v>
      </c>
      <c r="E2" s="2782" t="s">
        <v>1951</v>
      </c>
      <c r="F2" s="2789" t="s">
        <v>2645</v>
      </c>
      <c r="G2" s="2785"/>
      <c r="H2" s="2784"/>
      <c r="I2" s="2789" t="s">
        <v>2960</v>
      </c>
      <c r="J2" s="2782" t="s">
        <v>2962</v>
      </c>
      <c r="K2" s="2782" t="s">
        <v>2963</v>
      </c>
      <c r="L2" s="2789" t="s">
        <v>2964</v>
      </c>
      <c r="N2" s="2789" t="s">
        <v>2583</v>
      </c>
      <c r="O2" s="2782" t="s">
        <v>2961</v>
      </c>
      <c r="P2" s="2782" t="s">
        <v>1951</v>
      </c>
      <c r="Q2" s="2789" t="s">
        <v>2645</v>
      </c>
      <c r="R2" s="2783"/>
      <c r="S2" s="2789" t="s">
        <v>2583</v>
      </c>
      <c r="T2" s="2782" t="s">
        <v>2961</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5" customFormat="1" ht="14.25">
      <c r="A3" s="3177" t="s">
        <v>2973</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1.4517</v>
      </c>
      <c r="Y3" s="3171">
        <f>ROUND(SUMPRODUCT(PRODUCT(1+O3:O$21)),4)</f>
        <v>1.2928999999999999</v>
      </c>
      <c r="Z3" s="3171">
        <f t="shared" ref="Z3:Z19" si="0">Y3</f>
        <v>1.2928999999999999</v>
      </c>
      <c r="AA3" s="3171">
        <f>ROUND(SUMPRODUCT(PRODUCT(1+P3:P$21)),4)</f>
        <v>1.5068999999999999</v>
      </c>
      <c r="AB3" s="3171">
        <f>ROUND(SUMPRODUCT(PRODUCT(1+Q3:Q$21)),4)</f>
        <v>1.2557</v>
      </c>
      <c r="AD3" s="3172">
        <f>ROUND(AVERAGE(I3:I$22)/100,4)</f>
        <v>2.2800000000000001E-2</v>
      </c>
      <c r="AE3" s="3172">
        <f>ROUND(AVERAGE(J3:J$22)/100,4)</f>
        <v>1.5699999999999999E-2</v>
      </c>
      <c r="AF3" s="3172">
        <f t="shared" ref="AF3:AF20" si="1">AE3</f>
        <v>1.5699999999999999E-2</v>
      </c>
      <c r="AG3" s="3172">
        <f>ROUND(AVERAGE(K3:K$22)/100,4)</f>
        <v>2.5100000000000001E-2</v>
      </c>
      <c r="AH3" s="3172">
        <f>ROUND(AVERAGE(L3:L$22)/100,4)</f>
        <v>1.35E-2</v>
      </c>
    </row>
    <row r="4" spans="1:34" s="2774" customFormat="1" ht="14.25">
      <c r="B4" s="2775"/>
      <c r="C4" s="2775"/>
      <c r="D4" s="2776"/>
      <c r="E4" s="2776"/>
      <c r="F4" s="2775"/>
      <c r="G4" s="2780"/>
      <c r="H4" s="2777"/>
      <c r="I4" s="3158"/>
      <c r="J4" s="3158"/>
      <c r="K4" s="3158"/>
      <c r="L4" s="3158"/>
      <c r="N4" s="2780"/>
      <c r="O4" s="2778"/>
      <c r="P4" s="2778"/>
      <c r="Q4" s="2778"/>
      <c r="R4" s="2778"/>
      <c r="S4" s="2780"/>
      <c r="T4" s="2778"/>
      <c r="U4" s="2778"/>
      <c r="V4" s="2778"/>
      <c r="W4" s="3174"/>
      <c r="X4" s="2779"/>
      <c r="Y4" s="2779"/>
      <c r="Z4" s="2779"/>
      <c r="AA4" s="2779"/>
      <c r="AB4" s="2779"/>
      <c r="AD4" s="2699"/>
      <c r="AE4" s="2699"/>
      <c r="AF4" s="2699"/>
      <c r="AG4" s="2699"/>
      <c r="AH4" s="2699"/>
    </row>
    <row r="5" spans="1:34" s="3144" customFormat="1">
      <c r="A5" s="3142" t="s">
        <v>2980</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3">
        <v>2</v>
      </c>
      <c r="I5" s="3159">
        <v>0</v>
      </c>
      <c r="J5" s="3159">
        <v>0</v>
      </c>
      <c r="K5" s="3159">
        <v>0</v>
      </c>
      <c r="L5" s="3159">
        <v>0</v>
      </c>
      <c r="N5" s="2787">
        <f t="shared" ref="N5" si="6">I5/100</f>
        <v>0</v>
      </c>
      <c r="O5" s="2787">
        <f t="shared" ref="O5" si="7">J5/100</f>
        <v>0</v>
      </c>
      <c r="P5" s="2787">
        <f t="shared" ref="P5" si="8">K5/100</f>
        <v>0</v>
      </c>
      <c r="Q5" s="2787">
        <f t="shared" ref="Q5" si="9">L5/100</f>
        <v>0</v>
      </c>
      <c r="R5" s="3145"/>
      <c r="S5" s="3146"/>
      <c r="T5" s="3145"/>
      <c r="U5" s="3145"/>
      <c r="V5" s="3145"/>
      <c r="W5" s="3175" t="s">
        <v>2974</v>
      </c>
      <c r="X5" s="3147">
        <f>ROUND(SUMPRODUCT(PRODUCT(1+N5:N$21)),4)</f>
        <v>1.4517</v>
      </c>
      <c r="Y5" s="3147">
        <f>ROUND(SUMPRODUCT(PRODUCT(1+O5:O$21)),4)</f>
        <v>1.2928999999999999</v>
      </c>
      <c r="Z5" s="3147">
        <f t="shared" ref="Z5" si="10">Y5</f>
        <v>1.2928999999999999</v>
      </c>
      <c r="AA5" s="3147">
        <f>ROUND(SUMPRODUCT(PRODUCT(1+P5:P$21)),4)</f>
        <v>1.5068999999999999</v>
      </c>
      <c r="AB5" s="3147">
        <f>ROUND(SUMPRODUCT(PRODUCT(1+Q5:Q$21)),4)</f>
        <v>1.2557</v>
      </c>
      <c r="AD5" s="3148">
        <f>ROUND(AVERAGE(I5:I$22)/100,4)</f>
        <v>2.2700000000000001E-2</v>
      </c>
      <c r="AE5" s="3148">
        <f>ROUND(AVERAGE(J5:J$22)/100,4)</f>
        <v>1.5699999999999999E-2</v>
      </c>
      <c r="AF5" s="3148">
        <f t="shared" ref="AF5" si="11">AE5</f>
        <v>1.5699999999999999E-2</v>
      </c>
      <c r="AG5" s="3148">
        <f>ROUND(AVERAGE(K5:K$22)/100,4)</f>
        <v>2.5000000000000001E-2</v>
      </c>
      <c r="AH5" s="3148">
        <f>ROUND(AVERAGE(L5:L$22)/100,4)</f>
        <v>1.35E-2</v>
      </c>
    </row>
    <row r="6" spans="1:34" s="2786" customFormat="1" ht="13.5" thickBot="1">
      <c r="A6" s="2680" t="s">
        <v>2981</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4">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2971</v>
      </c>
      <c r="B7" s="3179">
        <v>439</v>
      </c>
      <c r="C7" s="3179">
        <v>327</v>
      </c>
      <c r="D7" s="3179">
        <f t="shared" si="13"/>
        <v>327</v>
      </c>
      <c r="E7" s="3179">
        <v>627</v>
      </c>
      <c r="F7" s="3180">
        <v>283</v>
      </c>
      <c r="G7" s="3162">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2975</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4"/>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3"/>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4"/>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3547">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3542"/>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3542"/>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3543"/>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3541">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3542"/>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3542"/>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3543"/>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3541">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3542"/>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3542"/>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3543"/>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3544">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3545"/>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3545"/>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3546"/>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3541">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3542"/>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3542"/>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3543"/>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3541">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3542">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3542">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3543">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3541">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3542">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3542">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3543">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3541">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3542">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3542">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3543">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3541">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3542">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3542">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3543">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3541">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3542">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3542">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3543">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3541">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3542">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3542">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3543">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3541">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3542">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3542">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3543">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3541">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3542">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3542">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3543">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3541">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3542">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3542">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3543">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3541">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3542">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3542">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3543">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6"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workbookViewId="0">
      <selection activeCell="L19" sqref="L19"/>
    </sheetView>
  </sheetViews>
  <sheetFormatPr defaultColWidth="11.25" defaultRowHeight="24.95" customHeight="1"/>
  <cols>
    <col min="1" max="1" width="7.25" style="3191" customWidth="1"/>
    <col min="2" max="2" width="13.5" style="3191" customWidth="1"/>
    <col min="3" max="3" width="12.75" style="3191" customWidth="1"/>
    <col min="4" max="4" width="12.5" style="3191" customWidth="1"/>
    <col min="5" max="5" width="11.25" style="3191"/>
    <col min="6" max="6" width="15.125" style="3191" customWidth="1"/>
    <col min="7" max="7" width="11.25" style="3191"/>
    <col min="8" max="16384" width="11.25" style="3197"/>
  </cols>
  <sheetData>
    <row r="1" spans="1:6" ht="24.95" customHeight="1">
      <c r="A1" s="3189" t="s">
        <v>3030</v>
      </c>
      <c r="B1" s="3189" t="s">
        <v>3031</v>
      </c>
      <c r="C1" s="3190" t="s">
        <v>3032</v>
      </c>
      <c r="D1" s="3190" t="s">
        <v>3033</v>
      </c>
      <c r="E1" s="3189" t="s">
        <v>3034</v>
      </c>
      <c r="F1" s="3190" t="s">
        <v>3035</v>
      </c>
    </row>
    <row r="2" spans="1:6" ht="24.95" customHeight="1">
      <c r="A2" s="3192">
        <v>1</v>
      </c>
      <c r="B2" s="3235" t="s">
        <v>3115</v>
      </c>
      <c r="C2" s="3193" t="s">
        <v>3036</v>
      </c>
      <c r="D2" s="3200">
        <f>(12+20)/2*(5+20)/2</f>
        <v>200</v>
      </c>
      <c r="E2" s="3192">
        <v>2</v>
      </c>
      <c r="F2" s="3192">
        <f>D2*E2</f>
        <v>400</v>
      </c>
    </row>
    <row r="3" spans="1:6" ht="24.95" customHeight="1">
      <c r="A3" s="3549">
        <v>2</v>
      </c>
      <c r="B3" s="3549" t="s">
        <v>3037</v>
      </c>
      <c r="C3" s="3193" t="s">
        <v>3036</v>
      </c>
      <c r="D3" s="3192">
        <f>(12+20)/2*(5+20)/2</f>
        <v>200</v>
      </c>
      <c r="E3" s="3192">
        <v>229</v>
      </c>
      <c r="F3" s="3200">
        <f t="shared" ref="F3:F43" si="0">D3*E3</f>
        <v>45800</v>
      </c>
    </row>
    <row r="4" spans="1:6" ht="24.95" customHeight="1">
      <c r="A4" s="3549"/>
      <c r="B4" s="3549"/>
      <c r="C4" s="3194" t="s">
        <v>3038</v>
      </c>
      <c r="D4" s="3192">
        <f>(32+48+100)/3*(25+35+45)/3</f>
        <v>2100</v>
      </c>
      <c r="E4" s="3192">
        <v>132</v>
      </c>
      <c r="F4" s="3200">
        <f t="shared" si="0"/>
        <v>277200</v>
      </c>
    </row>
    <row r="5" spans="1:6" ht="24.95" customHeight="1">
      <c r="A5" s="3549">
        <v>3</v>
      </c>
      <c r="B5" s="3549" t="s">
        <v>3039</v>
      </c>
      <c r="C5" s="3193" t="s">
        <v>3036</v>
      </c>
      <c r="D5" s="3192">
        <f>(28+52)/2*(5+20)/2</f>
        <v>500</v>
      </c>
      <c r="E5" s="3192">
        <v>11</v>
      </c>
      <c r="F5" s="3200">
        <f t="shared" si="0"/>
        <v>5500</v>
      </c>
    </row>
    <row r="6" spans="1:6" ht="24.95" customHeight="1">
      <c r="A6" s="3549"/>
      <c r="B6" s="3549"/>
      <c r="C6" s="3194" t="s">
        <v>3038</v>
      </c>
      <c r="D6" s="3192">
        <f>(76+104+150)/3*(25+35+45)/3</f>
        <v>3850</v>
      </c>
      <c r="E6" s="3192">
        <v>6</v>
      </c>
      <c r="F6" s="3200">
        <f t="shared" si="0"/>
        <v>23100</v>
      </c>
    </row>
    <row r="7" spans="1:6" ht="24.95" customHeight="1">
      <c r="A7" s="3549"/>
      <c r="B7" s="3549"/>
      <c r="C7" s="3195" t="s">
        <v>3040</v>
      </c>
      <c r="D7" s="3192">
        <f>150*50</f>
        <v>7500</v>
      </c>
      <c r="E7" s="3192">
        <v>1</v>
      </c>
      <c r="F7" s="3200">
        <f t="shared" si="0"/>
        <v>7500</v>
      </c>
    </row>
    <row r="8" spans="1:6" ht="24.95" customHeight="1">
      <c r="A8" s="3192">
        <v>4</v>
      </c>
      <c r="B8" s="3192" t="s">
        <v>3041</v>
      </c>
      <c r="C8" s="3193" t="s">
        <v>3036</v>
      </c>
      <c r="D8" s="3192">
        <f>(28+52)/2*(5+20)/2</f>
        <v>500</v>
      </c>
      <c r="E8" s="3192">
        <v>3</v>
      </c>
      <c r="F8" s="3200">
        <f t="shared" si="0"/>
        <v>1500</v>
      </c>
    </row>
    <row r="9" spans="1:6" ht="24.95" customHeight="1">
      <c r="A9" s="3549">
        <v>5</v>
      </c>
      <c r="B9" s="3549" t="s">
        <v>3042</v>
      </c>
      <c r="C9" s="3193" t="s">
        <v>3036</v>
      </c>
      <c r="D9" s="3192">
        <f>(12+20)/2*(5+20)/2</f>
        <v>200</v>
      </c>
      <c r="E9" s="3192">
        <v>22</v>
      </c>
      <c r="F9" s="3200">
        <f t="shared" si="0"/>
        <v>4400</v>
      </c>
    </row>
    <row r="10" spans="1:6" ht="24.95" customHeight="1">
      <c r="A10" s="3549"/>
      <c r="B10" s="3549"/>
      <c r="C10" s="3194" t="s">
        <v>3038</v>
      </c>
      <c r="D10" s="3192">
        <f>(32+48+100)/3*(25+35+45)/3</f>
        <v>2100</v>
      </c>
      <c r="E10" s="3192">
        <v>170</v>
      </c>
      <c r="F10" s="3200">
        <f t="shared" si="0"/>
        <v>357000</v>
      </c>
    </row>
    <row r="11" spans="1:6" ht="24.95" customHeight="1">
      <c r="A11" s="3549"/>
      <c r="B11" s="3549"/>
      <c r="C11" s="3195" t="s">
        <v>3040</v>
      </c>
      <c r="D11" s="3192">
        <f>100*50</f>
        <v>5000</v>
      </c>
      <c r="E11" s="3192">
        <v>4</v>
      </c>
      <c r="F11" s="3200">
        <f t="shared" si="0"/>
        <v>20000</v>
      </c>
    </row>
    <row r="12" spans="1:6" ht="24.95" customHeight="1">
      <c r="A12" s="3549">
        <v>6</v>
      </c>
      <c r="B12" s="3549" t="s">
        <v>3043</v>
      </c>
      <c r="C12" s="3193" t="s">
        <v>3036</v>
      </c>
      <c r="D12" s="3200">
        <f>ROUND((6+12)/2*(5+20)/2,0)</f>
        <v>113</v>
      </c>
      <c r="E12" s="3192">
        <v>1</v>
      </c>
      <c r="F12" s="3200">
        <f t="shared" si="0"/>
        <v>113</v>
      </c>
    </row>
    <row r="13" spans="1:6" ht="24.95" customHeight="1">
      <c r="A13" s="3549"/>
      <c r="B13" s="3549"/>
      <c r="C13" s="3194" t="s">
        <v>3038</v>
      </c>
      <c r="D13" s="3200">
        <f>(20+32+56)/3*(25+35+45)/3</f>
        <v>1260</v>
      </c>
      <c r="E13" s="3192">
        <v>78</v>
      </c>
      <c r="F13" s="3200">
        <f t="shared" si="0"/>
        <v>98280</v>
      </c>
    </row>
    <row r="14" spans="1:6" ht="24.95" customHeight="1">
      <c r="A14" s="3549"/>
      <c r="B14" s="3549"/>
      <c r="C14" s="3195" t="s">
        <v>3040</v>
      </c>
      <c r="D14" s="3200">
        <f>56*50</f>
        <v>2800</v>
      </c>
      <c r="E14" s="3192">
        <v>38</v>
      </c>
      <c r="F14" s="3200">
        <f t="shared" si="0"/>
        <v>106400</v>
      </c>
    </row>
    <row r="15" spans="1:6" ht="24.95" customHeight="1">
      <c r="A15" s="3192">
        <v>7</v>
      </c>
      <c r="B15" s="3192" t="s">
        <v>3044</v>
      </c>
      <c r="C15" s="3193" t="s">
        <v>3036</v>
      </c>
      <c r="D15" s="3200">
        <f>(12+20)/2*(5+20)/2</f>
        <v>200</v>
      </c>
      <c r="E15" s="3192">
        <v>94</v>
      </c>
      <c r="F15" s="3200">
        <f t="shared" si="0"/>
        <v>18800</v>
      </c>
    </row>
    <row r="16" spans="1:6" ht="24.95" customHeight="1">
      <c r="A16" s="3549">
        <v>8</v>
      </c>
      <c r="B16" s="3549" t="s">
        <v>3045</v>
      </c>
      <c r="C16" s="3193" t="s">
        <v>3036</v>
      </c>
      <c r="D16" s="3200">
        <f>(12+20)/2*(5+20)/2</f>
        <v>200</v>
      </c>
      <c r="E16" s="3192">
        <v>6</v>
      </c>
      <c r="F16" s="3200">
        <f t="shared" si="0"/>
        <v>1200</v>
      </c>
    </row>
    <row r="17" spans="1:6" ht="24.95" customHeight="1">
      <c r="A17" s="3549"/>
      <c r="B17" s="3549"/>
      <c r="C17" s="3194" t="s">
        <v>3038</v>
      </c>
      <c r="D17" s="3200">
        <f>(32+48+100)/3*(25+35+45)/3</f>
        <v>2100</v>
      </c>
      <c r="E17" s="3192">
        <v>1</v>
      </c>
      <c r="F17" s="3200">
        <f t="shared" si="0"/>
        <v>2100</v>
      </c>
    </row>
    <row r="18" spans="1:6" ht="24.95" customHeight="1">
      <c r="A18" s="3549"/>
      <c r="B18" s="3549"/>
      <c r="C18" s="3195" t="s">
        <v>3040</v>
      </c>
      <c r="D18" s="3200">
        <f>100*50</f>
        <v>5000</v>
      </c>
      <c r="E18" s="3192">
        <v>1</v>
      </c>
      <c r="F18" s="3200">
        <f t="shared" si="0"/>
        <v>5000</v>
      </c>
    </row>
    <row r="19" spans="1:6" ht="24.95" customHeight="1">
      <c r="A19" s="3192">
        <v>9</v>
      </c>
      <c r="B19" s="3192" t="s">
        <v>3046</v>
      </c>
      <c r="C19" s="3193" t="s">
        <v>3036</v>
      </c>
      <c r="D19" s="3200">
        <f>(28+52)/2*(5+20)/2</f>
        <v>500</v>
      </c>
      <c r="E19" s="3192">
        <v>15</v>
      </c>
      <c r="F19" s="3200">
        <f t="shared" si="0"/>
        <v>7500</v>
      </c>
    </row>
    <row r="20" spans="1:6" ht="24.95" customHeight="1">
      <c r="A20" s="3549">
        <v>10</v>
      </c>
      <c r="B20" s="3549" t="s">
        <v>3047</v>
      </c>
      <c r="C20" s="3193" t="s">
        <v>3036</v>
      </c>
      <c r="D20" s="3200">
        <f>(28+52)/2*(5+20)/2</f>
        <v>500</v>
      </c>
      <c r="E20" s="3192">
        <v>11</v>
      </c>
      <c r="F20" s="3200">
        <f t="shared" si="0"/>
        <v>5500</v>
      </c>
    </row>
    <row r="21" spans="1:6" ht="24.95" customHeight="1">
      <c r="A21" s="3549"/>
      <c r="B21" s="3549"/>
      <c r="C21" s="3194" t="s">
        <v>3038</v>
      </c>
      <c r="D21" s="3200">
        <f>(76+104+150)/3*(25+35+45)/3</f>
        <v>3850</v>
      </c>
      <c r="E21" s="3192">
        <v>2</v>
      </c>
      <c r="F21" s="3200">
        <f t="shared" si="0"/>
        <v>7700</v>
      </c>
    </row>
    <row r="22" spans="1:6" ht="24.95" customHeight="1">
      <c r="A22" s="3549">
        <v>11</v>
      </c>
      <c r="B22" s="3549" t="s">
        <v>3048</v>
      </c>
      <c r="C22" s="3193" t="s">
        <v>3036</v>
      </c>
      <c r="D22" s="3200">
        <f>(12+20)/2*(5+20)/2</f>
        <v>200</v>
      </c>
      <c r="E22" s="3192">
        <v>66</v>
      </c>
      <c r="F22" s="3200">
        <f t="shared" si="0"/>
        <v>13200</v>
      </c>
    </row>
    <row r="23" spans="1:6" ht="24.95" customHeight="1">
      <c r="A23" s="3549"/>
      <c r="B23" s="3549"/>
      <c r="C23" s="3194" t="s">
        <v>3038</v>
      </c>
      <c r="D23" s="3200">
        <f>(32+48+100)/3*(25+35+45)/3</f>
        <v>2100</v>
      </c>
      <c r="E23" s="3192">
        <v>13</v>
      </c>
      <c r="F23" s="3200">
        <f t="shared" si="0"/>
        <v>27300</v>
      </c>
    </row>
    <row r="24" spans="1:6" ht="24.95" customHeight="1">
      <c r="A24" s="3549">
        <v>12</v>
      </c>
      <c r="B24" s="3549" t="s">
        <v>3049</v>
      </c>
      <c r="C24" s="3193" t="s">
        <v>3036</v>
      </c>
      <c r="D24" s="3200">
        <f>(28+52)/2*(5+20)/2</f>
        <v>500</v>
      </c>
      <c r="E24" s="3192">
        <v>3</v>
      </c>
      <c r="F24" s="3200">
        <f t="shared" si="0"/>
        <v>1500</v>
      </c>
    </row>
    <row r="25" spans="1:6" ht="24.95" customHeight="1">
      <c r="A25" s="3549"/>
      <c r="B25" s="3549"/>
      <c r="C25" s="3194" t="s">
        <v>3038</v>
      </c>
      <c r="D25" s="3200">
        <f>(76+104+150)/3*(25+35+45)/3</f>
        <v>3850</v>
      </c>
      <c r="E25" s="3192">
        <v>1</v>
      </c>
      <c r="F25" s="3200">
        <f t="shared" si="0"/>
        <v>3850</v>
      </c>
    </row>
    <row r="26" spans="1:6" ht="24.95" customHeight="1">
      <c r="A26" s="3549">
        <v>13</v>
      </c>
      <c r="B26" s="3549" t="s">
        <v>3050</v>
      </c>
      <c r="C26" s="3193" t="s">
        <v>3036</v>
      </c>
      <c r="D26" s="3200">
        <f>(12+20)/2*(5+20)/2</f>
        <v>200</v>
      </c>
      <c r="E26" s="3192">
        <v>2</v>
      </c>
      <c r="F26" s="3200">
        <f t="shared" si="0"/>
        <v>400</v>
      </c>
    </row>
    <row r="27" spans="1:6" ht="24.95" customHeight="1">
      <c r="A27" s="3549"/>
      <c r="B27" s="3549"/>
      <c r="C27" s="3194" t="s">
        <v>3038</v>
      </c>
      <c r="D27" s="3200">
        <f>(32+48+100)/3*(25+35+45)/3</f>
        <v>2100</v>
      </c>
      <c r="E27" s="3192">
        <v>49</v>
      </c>
      <c r="F27" s="3200">
        <f t="shared" si="0"/>
        <v>102900</v>
      </c>
    </row>
    <row r="28" spans="1:6" ht="24.95" customHeight="1">
      <c r="A28" s="3549"/>
      <c r="B28" s="3549"/>
      <c r="C28" s="3195" t="s">
        <v>3040</v>
      </c>
      <c r="D28" s="3200">
        <f>100*50</f>
        <v>5000</v>
      </c>
      <c r="E28" s="3192">
        <v>35</v>
      </c>
      <c r="F28" s="3200">
        <f t="shared" si="0"/>
        <v>175000</v>
      </c>
    </row>
    <row r="29" spans="1:6" ht="24.95" customHeight="1">
      <c r="A29" s="3192">
        <v>14</v>
      </c>
      <c r="B29" s="3192" t="s">
        <v>3051</v>
      </c>
      <c r="C29" s="3194" t="s">
        <v>3038</v>
      </c>
      <c r="D29" s="3200">
        <f>(84+144+240)/2*(5+20)/2</f>
        <v>2925</v>
      </c>
      <c r="E29" s="3192">
        <v>8</v>
      </c>
      <c r="F29" s="3200">
        <f t="shared" si="0"/>
        <v>23400</v>
      </c>
    </row>
    <row r="30" spans="1:6" ht="24.95" customHeight="1">
      <c r="A30" s="3192">
        <v>15</v>
      </c>
      <c r="B30" s="3192" t="s">
        <v>3052</v>
      </c>
      <c r="C30" s="3196" t="s">
        <v>3053</v>
      </c>
      <c r="D30" s="3192">
        <v>0</v>
      </c>
      <c r="E30" s="3192">
        <v>4</v>
      </c>
      <c r="F30" s="3200">
        <f t="shared" si="0"/>
        <v>0</v>
      </c>
    </row>
    <row r="31" spans="1:6" ht="24.95" customHeight="1">
      <c r="A31" s="3549">
        <v>16</v>
      </c>
      <c r="B31" s="3549" t="s">
        <v>3054</v>
      </c>
      <c r="C31" s="3196" t="s">
        <v>3055</v>
      </c>
      <c r="D31" s="3234">
        <v>150</v>
      </c>
      <c r="E31" s="3192">
        <v>11</v>
      </c>
      <c r="F31" s="3200">
        <f t="shared" si="0"/>
        <v>1650</v>
      </c>
    </row>
    <row r="32" spans="1:6" ht="24.95" customHeight="1">
      <c r="A32" s="3549"/>
      <c r="B32" s="3549"/>
      <c r="C32" s="3196" t="s">
        <v>3056</v>
      </c>
      <c r="D32" s="3234">
        <v>150</v>
      </c>
      <c r="E32" s="3192">
        <v>100</v>
      </c>
      <c r="F32" s="3200">
        <f t="shared" si="0"/>
        <v>15000</v>
      </c>
    </row>
    <row r="33" spans="1:6" ht="24.95" customHeight="1">
      <c r="A33" s="3549">
        <v>17</v>
      </c>
      <c r="B33" s="3549" t="s">
        <v>3057</v>
      </c>
      <c r="C33" s="3193" t="s">
        <v>3036</v>
      </c>
      <c r="D33" s="3200">
        <f>ROUND((6+12)/2*(5+20)/2,0)</f>
        <v>113</v>
      </c>
      <c r="E33" s="3192">
        <v>3</v>
      </c>
      <c r="F33" s="3200">
        <f t="shared" si="0"/>
        <v>339</v>
      </c>
    </row>
    <row r="34" spans="1:6" ht="24.95" customHeight="1">
      <c r="A34" s="3549"/>
      <c r="B34" s="3549"/>
      <c r="C34" s="3194" t="s">
        <v>3038</v>
      </c>
      <c r="D34" s="3200">
        <f>(20+32+56)/3*(25+35+45)/3</f>
        <v>1260</v>
      </c>
      <c r="E34" s="3192">
        <v>185</v>
      </c>
      <c r="F34" s="3200">
        <f t="shared" si="0"/>
        <v>233100</v>
      </c>
    </row>
    <row r="35" spans="1:6" ht="24.95" customHeight="1">
      <c r="A35" s="3549"/>
      <c r="B35" s="3549"/>
      <c r="C35" s="3195" t="s">
        <v>3040</v>
      </c>
      <c r="D35" s="3200">
        <f>56*50</f>
        <v>2800</v>
      </c>
      <c r="E35" s="3192">
        <v>62</v>
      </c>
      <c r="F35" s="3200">
        <f t="shared" si="0"/>
        <v>173600</v>
      </c>
    </row>
    <row r="36" spans="1:6" ht="24.95" customHeight="1">
      <c r="A36" s="3549">
        <v>18</v>
      </c>
      <c r="B36" s="3549" t="s">
        <v>3058</v>
      </c>
      <c r="C36" s="3193" t="s">
        <v>3036</v>
      </c>
      <c r="D36" s="3200">
        <f>(28+52)/2*(5+20)/2</f>
        <v>500</v>
      </c>
      <c r="E36" s="3192">
        <v>52</v>
      </c>
      <c r="F36" s="3200">
        <f t="shared" si="0"/>
        <v>26000</v>
      </c>
    </row>
    <row r="37" spans="1:6" ht="24.95" customHeight="1">
      <c r="A37" s="3549"/>
      <c r="B37" s="3549"/>
      <c r="C37" s="3194" t="s">
        <v>3038</v>
      </c>
      <c r="D37" s="3200">
        <f>(76+104+150)/3*(25+35+45)/3</f>
        <v>3850</v>
      </c>
      <c r="E37" s="3192">
        <v>10</v>
      </c>
      <c r="F37" s="3200">
        <f t="shared" si="0"/>
        <v>38500</v>
      </c>
    </row>
    <row r="38" spans="1:6" ht="24.95" customHeight="1">
      <c r="A38" s="3549">
        <v>19</v>
      </c>
      <c r="B38" s="3549" t="s">
        <v>3059</v>
      </c>
      <c r="C38" s="3193" t="s">
        <v>3036</v>
      </c>
      <c r="D38" s="3200">
        <f>(12+20)/2*(5+20)/2</f>
        <v>200</v>
      </c>
      <c r="E38" s="3192">
        <v>90</v>
      </c>
      <c r="F38" s="3200">
        <f t="shared" si="0"/>
        <v>18000</v>
      </c>
    </row>
    <row r="39" spans="1:6" ht="24.95" customHeight="1">
      <c r="A39" s="3549"/>
      <c r="B39" s="3549"/>
      <c r="C39" s="3194" t="s">
        <v>3038</v>
      </c>
      <c r="D39" s="3200">
        <f>(32+48+100)/3*(25+35+45)/3</f>
        <v>2100</v>
      </c>
      <c r="E39" s="3192">
        <v>79</v>
      </c>
      <c r="F39" s="3200">
        <f t="shared" si="0"/>
        <v>165900</v>
      </c>
    </row>
    <row r="40" spans="1:6" ht="24.95" customHeight="1">
      <c r="A40" s="3549"/>
      <c r="B40" s="3549"/>
      <c r="C40" s="3195" t="s">
        <v>3040</v>
      </c>
      <c r="D40" s="3200">
        <f>100*50</f>
        <v>5000</v>
      </c>
      <c r="E40" s="3192">
        <v>18</v>
      </c>
      <c r="F40" s="3200">
        <f t="shared" si="0"/>
        <v>90000</v>
      </c>
    </row>
    <row r="41" spans="1:6" ht="24.95" customHeight="1">
      <c r="A41" s="3549">
        <v>20</v>
      </c>
      <c r="B41" s="3549" t="s">
        <v>3060</v>
      </c>
      <c r="C41" s="3193" t="s">
        <v>3036</v>
      </c>
      <c r="D41" s="3200">
        <f>(20+44)/2*(5+20)/2</f>
        <v>400</v>
      </c>
      <c r="E41" s="3192">
        <v>8</v>
      </c>
      <c r="F41" s="3200">
        <f t="shared" si="0"/>
        <v>3200</v>
      </c>
    </row>
    <row r="42" spans="1:6" ht="24.95" customHeight="1">
      <c r="A42" s="3549"/>
      <c r="B42" s="3549"/>
      <c r="C42" s="3194" t="s">
        <v>3038</v>
      </c>
      <c r="D42" s="3200">
        <f>D29</f>
        <v>2925</v>
      </c>
      <c r="E42" s="3192">
        <v>3</v>
      </c>
      <c r="F42" s="3200">
        <f t="shared" si="0"/>
        <v>8775</v>
      </c>
    </row>
    <row r="43" spans="1:6" ht="24.95" customHeight="1">
      <c r="A43" s="3192">
        <v>21</v>
      </c>
      <c r="B43" s="3192" t="s">
        <v>3061</v>
      </c>
      <c r="C43" s="3194" t="s">
        <v>3038</v>
      </c>
      <c r="D43" s="3200">
        <f>D29</f>
        <v>2925</v>
      </c>
      <c r="E43" s="3192">
        <v>2</v>
      </c>
      <c r="F43" s="3200">
        <f t="shared" si="0"/>
        <v>5850</v>
      </c>
    </row>
    <row r="44" spans="1:6" ht="24.95" customHeight="1">
      <c r="A44" s="3548" t="s">
        <v>3114</v>
      </c>
      <c r="B44" s="3548"/>
      <c r="C44" s="3548"/>
      <c r="D44" s="3548"/>
      <c r="E44" s="3548"/>
      <c r="F44" s="3234">
        <f>ROUND(SUM(F2:F43)/10000,2)</f>
        <v>212.25</v>
      </c>
    </row>
  </sheetData>
  <autoFilter ref="A1:G43"/>
  <mergeCells count="29">
    <mergeCell ref="A41:A42"/>
    <mergeCell ref="B41:B42"/>
    <mergeCell ref="A31:A32"/>
    <mergeCell ref="B31:B32"/>
    <mergeCell ref="A33:A35"/>
    <mergeCell ref="B33:B35"/>
    <mergeCell ref="A36:A37"/>
    <mergeCell ref="B36:B37"/>
    <mergeCell ref="B24:B25"/>
    <mergeCell ref="A26:A28"/>
    <mergeCell ref="B26:B28"/>
    <mergeCell ref="A38:A40"/>
    <mergeCell ref="B38:B40"/>
    <mergeCell ref="A44:E44"/>
    <mergeCell ref="A3:A4"/>
    <mergeCell ref="B3:B4"/>
    <mergeCell ref="A5:A7"/>
    <mergeCell ref="B5:B7"/>
    <mergeCell ref="A9:A11"/>
    <mergeCell ref="B9:B11"/>
    <mergeCell ref="A12:A14"/>
    <mergeCell ref="B12:B14"/>
    <mergeCell ref="A16:A18"/>
    <mergeCell ref="B16:B18"/>
    <mergeCell ref="A20:A21"/>
    <mergeCell ref="B20:B21"/>
    <mergeCell ref="A22:A23"/>
    <mergeCell ref="B22:B23"/>
    <mergeCell ref="A24:A25"/>
  </mergeCells>
  <phoneticPr fontId="23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C3" sqref="C3"/>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2790</v>
      </c>
      <c r="C1" s="3029">
        <f>项目基本情况!D3</f>
        <v>43222</v>
      </c>
      <c r="H1" s="2963">
        <f>IF(C1&gt;C13,0,MATCH(C1,C$13:C$100,-1))+IF(SUMIF(C13:C100,C1,D13:D100)=0,13,12)</f>
        <v>13</v>
      </c>
      <c r="I1" s="2963">
        <f>MATCH(C2,H3:H7,1)+IF(SUMIF(H3:H7,C2,I3:I7)=0,2,1)</f>
        <v>5</v>
      </c>
      <c r="J1" s="3022">
        <f ca="1">MATCH(C3,H3:H7,1)+IF(SUMIF(H3:H7,C3,J3:J7)=0,2,1)</f>
        <v>4</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2821</v>
      </c>
      <c r="C2" s="3030">
        <f>'数据-取费表'!B22</f>
        <v>2</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1</v>
      </c>
      <c r="D3" s="3025" t="s">
        <v>2791</v>
      </c>
      <c r="E3" s="3028">
        <f ca="1">INDIRECT("J"&amp;$J$1)/100</f>
        <v>4.3499999999999997E-2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D3" sqref="D3:E3"/>
    </sheetView>
  </sheetViews>
  <sheetFormatPr defaultRowHeight="13.5"/>
  <cols>
    <col min="3" max="3" width="13.375" customWidth="1"/>
  </cols>
  <sheetData>
    <row r="2" spans="2:5" ht="27" customHeight="1">
      <c r="B2" s="3553" t="s">
        <v>3141</v>
      </c>
      <c r="C2" s="3553"/>
      <c r="D2" s="3553"/>
      <c r="E2" s="3553"/>
    </row>
    <row r="3" spans="2:5">
      <c r="B3" s="3460" t="s">
        <v>3142</v>
      </c>
      <c r="C3" s="3460"/>
      <c r="D3" s="3554">
        <f>'数据-汇总表'!E3</f>
        <v>60473.499999999985</v>
      </c>
      <c r="E3" s="3554"/>
    </row>
    <row r="4" spans="2:5">
      <c r="B4" s="3460" t="s">
        <v>3143</v>
      </c>
      <c r="C4" s="3460"/>
      <c r="D4" s="3554">
        <v>50</v>
      </c>
      <c r="E4" s="3554"/>
    </row>
    <row r="5" spans="2:5">
      <c r="B5" s="3551" t="s">
        <v>3144</v>
      </c>
      <c r="C5" s="3552"/>
      <c r="D5" s="3550">
        <f>ROUND(D3*D4/10000,2)</f>
        <v>302.37</v>
      </c>
      <c r="E5" s="3550"/>
    </row>
  </sheetData>
  <mergeCells count="7">
    <mergeCell ref="D5:E5"/>
    <mergeCell ref="B5:C5"/>
    <mergeCell ref="B2:E2"/>
    <mergeCell ref="B3:C3"/>
    <mergeCell ref="B4:C4"/>
    <mergeCell ref="D3:E3"/>
    <mergeCell ref="D4:E4"/>
  </mergeCells>
  <phoneticPr fontId="2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1"/>
  <sheetViews>
    <sheetView tabSelected="1" topLeftCell="A41" zoomScaleNormal="100" workbookViewId="0">
      <selection activeCell="F89" sqref="F89"/>
    </sheetView>
  </sheetViews>
  <sheetFormatPr defaultRowHeight="22.5" customHeight="1"/>
  <cols>
    <col min="1" max="1" width="14.875" style="3198" customWidth="1"/>
    <col min="2" max="3" width="9" style="3198"/>
    <col min="4" max="4" width="9" style="3199"/>
    <col min="5" max="5" width="9" style="3198"/>
    <col min="6" max="6" width="9.5" style="3198" bestFit="1" customWidth="1"/>
    <col min="7" max="16384" width="9" style="3198"/>
  </cols>
  <sheetData>
    <row r="1" spans="1:19" ht="22.5" customHeight="1">
      <c r="A1" s="3555" t="s">
        <v>3068</v>
      </c>
      <c r="B1" s="3555" t="s">
        <v>3069</v>
      </c>
      <c r="C1" s="3555" t="s">
        <v>3067</v>
      </c>
      <c r="D1" s="3562" t="s">
        <v>3070</v>
      </c>
      <c r="E1" s="3555" t="s">
        <v>3078</v>
      </c>
      <c r="F1" s="3555" t="s">
        <v>3071</v>
      </c>
      <c r="G1" s="3555" t="s">
        <v>3079</v>
      </c>
      <c r="H1" s="3555" t="s">
        <v>3080</v>
      </c>
      <c r="I1" s="3555" t="s">
        <v>3081</v>
      </c>
      <c r="J1" s="3555" t="s">
        <v>3082</v>
      </c>
      <c r="K1" s="3555" t="s">
        <v>3083</v>
      </c>
      <c r="L1" s="3555" t="s">
        <v>3084</v>
      </c>
      <c r="M1" s="3555" t="s">
        <v>3085</v>
      </c>
      <c r="N1" s="3555" t="s">
        <v>3086</v>
      </c>
      <c r="O1" s="3555" t="s">
        <v>3087</v>
      </c>
      <c r="P1" s="3557" t="s">
        <v>3113</v>
      </c>
      <c r="Q1" s="3555" t="s">
        <v>3072</v>
      </c>
    </row>
    <row r="2" spans="1:19" ht="22.5" customHeight="1" thickBot="1">
      <c r="A2" s="3556"/>
      <c r="B2" s="3556"/>
      <c r="C2" s="3556"/>
      <c r="D2" s="3563"/>
      <c r="E2" s="3556"/>
      <c r="F2" s="3556"/>
      <c r="G2" s="3556"/>
      <c r="H2" s="3556"/>
      <c r="I2" s="3556"/>
      <c r="J2" s="3556"/>
      <c r="K2" s="3556"/>
      <c r="L2" s="3556"/>
      <c r="M2" s="3556"/>
      <c r="N2" s="3556"/>
      <c r="O2" s="3556"/>
      <c r="P2" s="3556"/>
      <c r="Q2" s="3556"/>
      <c r="S2" s="3201" t="s">
        <v>3088</v>
      </c>
    </row>
    <row r="3" spans="1:19" ht="22.5" customHeight="1" thickTop="1">
      <c r="A3" s="3227" t="s">
        <v>3089</v>
      </c>
      <c r="B3" s="3228">
        <v>1</v>
      </c>
      <c r="C3" s="3228" t="s">
        <v>3073</v>
      </c>
      <c r="D3" s="3229" t="s">
        <v>3062</v>
      </c>
      <c r="E3" s="3228">
        <v>1986</v>
      </c>
      <c r="F3" s="3230">
        <v>2680.4</v>
      </c>
      <c r="G3" s="3231">
        <v>1720</v>
      </c>
      <c r="H3" s="3230">
        <f>G3*15/100</f>
        <v>258</v>
      </c>
      <c r="I3" s="3230">
        <f>G3+H3</f>
        <v>1978</v>
      </c>
      <c r="J3" s="3230">
        <f>I3*3/100</f>
        <v>59.34</v>
      </c>
      <c r="K3" s="3230">
        <f>ROUND((I3+J3)*2/100,2)</f>
        <v>40.75</v>
      </c>
      <c r="L3" s="3230">
        <f>ROUND((I3+J3+K3)*((1+0.0435)^(1/2)-1),2)</f>
        <v>44.72</v>
      </c>
      <c r="M3" s="3230">
        <f>ROUND((S3*15/100),2)</f>
        <v>311.70999999999998</v>
      </c>
      <c r="N3" s="3230">
        <f>I3+J3+K3+L3+M3</f>
        <v>2434.52</v>
      </c>
      <c r="O3" s="3232">
        <v>0.65</v>
      </c>
      <c r="P3" s="3230">
        <f>ROUND(N3*O3,2)</f>
        <v>1582.44</v>
      </c>
      <c r="Q3" s="3233">
        <f>ROUND(P3*F3/10000,2)</f>
        <v>424.16</v>
      </c>
      <c r="S3">
        <f>I3+J3+K3</f>
        <v>2078.09</v>
      </c>
    </row>
    <row r="4" spans="1:19" ht="22.5" customHeight="1">
      <c r="A4" s="3216" t="s">
        <v>3090</v>
      </c>
      <c r="B4" s="3206">
        <v>2</v>
      </c>
      <c r="C4" s="3206" t="s">
        <v>3073</v>
      </c>
      <c r="D4" s="3207" t="s">
        <v>3063</v>
      </c>
      <c r="E4" s="3206">
        <v>1988</v>
      </c>
      <c r="F4" s="3208">
        <v>1268.0999999999999</v>
      </c>
      <c r="G4" s="3206">
        <v>1200</v>
      </c>
      <c r="H4" s="3208">
        <f t="shared" ref="H4:H42" si="0">G4*15/100</f>
        <v>180</v>
      </c>
      <c r="I4" s="3208">
        <f t="shared" ref="I4:I42" si="1">G4+H4</f>
        <v>1380</v>
      </c>
      <c r="J4" s="3208">
        <f t="shared" ref="J4:J42" si="2">I4*3/100</f>
        <v>41.4</v>
      </c>
      <c r="K4" s="3208">
        <f t="shared" ref="K4:K42" si="3">ROUND((I4+J4)*2/100,2)</f>
        <v>28.43</v>
      </c>
      <c r="L4" s="3208">
        <f t="shared" ref="L4:L42" si="4">ROUND((I4+J4+K4)*((1+0.0435)^(1/2)-1),2)</f>
        <v>31.2</v>
      </c>
      <c r="M4" s="3208">
        <f t="shared" ref="M4:M42" si="5">ROUND((S4*15/100),2)</f>
        <v>217.47</v>
      </c>
      <c r="N4" s="3208">
        <f t="shared" ref="N4:N42" si="6">I4+J4+K4+L4+M4</f>
        <v>1698.5000000000002</v>
      </c>
      <c r="O4" s="3209">
        <v>0.65</v>
      </c>
      <c r="P4" s="3208">
        <f t="shared" ref="P4:P42" si="7">ROUND(N4*O4,2)</f>
        <v>1104.03</v>
      </c>
      <c r="Q4" s="3217">
        <f t="shared" ref="Q4:Q42" si="8">ROUND(P4*F4/10000,2)</f>
        <v>140</v>
      </c>
      <c r="S4">
        <f t="shared" ref="S4:S42" si="9">I4+J4+K4</f>
        <v>1449.8300000000002</v>
      </c>
    </row>
    <row r="5" spans="1:19" ht="22.5" customHeight="1">
      <c r="A5" s="3214" t="s">
        <v>3091</v>
      </c>
      <c r="B5" s="3202">
        <v>3</v>
      </c>
      <c r="C5" s="3202" t="s">
        <v>3073</v>
      </c>
      <c r="D5" s="3203" t="s">
        <v>3063</v>
      </c>
      <c r="E5" s="3202">
        <v>1988</v>
      </c>
      <c r="F5" s="3204">
        <v>399.6</v>
      </c>
      <c r="G5" s="3202">
        <v>1200</v>
      </c>
      <c r="H5" s="3204">
        <f t="shared" si="0"/>
        <v>180</v>
      </c>
      <c r="I5" s="3204">
        <f t="shared" si="1"/>
        <v>1380</v>
      </c>
      <c r="J5" s="3204">
        <f t="shared" si="2"/>
        <v>41.4</v>
      </c>
      <c r="K5" s="3204">
        <f t="shared" si="3"/>
        <v>28.43</v>
      </c>
      <c r="L5" s="3204">
        <f t="shared" si="4"/>
        <v>31.2</v>
      </c>
      <c r="M5" s="3204">
        <f t="shared" si="5"/>
        <v>217.47</v>
      </c>
      <c r="N5" s="3204">
        <f t="shared" si="6"/>
        <v>1698.5000000000002</v>
      </c>
      <c r="O5" s="3205">
        <v>0.65</v>
      </c>
      <c r="P5" s="3204">
        <f t="shared" si="7"/>
        <v>1104.03</v>
      </c>
      <c r="Q5" s="3215">
        <f t="shared" si="8"/>
        <v>44.12</v>
      </c>
      <c r="S5">
        <f t="shared" si="9"/>
        <v>1449.8300000000002</v>
      </c>
    </row>
    <row r="6" spans="1:19" ht="22.5" customHeight="1">
      <c r="A6" s="3216" t="s">
        <v>3092</v>
      </c>
      <c r="B6" s="3206">
        <v>4</v>
      </c>
      <c r="C6" s="3206" t="s">
        <v>3073</v>
      </c>
      <c r="D6" s="3207" t="s">
        <v>3064</v>
      </c>
      <c r="E6" s="3206">
        <v>1979</v>
      </c>
      <c r="F6" s="3208">
        <v>4101</v>
      </c>
      <c r="G6" s="3206">
        <v>1560</v>
      </c>
      <c r="H6" s="3208">
        <f t="shared" si="0"/>
        <v>234</v>
      </c>
      <c r="I6" s="3208">
        <f t="shared" si="1"/>
        <v>1794</v>
      </c>
      <c r="J6" s="3208">
        <f t="shared" si="2"/>
        <v>53.82</v>
      </c>
      <c r="K6" s="3208">
        <f t="shared" si="3"/>
        <v>36.96</v>
      </c>
      <c r="L6" s="3208">
        <f t="shared" si="4"/>
        <v>40.56</v>
      </c>
      <c r="M6" s="3208">
        <f t="shared" si="5"/>
        <v>282.72000000000003</v>
      </c>
      <c r="N6" s="3208">
        <f t="shared" si="6"/>
        <v>2208.06</v>
      </c>
      <c r="O6" s="3209">
        <v>0.6</v>
      </c>
      <c r="P6" s="3208">
        <f t="shared" si="7"/>
        <v>1324.84</v>
      </c>
      <c r="Q6" s="3217">
        <f t="shared" si="8"/>
        <v>543.32000000000005</v>
      </c>
      <c r="S6">
        <f t="shared" si="9"/>
        <v>1884.78</v>
      </c>
    </row>
    <row r="7" spans="1:19" ht="22.5" customHeight="1">
      <c r="A7" s="3214" t="s">
        <v>3093</v>
      </c>
      <c r="B7" s="3202">
        <v>5</v>
      </c>
      <c r="C7" s="3202" t="s">
        <v>3073</v>
      </c>
      <c r="D7" s="3203" t="s">
        <v>3074</v>
      </c>
      <c r="E7" s="3202">
        <v>1979</v>
      </c>
      <c r="F7" s="3204">
        <v>13.2</v>
      </c>
      <c r="G7" s="3202">
        <v>1000</v>
      </c>
      <c r="H7" s="3204">
        <f t="shared" si="0"/>
        <v>150</v>
      </c>
      <c r="I7" s="3204">
        <f t="shared" si="1"/>
        <v>1150</v>
      </c>
      <c r="J7" s="3204">
        <f t="shared" si="2"/>
        <v>34.5</v>
      </c>
      <c r="K7" s="3204">
        <f t="shared" si="3"/>
        <v>23.69</v>
      </c>
      <c r="L7" s="3204">
        <f t="shared" si="4"/>
        <v>26</v>
      </c>
      <c r="M7" s="3204">
        <f t="shared" si="5"/>
        <v>181.23</v>
      </c>
      <c r="N7" s="3204">
        <f t="shared" si="6"/>
        <v>1415.42</v>
      </c>
      <c r="O7" s="3205">
        <v>0.6</v>
      </c>
      <c r="P7" s="3204">
        <f t="shared" si="7"/>
        <v>849.25</v>
      </c>
      <c r="Q7" s="3215">
        <f t="shared" si="8"/>
        <v>1.1200000000000001</v>
      </c>
      <c r="S7">
        <f t="shared" si="9"/>
        <v>1208.19</v>
      </c>
    </row>
    <row r="8" spans="1:19" ht="22.5" customHeight="1">
      <c r="A8" s="3564" t="s">
        <v>3094</v>
      </c>
      <c r="B8" s="3206">
        <v>6</v>
      </c>
      <c r="C8" s="3206" t="s">
        <v>3075</v>
      </c>
      <c r="D8" s="3207" t="s">
        <v>3074</v>
      </c>
      <c r="E8" s="3206">
        <v>1979</v>
      </c>
      <c r="F8" s="3208">
        <v>65.099999999999994</v>
      </c>
      <c r="G8" s="3206">
        <v>800</v>
      </c>
      <c r="H8" s="3208">
        <f t="shared" si="0"/>
        <v>120</v>
      </c>
      <c r="I8" s="3208">
        <f t="shared" si="1"/>
        <v>920</v>
      </c>
      <c r="J8" s="3208">
        <f t="shared" si="2"/>
        <v>27.6</v>
      </c>
      <c r="K8" s="3208">
        <f t="shared" si="3"/>
        <v>18.95</v>
      </c>
      <c r="L8" s="3208">
        <f t="shared" si="4"/>
        <v>20.8</v>
      </c>
      <c r="M8" s="3208">
        <f t="shared" si="5"/>
        <v>144.97999999999999</v>
      </c>
      <c r="N8" s="3208">
        <f t="shared" si="6"/>
        <v>1132.33</v>
      </c>
      <c r="O8" s="3209">
        <f>O7</f>
        <v>0.6</v>
      </c>
      <c r="P8" s="3208">
        <f t="shared" si="7"/>
        <v>679.4</v>
      </c>
      <c r="Q8" s="3217">
        <f t="shared" si="8"/>
        <v>4.42</v>
      </c>
      <c r="S8">
        <f t="shared" si="9"/>
        <v>966.55000000000007</v>
      </c>
    </row>
    <row r="9" spans="1:19" ht="22.5" customHeight="1">
      <c r="A9" s="3564"/>
      <c r="B9" s="3202">
        <v>7</v>
      </c>
      <c r="C9" s="3202" t="s">
        <v>3075</v>
      </c>
      <c r="D9" s="3203" t="s">
        <v>3074</v>
      </c>
      <c r="E9" s="3202">
        <v>1979</v>
      </c>
      <c r="F9" s="3204">
        <v>57.5</v>
      </c>
      <c r="G9" s="3202">
        <f>G8</f>
        <v>800</v>
      </c>
      <c r="H9" s="3204">
        <f t="shared" si="0"/>
        <v>120</v>
      </c>
      <c r="I9" s="3204">
        <f t="shared" si="1"/>
        <v>920</v>
      </c>
      <c r="J9" s="3204">
        <f t="shared" si="2"/>
        <v>27.6</v>
      </c>
      <c r="K9" s="3204">
        <f t="shared" si="3"/>
        <v>18.95</v>
      </c>
      <c r="L9" s="3204">
        <f t="shared" si="4"/>
        <v>20.8</v>
      </c>
      <c r="M9" s="3204">
        <f t="shared" si="5"/>
        <v>144.97999999999999</v>
      </c>
      <c r="N9" s="3204">
        <f t="shared" si="6"/>
        <v>1132.33</v>
      </c>
      <c r="O9" s="3205">
        <f>O7</f>
        <v>0.6</v>
      </c>
      <c r="P9" s="3204">
        <f t="shared" si="7"/>
        <v>679.4</v>
      </c>
      <c r="Q9" s="3215">
        <f t="shared" si="8"/>
        <v>3.91</v>
      </c>
      <c r="S9">
        <f t="shared" si="9"/>
        <v>966.55000000000007</v>
      </c>
    </row>
    <row r="10" spans="1:19" ht="22.5" customHeight="1">
      <c r="A10" s="3564"/>
      <c r="B10" s="3206">
        <v>8</v>
      </c>
      <c r="C10" s="3206" t="s">
        <v>3075</v>
      </c>
      <c r="D10" s="3207" t="s">
        <v>3074</v>
      </c>
      <c r="E10" s="3206">
        <v>1979</v>
      </c>
      <c r="F10" s="3208">
        <v>40.5</v>
      </c>
      <c r="G10" s="3206">
        <f>G8</f>
        <v>800</v>
      </c>
      <c r="H10" s="3208">
        <f t="shared" si="0"/>
        <v>120</v>
      </c>
      <c r="I10" s="3208">
        <f t="shared" si="1"/>
        <v>920</v>
      </c>
      <c r="J10" s="3208">
        <f t="shared" si="2"/>
        <v>27.6</v>
      </c>
      <c r="K10" s="3208">
        <f t="shared" si="3"/>
        <v>18.95</v>
      </c>
      <c r="L10" s="3208">
        <f t="shared" si="4"/>
        <v>20.8</v>
      </c>
      <c r="M10" s="3208">
        <f t="shared" si="5"/>
        <v>144.97999999999999</v>
      </c>
      <c r="N10" s="3208">
        <f t="shared" si="6"/>
        <v>1132.33</v>
      </c>
      <c r="O10" s="3209">
        <f>O7</f>
        <v>0.6</v>
      </c>
      <c r="P10" s="3208">
        <f t="shared" si="7"/>
        <v>679.4</v>
      </c>
      <c r="Q10" s="3217">
        <f t="shared" si="8"/>
        <v>2.75</v>
      </c>
      <c r="S10">
        <f t="shared" si="9"/>
        <v>966.55000000000007</v>
      </c>
    </row>
    <row r="11" spans="1:19" ht="22.5" customHeight="1">
      <c r="A11" s="3564"/>
      <c r="B11" s="3202">
        <v>9</v>
      </c>
      <c r="C11" s="3202" t="s">
        <v>3075</v>
      </c>
      <c r="D11" s="3203" t="s">
        <v>3074</v>
      </c>
      <c r="E11" s="3202">
        <v>1979</v>
      </c>
      <c r="F11" s="3204">
        <v>68.400000000000006</v>
      </c>
      <c r="G11" s="3202">
        <f>G8</f>
        <v>800</v>
      </c>
      <c r="H11" s="3204">
        <f t="shared" si="0"/>
        <v>120</v>
      </c>
      <c r="I11" s="3204">
        <f t="shared" si="1"/>
        <v>920</v>
      </c>
      <c r="J11" s="3204">
        <f t="shared" si="2"/>
        <v>27.6</v>
      </c>
      <c r="K11" s="3204">
        <f t="shared" si="3"/>
        <v>18.95</v>
      </c>
      <c r="L11" s="3204">
        <f t="shared" si="4"/>
        <v>20.8</v>
      </c>
      <c r="M11" s="3204">
        <f t="shared" si="5"/>
        <v>144.97999999999999</v>
      </c>
      <c r="N11" s="3204">
        <f t="shared" si="6"/>
        <v>1132.33</v>
      </c>
      <c r="O11" s="3205">
        <f>O7</f>
        <v>0.6</v>
      </c>
      <c r="P11" s="3204">
        <f t="shared" si="7"/>
        <v>679.4</v>
      </c>
      <c r="Q11" s="3215">
        <f t="shared" si="8"/>
        <v>4.6500000000000004</v>
      </c>
      <c r="S11">
        <f t="shared" si="9"/>
        <v>966.55000000000007</v>
      </c>
    </row>
    <row r="12" spans="1:19" ht="22.5" customHeight="1">
      <c r="A12" s="3216" t="s">
        <v>3095</v>
      </c>
      <c r="B12" s="3206">
        <v>10</v>
      </c>
      <c r="C12" s="3206" t="s">
        <v>3075</v>
      </c>
      <c r="D12" s="3207" t="s">
        <v>3074</v>
      </c>
      <c r="E12" s="3206">
        <v>1979</v>
      </c>
      <c r="F12" s="3208">
        <v>222.5</v>
      </c>
      <c r="G12" s="3206">
        <f>G8</f>
        <v>800</v>
      </c>
      <c r="H12" s="3208">
        <f t="shared" si="0"/>
        <v>120</v>
      </c>
      <c r="I12" s="3208">
        <f t="shared" si="1"/>
        <v>920</v>
      </c>
      <c r="J12" s="3208">
        <f t="shared" si="2"/>
        <v>27.6</v>
      </c>
      <c r="K12" s="3208">
        <f t="shared" si="3"/>
        <v>18.95</v>
      </c>
      <c r="L12" s="3208">
        <f t="shared" si="4"/>
        <v>20.8</v>
      </c>
      <c r="M12" s="3208">
        <f t="shared" si="5"/>
        <v>144.97999999999999</v>
      </c>
      <c r="N12" s="3208">
        <f t="shared" si="6"/>
        <v>1132.33</v>
      </c>
      <c r="O12" s="3209">
        <f>O7</f>
        <v>0.6</v>
      </c>
      <c r="P12" s="3208">
        <f t="shared" si="7"/>
        <v>679.4</v>
      </c>
      <c r="Q12" s="3217">
        <f t="shared" si="8"/>
        <v>15.12</v>
      </c>
      <c r="S12">
        <f t="shared" si="9"/>
        <v>966.55000000000007</v>
      </c>
    </row>
    <row r="13" spans="1:19" ht="22.5" hidden="1" customHeight="1">
      <c r="A13" s="3218"/>
      <c r="B13" s="3202">
        <v>11</v>
      </c>
      <c r="C13" s="3202"/>
      <c r="D13" s="3203"/>
      <c r="E13" s="3202"/>
      <c r="F13" s="3204"/>
      <c r="G13" s="3202"/>
      <c r="H13" s="3204">
        <f t="shared" si="0"/>
        <v>0</v>
      </c>
      <c r="I13" s="3204">
        <f t="shared" si="1"/>
        <v>0</v>
      </c>
      <c r="J13" s="3204">
        <f t="shared" si="2"/>
        <v>0</v>
      </c>
      <c r="K13" s="3204">
        <f t="shared" si="3"/>
        <v>0</v>
      </c>
      <c r="L13" s="3204">
        <f t="shared" si="4"/>
        <v>0</v>
      </c>
      <c r="M13" s="3204">
        <f t="shared" si="5"/>
        <v>0</v>
      </c>
      <c r="N13" s="3204">
        <f t="shared" si="6"/>
        <v>0</v>
      </c>
      <c r="O13" s="3205">
        <v>10.75</v>
      </c>
      <c r="P13" s="3204">
        <f t="shared" si="7"/>
        <v>0</v>
      </c>
      <c r="Q13" s="3215">
        <f t="shared" si="8"/>
        <v>0</v>
      </c>
      <c r="S13">
        <f t="shared" si="9"/>
        <v>0</v>
      </c>
    </row>
    <row r="14" spans="1:19" ht="22.5" customHeight="1">
      <c r="A14" s="3214" t="s">
        <v>3096</v>
      </c>
      <c r="B14" s="3202">
        <v>12</v>
      </c>
      <c r="C14" s="3202" t="s">
        <v>3073</v>
      </c>
      <c r="D14" s="3203" t="s">
        <v>3074</v>
      </c>
      <c r="E14" s="3202">
        <v>1979</v>
      </c>
      <c r="F14" s="3204">
        <v>58.4</v>
      </c>
      <c r="G14" s="3202">
        <v>1000</v>
      </c>
      <c r="H14" s="3204">
        <f t="shared" si="0"/>
        <v>150</v>
      </c>
      <c r="I14" s="3204">
        <f t="shared" si="1"/>
        <v>1150</v>
      </c>
      <c r="J14" s="3204">
        <f t="shared" si="2"/>
        <v>34.5</v>
      </c>
      <c r="K14" s="3204">
        <f t="shared" si="3"/>
        <v>23.69</v>
      </c>
      <c r="L14" s="3204">
        <f t="shared" si="4"/>
        <v>26</v>
      </c>
      <c r="M14" s="3204">
        <f t="shared" si="5"/>
        <v>181.23</v>
      </c>
      <c r="N14" s="3204">
        <f t="shared" si="6"/>
        <v>1415.42</v>
      </c>
      <c r="O14" s="3205">
        <v>0.6</v>
      </c>
      <c r="P14" s="3204">
        <f t="shared" si="7"/>
        <v>849.25</v>
      </c>
      <c r="Q14" s="3215">
        <f t="shared" si="8"/>
        <v>4.96</v>
      </c>
      <c r="S14">
        <f t="shared" si="9"/>
        <v>1208.19</v>
      </c>
    </row>
    <row r="15" spans="1:19" ht="22.5" customHeight="1">
      <c r="A15" s="3219"/>
      <c r="B15" s="3206">
        <v>13</v>
      </c>
      <c r="C15" s="3206" t="s">
        <v>3073</v>
      </c>
      <c r="D15" s="3207" t="s">
        <v>3074</v>
      </c>
      <c r="E15" s="3206">
        <v>1979</v>
      </c>
      <c r="F15" s="3208">
        <v>60.2</v>
      </c>
      <c r="G15" s="3206">
        <f>G14</f>
        <v>1000</v>
      </c>
      <c r="H15" s="3208">
        <f t="shared" si="0"/>
        <v>150</v>
      </c>
      <c r="I15" s="3208">
        <f t="shared" si="1"/>
        <v>1150</v>
      </c>
      <c r="J15" s="3208">
        <f t="shared" si="2"/>
        <v>34.5</v>
      </c>
      <c r="K15" s="3208">
        <f t="shared" si="3"/>
        <v>23.69</v>
      </c>
      <c r="L15" s="3208">
        <f t="shared" si="4"/>
        <v>26</v>
      </c>
      <c r="M15" s="3208">
        <f t="shared" si="5"/>
        <v>181.23</v>
      </c>
      <c r="N15" s="3208">
        <f t="shared" si="6"/>
        <v>1415.42</v>
      </c>
      <c r="O15" s="3209">
        <v>0.5</v>
      </c>
      <c r="P15" s="3208">
        <f t="shared" si="7"/>
        <v>707.71</v>
      </c>
      <c r="Q15" s="3217">
        <f t="shared" si="8"/>
        <v>4.26</v>
      </c>
      <c r="S15">
        <f t="shared" si="9"/>
        <v>1208.19</v>
      </c>
    </row>
    <row r="16" spans="1:19" ht="22.5" customHeight="1">
      <c r="A16" s="3214" t="s">
        <v>3098</v>
      </c>
      <c r="B16" s="3202">
        <v>14</v>
      </c>
      <c r="C16" s="3202" t="s">
        <v>3073</v>
      </c>
      <c r="D16" s="3203" t="s">
        <v>3074</v>
      </c>
      <c r="E16" s="3202">
        <v>1986</v>
      </c>
      <c r="F16" s="3204">
        <v>836.6</v>
      </c>
      <c r="G16" s="3202">
        <f>G14</f>
        <v>1000</v>
      </c>
      <c r="H16" s="3204">
        <f t="shared" si="0"/>
        <v>150</v>
      </c>
      <c r="I16" s="3204">
        <f t="shared" si="1"/>
        <v>1150</v>
      </c>
      <c r="J16" s="3204">
        <f t="shared" si="2"/>
        <v>34.5</v>
      </c>
      <c r="K16" s="3204">
        <f t="shared" si="3"/>
        <v>23.69</v>
      </c>
      <c r="L16" s="3204">
        <f t="shared" si="4"/>
        <v>26</v>
      </c>
      <c r="M16" s="3204">
        <f t="shared" si="5"/>
        <v>181.23</v>
      </c>
      <c r="N16" s="3204">
        <f t="shared" si="6"/>
        <v>1415.42</v>
      </c>
      <c r="O16" s="3205">
        <v>0.6</v>
      </c>
      <c r="P16" s="3204">
        <f t="shared" si="7"/>
        <v>849.25</v>
      </c>
      <c r="Q16" s="3215">
        <f t="shared" si="8"/>
        <v>71.05</v>
      </c>
      <c r="S16">
        <f t="shared" si="9"/>
        <v>1208.19</v>
      </c>
    </row>
    <row r="17" spans="1:19" ht="22.5" customHeight="1">
      <c r="A17" s="3216" t="s">
        <v>3099</v>
      </c>
      <c r="B17" s="3206">
        <v>15</v>
      </c>
      <c r="C17" s="3206" t="s">
        <v>3073</v>
      </c>
      <c r="D17" s="3207" t="s">
        <v>3074</v>
      </c>
      <c r="E17" s="3206">
        <v>1987</v>
      </c>
      <c r="F17" s="3208">
        <v>1792.5</v>
      </c>
      <c r="G17" s="3206">
        <f>G14</f>
        <v>1000</v>
      </c>
      <c r="H17" s="3208">
        <f t="shared" si="0"/>
        <v>150</v>
      </c>
      <c r="I17" s="3208">
        <f t="shared" si="1"/>
        <v>1150</v>
      </c>
      <c r="J17" s="3208">
        <f t="shared" si="2"/>
        <v>34.5</v>
      </c>
      <c r="K17" s="3208">
        <f t="shared" si="3"/>
        <v>23.69</v>
      </c>
      <c r="L17" s="3208">
        <f t="shared" si="4"/>
        <v>26</v>
      </c>
      <c r="M17" s="3208">
        <f t="shared" si="5"/>
        <v>181.23</v>
      </c>
      <c r="N17" s="3208">
        <f t="shared" si="6"/>
        <v>1415.42</v>
      </c>
      <c r="O17" s="3209">
        <v>0.6</v>
      </c>
      <c r="P17" s="3208">
        <f t="shared" si="7"/>
        <v>849.25</v>
      </c>
      <c r="Q17" s="3217">
        <f t="shared" si="8"/>
        <v>152.22999999999999</v>
      </c>
      <c r="S17">
        <f t="shared" si="9"/>
        <v>1208.19</v>
      </c>
    </row>
    <row r="18" spans="1:19" ht="22.5" customHeight="1">
      <c r="A18" s="3214" t="s">
        <v>3101</v>
      </c>
      <c r="B18" s="3202">
        <v>16</v>
      </c>
      <c r="C18" s="3202" t="s">
        <v>3073</v>
      </c>
      <c r="D18" s="3203" t="s">
        <v>3074</v>
      </c>
      <c r="E18" s="3202">
        <v>1987</v>
      </c>
      <c r="F18" s="3204">
        <v>179</v>
      </c>
      <c r="G18" s="3202">
        <f>G14</f>
        <v>1000</v>
      </c>
      <c r="H18" s="3204">
        <f t="shared" si="0"/>
        <v>150</v>
      </c>
      <c r="I18" s="3204">
        <f t="shared" si="1"/>
        <v>1150</v>
      </c>
      <c r="J18" s="3204">
        <f t="shared" si="2"/>
        <v>34.5</v>
      </c>
      <c r="K18" s="3204">
        <f t="shared" si="3"/>
        <v>23.69</v>
      </c>
      <c r="L18" s="3204">
        <f t="shared" si="4"/>
        <v>26</v>
      </c>
      <c r="M18" s="3204">
        <f t="shared" si="5"/>
        <v>181.23</v>
      </c>
      <c r="N18" s="3204">
        <f t="shared" si="6"/>
        <v>1415.42</v>
      </c>
      <c r="O18" s="3205">
        <v>0.6</v>
      </c>
      <c r="P18" s="3204">
        <f t="shared" si="7"/>
        <v>849.25</v>
      </c>
      <c r="Q18" s="3215">
        <f t="shared" si="8"/>
        <v>15.2</v>
      </c>
      <c r="S18">
        <f t="shared" si="9"/>
        <v>1208.19</v>
      </c>
    </row>
    <row r="19" spans="1:19" ht="22.5" customHeight="1">
      <c r="A19" s="3219" t="s">
        <v>3097</v>
      </c>
      <c r="B19" s="3206">
        <v>17</v>
      </c>
      <c r="C19" s="3206" t="s">
        <v>3073</v>
      </c>
      <c r="D19" s="3207" t="s">
        <v>3074</v>
      </c>
      <c r="E19" s="3206">
        <v>1986</v>
      </c>
      <c r="F19" s="3208">
        <v>11252.1</v>
      </c>
      <c r="G19" s="3206">
        <f>G14</f>
        <v>1000</v>
      </c>
      <c r="H19" s="3208">
        <f t="shared" si="0"/>
        <v>150</v>
      </c>
      <c r="I19" s="3208">
        <f t="shared" si="1"/>
        <v>1150</v>
      </c>
      <c r="J19" s="3208">
        <f t="shared" si="2"/>
        <v>34.5</v>
      </c>
      <c r="K19" s="3208">
        <f t="shared" si="3"/>
        <v>23.69</v>
      </c>
      <c r="L19" s="3208">
        <f t="shared" si="4"/>
        <v>26</v>
      </c>
      <c r="M19" s="3208">
        <f t="shared" si="5"/>
        <v>181.23</v>
      </c>
      <c r="N19" s="3208">
        <f t="shared" si="6"/>
        <v>1415.42</v>
      </c>
      <c r="O19" s="3209">
        <v>0.65</v>
      </c>
      <c r="P19" s="3208">
        <f t="shared" si="7"/>
        <v>920.02</v>
      </c>
      <c r="Q19" s="3217">
        <f t="shared" si="8"/>
        <v>1035.22</v>
      </c>
      <c r="S19">
        <f t="shared" si="9"/>
        <v>1208.19</v>
      </c>
    </row>
    <row r="20" spans="1:19" ht="22.5" customHeight="1">
      <c r="A20" s="3214" t="s">
        <v>3102</v>
      </c>
      <c r="B20" s="3202">
        <v>18</v>
      </c>
      <c r="C20" s="3202" t="s">
        <v>3073</v>
      </c>
      <c r="D20" s="3203" t="s">
        <v>3074</v>
      </c>
      <c r="E20" s="3202">
        <v>1987</v>
      </c>
      <c r="F20" s="3204">
        <v>310.89999999999998</v>
      </c>
      <c r="G20" s="3202">
        <f>G14</f>
        <v>1000</v>
      </c>
      <c r="H20" s="3204">
        <f t="shared" si="0"/>
        <v>150</v>
      </c>
      <c r="I20" s="3204">
        <f t="shared" si="1"/>
        <v>1150</v>
      </c>
      <c r="J20" s="3204">
        <f t="shared" si="2"/>
        <v>34.5</v>
      </c>
      <c r="K20" s="3204">
        <f t="shared" si="3"/>
        <v>23.69</v>
      </c>
      <c r="L20" s="3204">
        <f t="shared" si="4"/>
        <v>26</v>
      </c>
      <c r="M20" s="3204">
        <f t="shared" si="5"/>
        <v>181.23</v>
      </c>
      <c r="N20" s="3204">
        <f t="shared" si="6"/>
        <v>1415.42</v>
      </c>
      <c r="O20" s="3205">
        <v>0.6</v>
      </c>
      <c r="P20" s="3204">
        <f t="shared" si="7"/>
        <v>849.25</v>
      </c>
      <c r="Q20" s="3215">
        <f t="shared" si="8"/>
        <v>26.4</v>
      </c>
      <c r="S20">
        <f t="shared" si="9"/>
        <v>1208.19</v>
      </c>
    </row>
    <row r="21" spans="1:19" ht="22.5" customHeight="1">
      <c r="A21" s="3216" t="s">
        <v>3103</v>
      </c>
      <c r="B21" s="3206">
        <v>19</v>
      </c>
      <c r="C21" s="3206" t="s">
        <v>3073</v>
      </c>
      <c r="D21" s="3207" t="s">
        <v>3062</v>
      </c>
      <c r="E21" s="3206">
        <v>1987</v>
      </c>
      <c r="F21" s="3208">
        <v>6069.2</v>
      </c>
      <c r="G21" s="3206">
        <f>G14</f>
        <v>1000</v>
      </c>
      <c r="H21" s="3208">
        <f t="shared" si="0"/>
        <v>150</v>
      </c>
      <c r="I21" s="3208">
        <f t="shared" si="1"/>
        <v>1150</v>
      </c>
      <c r="J21" s="3208">
        <f t="shared" si="2"/>
        <v>34.5</v>
      </c>
      <c r="K21" s="3208">
        <f t="shared" si="3"/>
        <v>23.69</v>
      </c>
      <c r="L21" s="3208">
        <f t="shared" si="4"/>
        <v>26</v>
      </c>
      <c r="M21" s="3208">
        <f t="shared" si="5"/>
        <v>181.23</v>
      </c>
      <c r="N21" s="3208">
        <f t="shared" si="6"/>
        <v>1415.42</v>
      </c>
      <c r="O21" s="3209">
        <v>0.65</v>
      </c>
      <c r="P21" s="3208">
        <f t="shared" si="7"/>
        <v>920.02</v>
      </c>
      <c r="Q21" s="3217">
        <f t="shared" si="8"/>
        <v>558.38</v>
      </c>
      <c r="S21">
        <f t="shared" si="9"/>
        <v>1208.19</v>
      </c>
    </row>
    <row r="22" spans="1:19" ht="22.5" customHeight="1">
      <c r="A22" s="3214" t="s">
        <v>3104</v>
      </c>
      <c r="B22" s="3202">
        <v>20</v>
      </c>
      <c r="C22" s="3202" t="s">
        <v>3073</v>
      </c>
      <c r="D22" s="3203" t="s">
        <v>3074</v>
      </c>
      <c r="E22" s="3202">
        <v>1987</v>
      </c>
      <c r="F22" s="3204">
        <v>1510.6</v>
      </c>
      <c r="G22" s="3202">
        <f>G14</f>
        <v>1000</v>
      </c>
      <c r="H22" s="3204">
        <f t="shared" si="0"/>
        <v>150</v>
      </c>
      <c r="I22" s="3204">
        <f t="shared" si="1"/>
        <v>1150</v>
      </c>
      <c r="J22" s="3204">
        <f t="shared" si="2"/>
        <v>34.5</v>
      </c>
      <c r="K22" s="3204">
        <f t="shared" si="3"/>
        <v>23.69</v>
      </c>
      <c r="L22" s="3204">
        <f t="shared" si="4"/>
        <v>26</v>
      </c>
      <c r="M22" s="3204">
        <f t="shared" si="5"/>
        <v>181.23</v>
      </c>
      <c r="N22" s="3204">
        <f t="shared" si="6"/>
        <v>1415.42</v>
      </c>
      <c r="O22" s="3205">
        <v>0.65</v>
      </c>
      <c r="P22" s="3204">
        <f t="shared" si="7"/>
        <v>920.02</v>
      </c>
      <c r="Q22" s="3215">
        <f t="shared" si="8"/>
        <v>138.97999999999999</v>
      </c>
      <c r="S22">
        <f t="shared" si="9"/>
        <v>1208.19</v>
      </c>
    </row>
    <row r="23" spans="1:19" ht="22.5" customHeight="1">
      <c r="A23" s="3216" t="s">
        <v>3105</v>
      </c>
      <c r="B23" s="3206">
        <v>21</v>
      </c>
      <c r="C23" s="3206" t="s">
        <v>3073</v>
      </c>
      <c r="D23" s="3207" t="s">
        <v>3063</v>
      </c>
      <c r="E23" s="3206">
        <v>1987</v>
      </c>
      <c r="F23" s="3208">
        <v>9213.2000000000007</v>
      </c>
      <c r="G23" s="3206">
        <f>G14</f>
        <v>1000</v>
      </c>
      <c r="H23" s="3208">
        <f t="shared" si="0"/>
        <v>150</v>
      </c>
      <c r="I23" s="3208">
        <f t="shared" si="1"/>
        <v>1150</v>
      </c>
      <c r="J23" s="3208">
        <f t="shared" si="2"/>
        <v>34.5</v>
      </c>
      <c r="K23" s="3208">
        <f t="shared" si="3"/>
        <v>23.69</v>
      </c>
      <c r="L23" s="3208">
        <f t="shared" si="4"/>
        <v>26</v>
      </c>
      <c r="M23" s="3208">
        <f t="shared" si="5"/>
        <v>181.23</v>
      </c>
      <c r="N23" s="3208">
        <f t="shared" si="6"/>
        <v>1415.42</v>
      </c>
      <c r="O23" s="3209">
        <v>0.65</v>
      </c>
      <c r="P23" s="3208">
        <f t="shared" si="7"/>
        <v>920.02</v>
      </c>
      <c r="Q23" s="3217">
        <f t="shared" si="8"/>
        <v>847.63</v>
      </c>
      <c r="S23">
        <f t="shared" si="9"/>
        <v>1208.19</v>
      </c>
    </row>
    <row r="24" spans="1:19" ht="22.5" customHeight="1">
      <c r="A24" s="3214" t="s">
        <v>3106</v>
      </c>
      <c r="B24" s="3202">
        <v>22</v>
      </c>
      <c r="C24" s="3202" t="s">
        <v>3073</v>
      </c>
      <c r="D24" s="3203" t="s">
        <v>3065</v>
      </c>
      <c r="E24" s="3202">
        <v>1987</v>
      </c>
      <c r="F24" s="3204">
        <v>1452.1</v>
      </c>
      <c r="G24" s="3202">
        <f>G14</f>
        <v>1000</v>
      </c>
      <c r="H24" s="3204">
        <f t="shared" si="0"/>
        <v>150</v>
      </c>
      <c r="I24" s="3204">
        <f t="shared" si="1"/>
        <v>1150</v>
      </c>
      <c r="J24" s="3204">
        <f t="shared" si="2"/>
        <v>34.5</v>
      </c>
      <c r="K24" s="3204">
        <f t="shared" si="3"/>
        <v>23.69</v>
      </c>
      <c r="L24" s="3204">
        <f t="shared" si="4"/>
        <v>26</v>
      </c>
      <c r="M24" s="3204">
        <f t="shared" si="5"/>
        <v>181.23</v>
      </c>
      <c r="N24" s="3204">
        <f t="shared" si="6"/>
        <v>1415.42</v>
      </c>
      <c r="O24" s="3205">
        <v>0.65</v>
      </c>
      <c r="P24" s="3204">
        <f t="shared" si="7"/>
        <v>920.02</v>
      </c>
      <c r="Q24" s="3215">
        <f t="shared" si="8"/>
        <v>133.6</v>
      </c>
      <c r="S24">
        <f t="shared" si="9"/>
        <v>1208.19</v>
      </c>
    </row>
    <row r="25" spans="1:19" ht="22.5" customHeight="1">
      <c r="A25" s="3219"/>
      <c r="B25" s="3206">
        <v>23</v>
      </c>
      <c r="C25" s="3206" t="s">
        <v>3073</v>
      </c>
      <c r="D25" s="3207" t="s">
        <v>3066</v>
      </c>
      <c r="E25" s="3206">
        <v>1987</v>
      </c>
      <c r="F25" s="3208">
        <v>3265</v>
      </c>
      <c r="G25" s="3206">
        <f>G14</f>
        <v>1000</v>
      </c>
      <c r="H25" s="3208">
        <f t="shared" si="0"/>
        <v>150</v>
      </c>
      <c r="I25" s="3208">
        <f t="shared" si="1"/>
        <v>1150</v>
      </c>
      <c r="J25" s="3208">
        <f t="shared" si="2"/>
        <v>34.5</v>
      </c>
      <c r="K25" s="3208">
        <f t="shared" si="3"/>
        <v>23.69</v>
      </c>
      <c r="L25" s="3208">
        <f t="shared" si="4"/>
        <v>26</v>
      </c>
      <c r="M25" s="3208">
        <f t="shared" si="5"/>
        <v>181.23</v>
      </c>
      <c r="N25" s="3208">
        <f t="shared" si="6"/>
        <v>1415.42</v>
      </c>
      <c r="O25" s="3209">
        <v>0.6</v>
      </c>
      <c r="P25" s="3208">
        <f t="shared" si="7"/>
        <v>849.25</v>
      </c>
      <c r="Q25" s="3217">
        <f t="shared" si="8"/>
        <v>277.27999999999997</v>
      </c>
      <c r="S25">
        <f t="shared" si="9"/>
        <v>1208.19</v>
      </c>
    </row>
    <row r="26" spans="1:19" ht="22.5" customHeight="1">
      <c r="A26" s="3214" t="s">
        <v>3107</v>
      </c>
      <c r="B26" s="3202">
        <v>24</v>
      </c>
      <c r="C26" s="3202" t="s">
        <v>3076</v>
      </c>
      <c r="D26" s="3203" t="s">
        <v>3074</v>
      </c>
      <c r="E26" s="3202">
        <v>1986</v>
      </c>
      <c r="F26" s="3204">
        <v>2300.5</v>
      </c>
      <c r="G26" s="3202">
        <v>1800</v>
      </c>
      <c r="H26" s="3204">
        <f t="shared" si="0"/>
        <v>270</v>
      </c>
      <c r="I26" s="3204">
        <f t="shared" si="1"/>
        <v>2070</v>
      </c>
      <c r="J26" s="3204">
        <f t="shared" si="2"/>
        <v>62.1</v>
      </c>
      <c r="K26" s="3204">
        <f t="shared" si="3"/>
        <v>42.64</v>
      </c>
      <c r="L26" s="3204">
        <f t="shared" si="4"/>
        <v>46.8</v>
      </c>
      <c r="M26" s="3204">
        <f t="shared" si="5"/>
        <v>326.20999999999998</v>
      </c>
      <c r="N26" s="3204">
        <f t="shared" si="6"/>
        <v>2547.75</v>
      </c>
      <c r="O26" s="3205">
        <v>0.6</v>
      </c>
      <c r="P26" s="3204">
        <f t="shared" si="7"/>
        <v>1528.65</v>
      </c>
      <c r="Q26" s="3215">
        <f t="shared" si="8"/>
        <v>351.67</v>
      </c>
      <c r="S26">
        <f t="shared" si="9"/>
        <v>2174.7399999999998</v>
      </c>
    </row>
    <row r="27" spans="1:19" ht="22.5" hidden="1" customHeight="1">
      <c r="A27" s="3218"/>
      <c r="B27" s="3202">
        <v>25</v>
      </c>
      <c r="C27" s="3202"/>
      <c r="D27" s="3203"/>
      <c r="E27" s="3202"/>
      <c r="F27" s="3204"/>
      <c r="G27" s="3202"/>
      <c r="H27" s="3204">
        <f t="shared" si="0"/>
        <v>0</v>
      </c>
      <c r="I27" s="3204">
        <f t="shared" si="1"/>
        <v>0</v>
      </c>
      <c r="J27" s="3204">
        <f t="shared" si="2"/>
        <v>0</v>
      </c>
      <c r="K27" s="3204">
        <f t="shared" si="3"/>
        <v>0</v>
      </c>
      <c r="L27" s="3204">
        <f t="shared" si="4"/>
        <v>0</v>
      </c>
      <c r="M27" s="3204">
        <f t="shared" si="5"/>
        <v>0</v>
      </c>
      <c r="N27" s="3204">
        <f t="shared" si="6"/>
        <v>0</v>
      </c>
      <c r="O27" s="3205">
        <v>24.75</v>
      </c>
      <c r="P27" s="3204">
        <f t="shared" si="7"/>
        <v>0</v>
      </c>
      <c r="Q27" s="3215">
        <f t="shared" si="8"/>
        <v>0</v>
      </c>
      <c r="S27">
        <f t="shared" si="9"/>
        <v>0</v>
      </c>
    </row>
    <row r="28" spans="1:19" ht="22.5" hidden="1" customHeight="1">
      <c r="A28" s="3218"/>
      <c r="B28" s="3202">
        <v>26</v>
      </c>
      <c r="C28" s="3202"/>
      <c r="D28" s="3203"/>
      <c r="E28" s="3202"/>
      <c r="F28" s="3204"/>
      <c r="G28" s="3202"/>
      <c r="H28" s="3204">
        <f t="shared" si="0"/>
        <v>0</v>
      </c>
      <c r="I28" s="3204">
        <f t="shared" si="1"/>
        <v>0</v>
      </c>
      <c r="J28" s="3204">
        <f t="shared" si="2"/>
        <v>0</v>
      </c>
      <c r="K28" s="3204">
        <f t="shared" si="3"/>
        <v>0</v>
      </c>
      <c r="L28" s="3204">
        <f t="shared" si="4"/>
        <v>0</v>
      </c>
      <c r="M28" s="3204">
        <f t="shared" si="5"/>
        <v>0</v>
      </c>
      <c r="N28" s="3204">
        <f t="shared" si="6"/>
        <v>0</v>
      </c>
      <c r="O28" s="3205">
        <v>25.75</v>
      </c>
      <c r="P28" s="3204">
        <f t="shared" si="7"/>
        <v>0</v>
      </c>
      <c r="Q28" s="3215">
        <f t="shared" si="8"/>
        <v>0</v>
      </c>
      <c r="S28">
        <f t="shared" si="9"/>
        <v>0</v>
      </c>
    </row>
    <row r="29" spans="1:19" ht="22.5" customHeight="1">
      <c r="A29" s="3216" t="s">
        <v>3108</v>
      </c>
      <c r="B29" s="3206">
        <v>27</v>
      </c>
      <c r="C29" s="3206" t="s">
        <v>3073</v>
      </c>
      <c r="D29" s="3207" t="s">
        <v>3074</v>
      </c>
      <c r="E29" s="3206">
        <v>1986</v>
      </c>
      <c r="F29" s="3208">
        <v>256.60000000000002</v>
      </c>
      <c r="G29" s="3206">
        <f>G14</f>
        <v>1000</v>
      </c>
      <c r="H29" s="3208">
        <f t="shared" si="0"/>
        <v>150</v>
      </c>
      <c r="I29" s="3208">
        <f t="shared" si="1"/>
        <v>1150</v>
      </c>
      <c r="J29" s="3208">
        <f t="shared" si="2"/>
        <v>34.5</v>
      </c>
      <c r="K29" s="3208">
        <f t="shared" si="3"/>
        <v>23.69</v>
      </c>
      <c r="L29" s="3208">
        <f t="shared" si="4"/>
        <v>26</v>
      </c>
      <c r="M29" s="3208">
        <f t="shared" si="5"/>
        <v>181.23</v>
      </c>
      <c r="N29" s="3208">
        <f t="shared" si="6"/>
        <v>1415.42</v>
      </c>
      <c r="O29" s="3209">
        <v>0.6</v>
      </c>
      <c r="P29" s="3208">
        <f t="shared" si="7"/>
        <v>849.25</v>
      </c>
      <c r="Q29" s="3217">
        <f t="shared" si="8"/>
        <v>21.79</v>
      </c>
      <c r="S29">
        <f t="shared" si="9"/>
        <v>1208.19</v>
      </c>
    </row>
    <row r="30" spans="1:19" ht="22.5" customHeight="1">
      <c r="A30" s="3218"/>
      <c r="B30" s="3202">
        <v>28</v>
      </c>
      <c r="C30" s="3202" t="s">
        <v>3073</v>
      </c>
      <c r="D30" s="3203" t="s">
        <v>3063</v>
      </c>
      <c r="E30" s="3202">
        <v>1987</v>
      </c>
      <c r="F30" s="3204">
        <v>109.7</v>
      </c>
      <c r="G30" s="3202">
        <f>G14</f>
        <v>1000</v>
      </c>
      <c r="H30" s="3204">
        <f t="shared" si="0"/>
        <v>150</v>
      </c>
      <c r="I30" s="3204">
        <f t="shared" si="1"/>
        <v>1150</v>
      </c>
      <c r="J30" s="3204">
        <f t="shared" si="2"/>
        <v>34.5</v>
      </c>
      <c r="K30" s="3204">
        <f t="shared" si="3"/>
        <v>23.69</v>
      </c>
      <c r="L30" s="3204">
        <f t="shared" si="4"/>
        <v>26</v>
      </c>
      <c r="M30" s="3204">
        <f t="shared" si="5"/>
        <v>181.23</v>
      </c>
      <c r="N30" s="3204">
        <f t="shared" si="6"/>
        <v>1415.42</v>
      </c>
      <c r="O30" s="3205">
        <v>0.65</v>
      </c>
      <c r="P30" s="3204">
        <f t="shared" si="7"/>
        <v>920.02</v>
      </c>
      <c r="Q30" s="3215">
        <f t="shared" si="8"/>
        <v>10.09</v>
      </c>
      <c r="S30">
        <f t="shared" si="9"/>
        <v>1208.19</v>
      </c>
    </row>
    <row r="31" spans="1:19" ht="22.5" customHeight="1">
      <c r="A31" s="3219"/>
      <c r="B31" s="3206">
        <v>29</v>
      </c>
      <c r="C31" s="3206" t="s">
        <v>3073</v>
      </c>
      <c r="D31" s="3207" t="s">
        <v>3074</v>
      </c>
      <c r="E31" s="3206">
        <v>1987</v>
      </c>
      <c r="F31" s="3208">
        <v>140.19999999999999</v>
      </c>
      <c r="G31" s="3206">
        <f>G14</f>
        <v>1000</v>
      </c>
      <c r="H31" s="3208">
        <f t="shared" si="0"/>
        <v>150</v>
      </c>
      <c r="I31" s="3208">
        <f t="shared" si="1"/>
        <v>1150</v>
      </c>
      <c r="J31" s="3208">
        <f t="shared" si="2"/>
        <v>34.5</v>
      </c>
      <c r="K31" s="3208">
        <f t="shared" si="3"/>
        <v>23.69</v>
      </c>
      <c r="L31" s="3208">
        <f t="shared" si="4"/>
        <v>26</v>
      </c>
      <c r="M31" s="3208">
        <f t="shared" si="5"/>
        <v>181.23</v>
      </c>
      <c r="N31" s="3208">
        <f t="shared" si="6"/>
        <v>1415.42</v>
      </c>
      <c r="O31" s="3209">
        <v>0.65</v>
      </c>
      <c r="P31" s="3208">
        <f t="shared" si="7"/>
        <v>920.02</v>
      </c>
      <c r="Q31" s="3217">
        <f t="shared" si="8"/>
        <v>12.9</v>
      </c>
      <c r="S31">
        <f t="shared" si="9"/>
        <v>1208.19</v>
      </c>
    </row>
    <row r="32" spans="1:19" ht="22.5" customHeight="1">
      <c r="A32" s="3218"/>
      <c r="B32" s="3202">
        <v>30</v>
      </c>
      <c r="C32" s="3202" t="s">
        <v>3073</v>
      </c>
      <c r="D32" s="3203" t="s">
        <v>3074</v>
      </c>
      <c r="E32" s="3202">
        <v>1988</v>
      </c>
      <c r="F32" s="3204">
        <v>90.2</v>
      </c>
      <c r="G32" s="3202">
        <f>G14</f>
        <v>1000</v>
      </c>
      <c r="H32" s="3204">
        <f t="shared" si="0"/>
        <v>150</v>
      </c>
      <c r="I32" s="3204">
        <f t="shared" si="1"/>
        <v>1150</v>
      </c>
      <c r="J32" s="3204">
        <f t="shared" si="2"/>
        <v>34.5</v>
      </c>
      <c r="K32" s="3204">
        <f t="shared" si="3"/>
        <v>23.69</v>
      </c>
      <c r="L32" s="3204">
        <f t="shared" si="4"/>
        <v>26</v>
      </c>
      <c r="M32" s="3204">
        <f t="shared" si="5"/>
        <v>181.23</v>
      </c>
      <c r="N32" s="3204">
        <f t="shared" si="6"/>
        <v>1415.42</v>
      </c>
      <c r="O32" s="3205">
        <v>0.6</v>
      </c>
      <c r="P32" s="3204">
        <f t="shared" si="7"/>
        <v>849.25</v>
      </c>
      <c r="Q32" s="3215">
        <f t="shared" si="8"/>
        <v>7.66</v>
      </c>
      <c r="S32">
        <f t="shared" si="9"/>
        <v>1208.19</v>
      </c>
    </row>
    <row r="33" spans="1:19" ht="22.5" customHeight="1">
      <c r="A33" s="3219"/>
      <c r="B33" s="3206">
        <v>31</v>
      </c>
      <c r="C33" s="3206" t="s">
        <v>3073</v>
      </c>
      <c r="D33" s="3207" t="s">
        <v>3074</v>
      </c>
      <c r="E33" s="3206">
        <v>1987</v>
      </c>
      <c r="F33" s="3208">
        <v>87.9</v>
      </c>
      <c r="G33" s="3206">
        <f>G14</f>
        <v>1000</v>
      </c>
      <c r="H33" s="3208">
        <f t="shared" si="0"/>
        <v>150</v>
      </c>
      <c r="I33" s="3208">
        <f t="shared" si="1"/>
        <v>1150</v>
      </c>
      <c r="J33" s="3208">
        <f t="shared" si="2"/>
        <v>34.5</v>
      </c>
      <c r="K33" s="3208">
        <f t="shared" si="3"/>
        <v>23.69</v>
      </c>
      <c r="L33" s="3208">
        <f t="shared" si="4"/>
        <v>26</v>
      </c>
      <c r="M33" s="3208">
        <f t="shared" si="5"/>
        <v>181.23</v>
      </c>
      <c r="N33" s="3208">
        <f t="shared" si="6"/>
        <v>1415.42</v>
      </c>
      <c r="O33" s="3209">
        <v>0.65</v>
      </c>
      <c r="P33" s="3208">
        <f t="shared" si="7"/>
        <v>920.02</v>
      </c>
      <c r="Q33" s="3217">
        <f t="shared" si="8"/>
        <v>8.09</v>
      </c>
      <c r="S33">
        <f t="shared" si="9"/>
        <v>1208.19</v>
      </c>
    </row>
    <row r="34" spans="1:19" ht="22.5" customHeight="1">
      <c r="A34" s="3218"/>
      <c r="B34" s="3202"/>
      <c r="C34" s="3202"/>
      <c r="D34" s="3203" t="s">
        <v>3077</v>
      </c>
      <c r="E34" s="3202"/>
      <c r="F34" s="3204">
        <v>87.9</v>
      </c>
      <c r="G34" s="3202">
        <f>G14</f>
        <v>1000</v>
      </c>
      <c r="H34" s="3204">
        <f t="shared" si="0"/>
        <v>150</v>
      </c>
      <c r="I34" s="3204">
        <f t="shared" si="1"/>
        <v>1150</v>
      </c>
      <c r="J34" s="3204">
        <f t="shared" si="2"/>
        <v>34.5</v>
      </c>
      <c r="K34" s="3204">
        <f t="shared" si="3"/>
        <v>23.69</v>
      </c>
      <c r="L34" s="3204">
        <f t="shared" si="4"/>
        <v>26</v>
      </c>
      <c r="M34" s="3204">
        <f t="shared" si="5"/>
        <v>181.23</v>
      </c>
      <c r="N34" s="3204">
        <f t="shared" si="6"/>
        <v>1415.42</v>
      </c>
      <c r="O34" s="3205">
        <v>0.65</v>
      </c>
      <c r="P34" s="3204">
        <f t="shared" si="7"/>
        <v>920.02</v>
      </c>
      <c r="Q34" s="3215">
        <f t="shared" si="8"/>
        <v>8.09</v>
      </c>
      <c r="S34">
        <f t="shared" si="9"/>
        <v>1208.19</v>
      </c>
    </row>
    <row r="35" spans="1:19" ht="22.5" customHeight="1">
      <c r="A35" s="3219"/>
      <c r="B35" s="3206">
        <v>32</v>
      </c>
      <c r="C35" s="3206" t="s">
        <v>3073</v>
      </c>
      <c r="D35" s="3207" t="s">
        <v>3074</v>
      </c>
      <c r="E35" s="3206">
        <v>1987</v>
      </c>
      <c r="F35" s="3208">
        <v>174.2</v>
      </c>
      <c r="G35" s="3206">
        <f>G14</f>
        <v>1000</v>
      </c>
      <c r="H35" s="3208">
        <f t="shared" si="0"/>
        <v>150</v>
      </c>
      <c r="I35" s="3208">
        <f t="shared" si="1"/>
        <v>1150</v>
      </c>
      <c r="J35" s="3208">
        <f t="shared" si="2"/>
        <v>34.5</v>
      </c>
      <c r="K35" s="3208">
        <f t="shared" si="3"/>
        <v>23.69</v>
      </c>
      <c r="L35" s="3208">
        <f t="shared" si="4"/>
        <v>26</v>
      </c>
      <c r="M35" s="3208">
        <f t="shared" si="5"/>
        <v>181.23</v>
      </c>
      <c r="N35" s="3208">
        <f t="shared" si="6"/>
        <v>1415.42</v>
      </c>
      <c r="O35" s="3209">
        <v>0.65</v>
      </c>
      <c r="P35" s="3208">
        <f t="shared" si="7"/>
        <v>920.02</v>
      </c>
      <c r="Q35" s="3217">
        <f t="shared" si="8"/>
        <v>16.03</v>
      </c>
      <c r="S35">
        <f t="shared" si="9"/>
        <v>1208.19</v>
      </c>
    </row>
    <row r="36" spans="1:19" ht="22.5" customHeight="1">
      <c r="A36" s="3214" t="s">
        <v>3109</v>
      </c>
      <c r="B36" s="3202">
        <v>33</v>
      </c>
      <c r="C36" s="3202" t="s">
        <v>3073</v>
      </c>
      <c r="D36" s="3203" t="s">
        <v>3074</v>
      </c>
      <c r="E36" s="3202">
        <v>1986</v>
      </c>
      <c r="F36" s="3204">
        <v>1001.7</v>
      </c>
      <c r="G36" s="3202">
        <f>G14</f>
        <v>1000</v>
      </c>
      <c r="H36" s="3204">
        <f t="shared" si="0"/>
        <v>150</v>
      </c>
      <c r="I36" s="3204">
        <f t="shared" si="1"/>
        <v>1150</v>
      </c>
      <c r="J36" s="3204">
        <f t="shared" si="2"/>
        <v>34.5</v>
      </c>
      <c r="K36" s="3204">
        <f t="shared" si="3"/>
        <v>23.69</v>
      </c>
      <c r="L36" s="3204">
        <f t="shared" si="4"/>
        <v>26</v>
      </c>
      <c r="M36" s="3204">
        <f t="shared" si="5"/>
        <v>181.23</v>
      </c>
      <c r="N36" s="3204">
        <f t="shared" si="6"/>
        <v>1415.42</v>
      </c>
      <c r="O36" s="3205">
        <v>0.6</v>
      </c>
      <c r="P36" s="3204">
        <f t="shared" si="7"/>
        <v>849.25</v>
      </c>
      <c r="Q36" s="3215">
        <f t="shared" si="8"/>
        <v>85.07</v>
      </c>
      <c r="S36">
        <f t="shared" si="9"/>
        <v>1208.19</v>
      </c>
    </row>
    <row r="37" spans="1:19" ht="22.5" customHeight="1">
      <c r="A37" s="3216" t="s">
        <v>3110</v>
      </c>
      <c r="B37" s="3206">
        <v>34</v>
      </c>
      <c r="C37" s="3206" t="s">
        <v>3073</v>
      </c>
      <c r="D37" s="3207" t="s">
        <v>3074</v>
      </c>
      <c r="E37" s="3206">
        <v>1986</v>
      </c>
      <c r="F37" s="3208">
        <v>822.6</v>
      </c>
      <c r="G37" s="3206">
        <f>G14</f>
        <v>1000</v>
      </c>
      <c r="H37" s="3208">
        <f t="shared" si="0"/>
        <v>150</v>
      </c>
      <c r="I37" s="3208">
        <f t="shared" si="1"/>
        <v>1150</v>
      </c>
      <c r="J37" s="3208">
        <f t="shared" si="2"/>
        <v>34.5</v>
      </c>
      <c r="K37" s="3208">
        <f t="shared" si="3"/>
        <v>23.69</v>
      </c>
      <c r="L37" s="3208">
        <f t="shared" si="4"/>
        <v>26</v>
      </c>
      <c r="M37" s="3208">
        <f t="shared" si="5"/>
        <v>181.23</v>
      </c>
      <c r="N37" s="3208">
        <f t="shared" si="6"/>
        <v>1415.42</v>
      </c>
      <c r="O37" s="3209">
        <v>0.6</v>
      </c>
      <c r="P37" s="3208">
        <f t="shared" si="7"/>
        <v>849.25</v>
      </c>
      <c r="Q37" s="3217">
        <f t="shared" si="8"/>
        <v>69.86</v>
      </c>
      <c r="S37">
        <f t="shared" si="9"/>
        <v>1208.19</v>
      </c>
    </row>
    <row r="38" spans="1:19" ht="22.5" customHeight="1">
      <c r="A38" s="3218" t="s">
        <v>3111</v>
      </c>
      <c r="B38" s="3202">
        <v>35</v>
      </c>
      <c r="C38" s="3202" t="s">
        <v>3073</v>
      </c>
      <c r="D38" s="3203" t="s">
        <v>3199</v>
      </c>
      <c r="E38" s="3202">
        <v>1987</v>
      </c>
      <c r="F38" s="3204">
        <v>1847.9</v>
      </c>
      <c r="G38" s="3202">
        <f>G14</f>
        <v>1000</v>
      </c>
      <c r="H38" s="3204">
        <f t="shared" si="0"/>
        <v>150</v>
      </c>
      <c r="I38" s="3204">
        <f t="shared" si="1"/>
        <v>1150</v>
      </c>
      <c r="J38" s="3204">
        <f t="shared" si="2"/>
        <v>34.5</v>
      </c>
      <c r="K38" s="3204">
        <f t="shared" si="3"/>
        <v>23.69</v>
      </c>
      <c r="L38" s="3204">
        <f t="shared" si="4"/>
        <v>26</v>
      </c>
      <c r="M38" s="3204">
        <f t="shared" si="5"/>
        <v>181.23</v>
      </c>
      <c r="N38" s="3204">
        <f t="shared" si="6"/>
        <v>1415.42</v>
      </c>
      <c r="O38" s="3205">
        <v>0.65</v>
      </c>
      <c r="P38" s="3204">
        <f t="shared" si="7"/>
        <v>920.02</v>
      </c>
      <c r="Q38" s="3215">
        <f t="shared" si="8"/>
        <v>170.01</v>
      </c>
      <c r="S38" s="3198">
        <f t="shared" si="9"/>
        <v>1208.19</v>
      </c>
    </row>
    <row r="39" spans="1:19" ht="22.5" customHeight="1">
      <c r="A39" s="3216" t="s">
        <v>3112</v>
      </c>
      <c r="B39" s="3206">
        <v>36</v>
      </c>
      <c r="C39" s="3206" t="s">
        <v>3073</v>
      </c>
      <c r="D39" s="3207" t="s">
        <v>3063</v>
      </c>
      <c r="E39" s="3206">
        <v>1987</v>
      </c>
      <c r="F39" s="3208">
        <v>5042.6000000000004</v>
      </c>
      <c r="G39" s="3206">
        <f>G14</f>
        <v>1000</v>
      </c>
      <c r="H39" s="3208">
        <f t="shared" si="0"/>
        <v>150</v>
      </c>
      <c r="I39" s="3208">
        <f t="shared" si="1"/>
        <v>1150</v>
      </c>
      <c r="J39" s="3208">
        <f t="shared" si="2"/>
        <v>34.5</v>
      </c>
      <c r="K39" s="3208">
        <f t="shared" si="3"/>
        <v>23.69</v>
      </c>
      <c r="L39" s="3208">
        <f t="shared" si="4"/>
        <v>26</v>
      </c>
      <c r="M39" s="3208">
        <f t="shared" si="5"/>
        <v>181.23</v>
      </c>
      <c r="N39" s="3208">
        <f t="shared" si="6"/>
        <v>1415.42</v>
      </c>
      <c r="O39" s="3209">
        <v>0.65</v>
      </c>
      <c r="P39" s="3208">
        <f t="shared" si="7"/>
        <v>920.02</v>
      </c>
      <c r="Q39" s="3217">
        <f t="shared" si="8"/>
        <v>463.93</v>
      </c>
      <c r="S39">
        <f t="shared" si="9"/>
        <v>1208.19</v>
      </c>
    </row>
    <row r="40" spans="1:19" ht="22.5" customHeight="1">
      <c r="A40" s="3214" t="s">
        <v>3089</v>
      </c>
      <c r="B40" s="3202">
        <v>37</v>
      </c>
      <c r="C40" s="3202" t="s">
        <v>3073</v>
      </c>
      <c r="D40" s="3203" t="s">
        <v>3063</v>
      </c>
      <c r="E40" s="3202">
        <v>1988</v>
      </c>
      <c r="F40" s="3204">
        <v>2200.3000000000002</v>
      </c>
      <c r="G40" s="3202">
        <f>G14</f>
        <v>1000</v>
      </c>
      <c r="H40" s="3204">
        <f t="shared" si="0"/>
        <v>150</v>
      </c>
      <c r="I40" s="3204">
        <f t="shared" si="1"/>
        <v>1150</v>
      </c>
      <c r="J40" s="3204">
        <f t="shared" si="2"/>
        <v>34.5</v>
      </c>
      <c r="K40" s="3204">
        <f t="shared" si="3"/>
        <v>23.69</v>
      </c>
      <c r="L40" s="3204">
        <f t="shared" si="4"/>
        <v>26</v>
      </c>
      <c r="M40" s="3204">
        <f t="shared" si="5"/>
        <v>181.23</v>
      </c>
      <c r="N40" s="3204">
        <f t="shared" si="6"/>
        <v>1415.42</v>
      </c>
      <c r="O40" s="3205">
        <v>0.65</v>
      </c>
      <c r="P40" s="3204">
        <f t="shared" si="7"/>
        <v>920.02</v>
      </c>
      <c r="Q40" s="3215">
        <f t="shared" si="8"/>
        <v>202.43</v>
      </c>
      <c r="S40">
        <f t="shared" si="9"/>
        <v>1208.19</v>
      </c>
    </row>
    <row r="41" spans="1:19" ht="22.5" customHeight="1">
      <c r="A41" s="3219"/>
      <c r="B41" s="3206"/>
      <c r="C41" s="3206"/>
      <c r="D41" s="3207" t="s">
        <v>3077</v>
      </c>
      <c r="E41" s="3206"/>
      <c r="F41" s="3208">
        <v>1023.2</v>
      </c>
      <c r="G41" s="3206">
        <f>G14</f>
        <v>1000</v>
      </c>
      <c r="H41" s="3208">
        <f t="shared" si="0"/>
        <v>150</v>
      </c>
      <c r="I41" s="3208">
        <f t="shared" si="1"/>
        <v>1150</v>
      </c>
      <c r="J41" s="3208">
        <f t="shared" si="2"/>
        <v>34.5</v>
      </c>
      <c r="K41" s="3208">
        <f t="shared" si="3"/>
        <v>23.69</v>
      </c>
      <c r="L41" s="3208">
        <f t="shared" si="4"/>
        <v>26</v>
      </c>
      <c r="M41" s="3208">
        <f t="shared" si="5"/>
        <v>181.23</v>
      </c>
      <c r="N41" s="3208">
        <f t="shared" si="6"/>
        <v>1415.42</v>
      </c>
      <c r="O41" s="3209">
        <f>O40</f>
        <v>0.65</v>
      </c>
      <c r="P41" s="3208">
        <f t="shared" si="7"/>
        <v>920.02</v>
      </c>
      <c r="Q41" s="3217">
        <f t="shared" si="8"/>
        <v>94.14</v>
      </c>
      <c r="S41">
        <f t="shared" si="9"/>
        <v>1208.19</v>
      </c>
    </row>
    <row r="42" spans="1:19" ht="22.5" customHeight="1" thickBot="1">
      <c r="A42" s="3220" t="s">
        <v>3100</v>
      </c>
      <c r="B42" s="3210">
        <v>38</v>
      </c>
      <c r="C42" s="3210" t="s">
        <v>3073</v>
      </c>
      <c r="D42" s="3211" t="s">
        <v>3074</v>
      </c>
      <c r="E42" s="3210">
        <v>1979</v>
      </c>
      <c r="F42" s="3212">
        <v>371.9</v>
      </c>
      <c r="G42" s="3210">
        <f>G14</f>
        <v>1000</v>
      </c>
      <c r="H42" s="3212">
        <f t="shared" si="0"/>
        <v>150</v>
      </c>
      <c r="I42" s="3212">
        <f t="shared" si="1"/>
        <v>1150</v>
      </c>
      <c r="J42" s="3212">
        <f t="shared" si="2"/>
        <v>34.5</v>
      </c>
      <c r="K42" s="3212">
        <f t="shared" si="3"/>
        <v>23.69</v>
      </c>
      <c r="L42" s="3212">
        <f t="shared" si="4"/>
        <v>26</v>
      </c>
      <c r="M42" s="3212">
        <f t="shared" si="5"/>
        <v>181.23</v>
      </c>
      <c r="N42" s="3212">
        <f t="shared" si="6"/>
        <v>1415.42</v>
      </c>
      <c r="O42" s="3213">
        <v>0.65</v>
      </c>
      <c r="P42" s="3212">
        <f t="shared" si="7"/>
        <v>920.02</v>
      </c>
      <c r="Q42" s="3221">
        <f t="shared" si="8"/>
        <v>34.22</v>
      </c>
      <c r="S42">
        <f t="shared" si="9"/>
        <v>1208.19</v>
      </c>
    </row>
    <row r="43" spans="1:19" ht="22.5" customHeight="1" thickTop="1" thickBot="1">
      <c r="A43" s="3222" t="s">
        <v>3114</v>
      </c>
      <c r="B43" s="3223"/>
      <c r="C43" s="3223"/>
      <c r="D43" s="3224"/>
      <c r="E43" s="3223"/>
      <c r="F43" s="3225">
        <f>SUM(F3:F42)</f>
        <v>60473.499999999985</v>
      </c>
      <c r="G43" s="3223"/>
      <c r="H43" s="3223"/>
      <c r="I43" s="3223"/>
      <c r="J43" s="3223"/>
      <c r="K43" s="3223"/>
      <c r="L43" s="3223"/>
      <c r="M43" s="3223"/>
      <c r="N43" s="3223"/>
      <c r="O43" s="3223"/>
      <c r="P43" s="3223"/>
      <c r="Q43" s="3226">
        <f>SUM(Q3:Q42)</f>
        <v>6004.7400000000007</v>
      </c>
    </row>
    <row r="44" spans="1:19" ht="22.5" customHeight="1" thickBot="1">
      <c r="A44" s="3558" t="s">
        <v>3198</v>
      </c>
      <c r="B44" s="3559"/>
      <c r="C44" s="3559"/>
      <c r="D44" s="3559"/>
      <c r="E44" s="3559"/>
      <c r="F44" s="3559"/>
      <c r="G44" s="3559"/>
      <c r="H44" s="3559"/>
      <c r="I44" s="3559"/>
      <c r="J44" s="3559"/>
      <c r="K44" s="3559"/>
      <c r="L44" s="3559"/>
      <c r="M44" s="3559"/>
      <c r="N44" s="3559"/>
      <c r="O44" s="3559"/>
      <c r="P44" s="3559"/>
      <c r="Q44" s="3559"/>
    </row>
    <row r="45" spans="1:19" ht="22.5" customHeight="1">
      <c r="A45" s="3555" t="s">
        <v>3068</v>
      </c>
      <c r="B45" s="3555" t="s">
        <v>3069</v>
      </c>
      <c r="C45" s="3555" t="s">
        <v>3067</v>
      </c>
      <c r="D45" s="3562" t="s">
        <v>3070</v>
      </c>
      <c r="E45" s="3555" t="s">
        <v>3078</v>
      </c>
      <c r="F45" s="3555" t="s">
        <v>3071</v>
      </c>
      <c r="G45" s="3555" t="s">
        <v>3079</v>
      </c>
      <c r="H45" s="3555" t="s">
        <v>3080</v>
      </c>
      <c r="I45" s="3555" t="s">
        <v>3081</v>
      </c>
      <c r="J45" s="3555" t="s">
        <v>3082</v>
      </c>
      <c r="K45" s="3555" t="s">
        <v>3083</v>
      </c>
      <c r="L45" s="3555" t="s">
        <v>3084</v>
      </c>
      <c r="M45" s="3555" t="s">
        <v>3085</v>
      </c>
      <c r="N45" s="3555" t="s">
        <v>3086</v>
      </c>
      <c r="O45" s="3555" t="s">
        <v>3087</v>
      </c>
      <c r="P45" s="3557" t="s">
        <v>3113</v>
      </c>
      <c r="Q45" s="3555" t="s">
        <v>3072</v>
      </c>
    </row>
    <row r="46" spans="1:19" ht="22.5" customHeight="1" thickBot="1">
      <c r="A46" s="3556"/>
      <c r="B46" s="3556"/>
      <c r="C46" s="3556"/>
      <c r="D46" s="3563"/>
      <c r="E46" s="3556"/>
      <c r="F46" s="3556"/>
      <c r="G46" s="3556"/>
      <c r="H46" s="3556"/>
      <c r="I46" s="3556"/>
      <c r="J46" s="3556"/>
      <c r="K46" s="3556"/>
      <c r="L46" s="3556"/>
      <c r="M46" s="3556"/>
      <c r="N46" s="3556"/>
      <c r="O46" s="3556"/>
      <c r="P46" s="3556"/>
      <c r="Q46" s="3556"/>
    </row>
    <row r="47" spans="1:19" ht="22.5" customHeight="1" thickTop="1">
      <c r="A47" s="3227" t="s">
        <v>3171</v>
      </c>
      <c r="B47" s="3228">
        <v>13</v>
      </c>
      <c r="C47" s="3228" t="s">
        <v>3169</v>
      </c>
      <c r="D47" s="3229" t="s">
        <v>3170</v>
      </c>
      <c r="E47" s="3228">
        <v>1991</v>
      </c>
      <c r="F47" s="3230">
        <v>234.44</v>
      </c>
      <c r="G47" s="3231">
        <v>1000</v>
      </c>
      <c r="H47" s="3230">
        <f>G47*15/100</f>
        <v>150</v>
      </c>
      <c r="I47" s="3230">
        <f>G47+H47</f>
        <v>1150</v>
      </c>
      <c r="J47" s="3230">
        <f>I47*3/100</f>
        <v>34.5</v>
      </c>
      <c r="K47" s="3230">
        <f>ROUND((I47+J47)*2/100,2)</f>
        <v>23.69</v>
      </c>
      <c r="L47" s="3230">
        <f>ROUND((I47+J47+K47)*((1+0.0435)^(1/2)-1),2)</f>
        <v>26</v>
      </c>
      <c r="M47" s="3230">
        <f>ROUND((S47*15/100),2)</f>
        <v>181.23</v>
      </c>
      <c r="N47" s="3230">
        <f>I47+J47+K47+L47+M47</f>
        <v>1415.42</v>
      </c>
      <c r="O47" s="3232">
        <v>0.65</v>
      </c>
      <c r="P47" s="3230">
        <f>ROUND(N47*O47,2)</f>
        <v>920.02</v>
      </c>
      <c r="Q47" s="3233">
        <f>ROUND(P47*F47/10000,2)</f>
        <v>21.57</v>
      </c>
      <c r="S47">
        <f>I47+J47+K47</f>
        <v>1208.19</v>
      </c>
    </row>
    <row r="48" spans="1:19" ht="22.5" customHeight="1">
      <c r="A48" s="3247" t="s">
        <v>3158</v>
      </c>
      <c r="B48" s="3202">
        <v>26</v>
      </c>
      <c r="C48" s="3247" t="s">
        <v>3162</v>
      </c>
      <c r="D48" s="3203" t="s">
        <v>3161</v>
      </c>
      <c r="E48" s="3202">
        <v>1988</v>
      </c>
      <c r="F48" s="3202">
        <v>1073</v>
      </c>
      <c r="G48" s="3202">
        <v>1200</v>
      </c>
      <c r="H48" s="3202">
        <f t="shared" ref="H48:H52" si="10">G48*15/100</f>
        <v>180</v>
      </c>
      <c r="I48" s="3202">
        <f t="shared" ref="I48:I52" si="11">G48+H48</f>
        <v>1380</v>
      </c>
      <c r="J48" s="3204">
        <f t="shared" ref="J48:J52" si="12">I48*3/100</f>
        <v>41.4</v>
      </c>
      <c r="K48" s="3230">
        <f t="shared" ref="K48:K52" si="13">ROUND((I48+J48)*2/100,2)</f>
        <v>28.43</v>
      </c>
      <c r="L48" s="3230">
        <f t="shared" ref="L48:L52" si="14">ROUND((I48+J48+K48)*((1+0.0435)^(1/2)-1),2)</f>
        <v>31.2</v>
      </c>
      <c r="M48" s="3230">
        <f t="shared" ref="M48:M52" si="15">ROUND((S48*15/100),2)</f>
        <v>217.47</v>
      </c>
      <c r="N48" s="3230">
        <f t="shared" ref="N48:N52" si="16">I48+J48+K48+L48+M48</f>
        <v>1698.5000000000002</v>
      </c>
      <c r="O48" s="3232">
        <v>0.6</v>
      </c>
      <c r="P48" s="3230">
        <f t="shared" ref="P48:P52" si="17">ROUND(N48*O48,2)</f>
        <v>1019.1</v>
      </c>
      <c r="Q48" s="3233">
        <f t="shared" ref="Q48:Q52" si="18">ROUND(P48*F48/10000,2)</f>
        <v>109.35</v>
      </c>
      <c r="S48">
        <f t="shared" ref="S48:S52" si="19">I48+J48+K48</f>
        <v>1449.8300000000002</v>
      </c>
    </row>
    <row r="49" spans="1:19" ht="22.5" customHeight="1">
      <c r="A49" s="3247" t="s">
        <v>3164</v>
      </c>
      <c r="B49" s="3202">
        <v>14</v>
      </c>
      <c r="C49" s="3247" t="s">
        <v>3159</v>
      </c>
      <c r="D49" s="3203" t="s">
        <v>3160</v>
      </c>
      <c r="E49" s="3202">
        <v>1994</v>
      </c>
      <c r="F49" s="3202">
        <v>38.75</v>
      </c>
      <c r="G49" s="3202">
        <v>1000</v>
      </c>
      <c r="H49" s="3202">
        <f t="shared" si="10"/>
        <v>150</v>
      </c>
      <c r="I49" s="3202">
        <f t="shared" si="11"/>
        <v>1150</v>
      </c>
      <c r="J49" s="3204">
        <f t="shared" si="12"/>
        <v>34.5</v>
      </c>
      <c r="K49" s="3230">
        <f t="shared" si="13"/>
        <v>23.69</v>
      </c>
      <c r="L49" s="3230">
        <f t="shared" si="14"/>
        <v>26</v>
      </c>
      <c r="M49" s="3230">
        <f t="shared" si="15"/>
        <v>181.23</v>
      </c>
      <c r="N49" s="3230">
        <f t="shared" si="16"/>
        <v>1415.42</v>
      </c>
      <c r="O49" s="3232">
        <v>0.65</v>
      </c>
      <c r="P49" s="3230">
        <f t="shared" si="17"/>
        <v>920.02</v>
      </c>
      <c r="Q49" s="3233">
        <f t="shared" si="18"/>
        <v>3.57</v>
      </c>
      <c r="S49">
        <f t="shared" si="19"/>
        <v>1208.19</v>
      </c>
    </row>
    <row r="50" spans="1:19" ht="22.5" customHeight="1">
      <c r="A50" s="3247" t="s">
        <v>3163</v>
      </c>
      <c r="B50" s="3202">
        <v>18</v>
      </c>
      <c r="C50" s="3247" t="s">
        <v>3166</v>
      </c>
      <c r="D50" s="3203" t="s">
        <v>3160</v>
      </c>
      <c r="E50" s="3202">
        <v>1994</v>
      </c>
      <c r="F50" s="3202">
        <v>78.430000000000007</v>
      </c>
      <c r="G50" s="3202">
        <v>1200</v>
      </c>
      <c r="H50" s="3202">
        <f t="shared" si="10"/>
        <v>180</v>
      </c>
      <c r="I50" s="3202">
        <f t="shared" si="11"/>
        <v>1380</v>
      </c>
      <c r="J50" s="3204">
        <f t="shared" si="12"/>
        <v>41.4</v>
      </c>
      <c r="K50" s="3230">
        <f t="shared" si="13"/>
        <v>28.43</v>
      </c>
      <c r="L50" s="3230">
        <f t="shared" si="14"/>
        <v>31.2</v>
      </c>
      <c r="M50" s="3230">
        <f t="shared" si="15"/>
        <v>217.47</v>
      </c>
      <c r="N50" s="3230">
        <f t="shared" si="16"/>
        <v>1698.5000000000002</v>
      </c>
      <c r="O50" s="3232">
        <v>0.6</v>
      </c>
      <c r="P50" s="3230">
        <f t="shared" si="17"/>
        <v>1019.1</v>
      </c>
      <c r="Q50" s="3233">
        <f t="shared" si="18"/>
        <v>7.99</v>
      </c>
      <c r="S50">
        <f t="shared" si="19"/>
        <v>1449.8300000000002</v>
      </c>
    </row>
    <row r="51" spans="1:19" ht="22.5" customHeight="1">
      <c r="A51" s="3247" t="s">
        <v>3165</v>
      </c>
      <c r="B51" s="3202">
        <v>12</v>
      </c>
      <c r="C51" s="3247" t="s">
        <v>3159</v>
      </c>
      <c r="D51" s="3203" t="s">
        <v>3160</v>
      </c>
      <c r="E51" s="3202">
        <v>1992</v>
      </c>
      <c r="F51" s="3202">
        <v>210.25</v>
      </c>
      <c r="G51" s="3202">
        <v>1000</v>
      </c>
      <c r="H51" s="3202">
        <f t="shared" si="10"/>
        <v>150</v>
      </c>
      <c r="I51" s="3202">
        <f t="shared" si="11"/>
        <v>1150</v>
      </c>
      <c r="J51" s="3204">
        <f t="shared" si="12"/>
        <v>34.5</v>
      </c>
      <c r="K51" s="3230">
        <f t="shared" si="13"/>
        <v>23.69</v>
      </c>
      <c r="L51" s="3230">
        <f t="shared" si="14"/>
        <v>26</v>
      </c>
      <c r="M51" s="3230">
        <f t="shared" si="15"/>
        <v>181.23</v>
      </c>
      <c r="N51" s="3230">
        <f t="shared" si="16"/>
        <v>1415.42</v>
      </c>
      <c r="O51" s="3232">
        <v>0.65</v>
      </c>
      <c r="P51" s="3230">
        <f t="shared" si="17"/>
        <v>920.02</v>
      </c>
      <c r="Q51" s="3233">
        <f t="shared" si="18"/>
        <v>19.34</v>
      </c>
      <c r="S51">
        <f t="shared" si="19"/>
        <v>1208.19</v>
      </c>
    </row>
    <row r="52" spans="1:19" ht="22.5" customHeight="1" thickBot="1">
      <c r="A52" s="3220" t="s">
        <v>3168</v>
      </c>
      <c r="B52" s="3210">
        <v>37</v>
      </c>
      <c r="C52" s="3210" t="s">
        <v>3169</v>
      </c>
      <c r="D52" s="3211" t="s">
        <v>3170</v>
      </c>
      <c r="E52" s="3210">
        <v>1989</v>
      </c>
      <c r="F52" s="3212">
        <v>607</v>
      </c>
      <c r="G52" s="3251">
        <v>1300</v>
      </c>
      <c r="H52" s="3212">
        <f t="shared" si="10"/>
        <v>195</v>
      </c>
      <c r="I52" s="3212">
        <f t="shared" si="11"/>
        <v>1495</v>
      </c>
      <c r="J52" s="3212">
        <f t="shared" si="12"/>
        <v>44.85</v>
      </c>
      <c r="K52" s="3212">
        <f t="shared" si="13"/>
        <v>30.8</v>
      </c>
      <c r="L52" s="3212">
        <f t="shared" si="14"/>
        <v>33.799999999999997</v>
      </c>
      <c r="M52" s="3212">
        <f t="shared" si="15"/>
        <v>235.6</v>
      </c>
      <c r="N52" s="3212">
        <f t="shared" si="16"/>
        <v>1840.0499999999997</v>
      </c>
      <c r="O52" s="3213">
        <v>0.6</v>
      </c>
      <c r="P52" s="3212">
        <f t="shared" si="17"/>
        <v>1104.03</v>
      </c>
      <c r="Q52" s="3221">
        <f t="shared" si="18"/>
        <v>67.010000000000005</v>
      </c>
      <c r="S52">
        <f t="shared" si="19"/>
        <v>1570.6499999999999</v>
      </c>
    </row>
    <row r="53" spans="1:19" ht="22.5" customHeight="1" thickTop="1" thickBot="1">
      <c r="A53" s="3222" t="s">
        <v>3167</v>
      </c>
      <c r="B53" s="3223"/>
      <c r="C53" s="3223"/>
      <c r="D53" s="3224"/>
      <c r="E53" s="3223"/>
      <c r="F53" s="3225">
        <f>SUM(F47:F52)</f>
        <v>2241.87</v>
      </c>
      <c r="G53" s="3223"/>
      <c r="H53" s="3223"/>
      <c r="I53" s="3223"/>
      <c r="J53" s="3223"/>
      <c r="K53" s="3223"/>
      <c r="L53" s="3223"/>
      <c r="M53" s="3223"/>
      <c r="N53" s="3223"/>
      <c r="O53" s="3223"/>
      <c r="P53" s="3223"/>
      <c r="Q53" s="3226">
        <f>SUM(Q47:Q52)</f>
        <v>228.82999999999998</v>
      </c>
    </row>
    <row r="55" spans="1:19" ht="22.5" customHeight="1">
      <c r="Q55" s="3252">
        <f>Q43+Q53</f>
        <v>6233.5700000000006</v>
      </c>
    </row>
    <row r="57" spans="1:19" ht="22.5" customHeight="1" thickBot="1">
      <c r="A57" s="3560" t="s">
        <v>3235</v>
      </c>
      <c r="B57" s="3561"/>
      <c r="C57" s="3561"/>
      <c r="D57" s="3561"/>
      <c r="E57" s="3561"/>
      <c r="F57" s="3561"/>
      <c r="G57" s="3561"/>
      <c r="H57" s="3561"/>
      <c r="I57" s="3561"/>
      <c r="J57" s="3561"/>
      <c r="K57" s="3561"/>
      <c r="L57" s="3561"/>
      <c r="M57" s="3561"/>
      <c r="N57" s="3561"/>
      <c r="O57" s="3561"/>
      <c r="P57" s="3561"/>
      <c r="Q57" s="3561"/>
    </row>
    <row r="58" spans="1:19" ht="22.5" customHeight="1">
      <c r="A58" s="3555" t="s">
        <v>3068</v>
      </c>
      <c r="B58" s="3555" t="s">
        <v>3069</v>
      </c>
      <c r="C58" s="3555" t="s">
        <v>3067</v>
      </c>
      <c r="D58" s="3562" t="s">
        <v>3070</v>
      </c>
      <c r="E58" s="3555" t="s">
        <v>3078</v>
      </c>
      <c r="F58" s="3555" t="s">
        <v>3071</v>
      </c>
      <c r="G58" s="3555" t="s">
        <v>3079</v>
      </c>
      <c r="H58" s="3555" t="s">
        <v>3080</v>
      </c>
      <c r="I58" s="3555" t="s">
        <v>3081</v>
      </c>
      <c r="J58" s="3555" t="s">
        <v>3082</v>
      </c>
      <c r="K58" s="3555" t="s">
        <v>3083</v>
      </c>
      <c r="L58" s="3555" t="s">
        <v>3084</v>
      </c>
      <c r="M58" s="3555" t="s">
        <v>3085</v>
      </c>
      <c r="N58" s="3555" t="s">
        <v>3086</v>
      </c>
      <c r="O58" s="3555" t="s">
        <v>3087</v>
      </c>
      <c r="P58" s="3557" t="s">
        <v>3113</v>
      </c>
      <c r="Q58" s="3555" t="s">
        <v>3072</v>
      </c>
    </row>
    <row r="59" spans="1:19" ht="22.5" customHeight="1" thickBot="1">
      <c r="A59" s="3556"/>
      <c r="B59" s="3556"/>
      <c r="C59" s="3556"/>
      <c r="D59" s="3563"/>
      <c r="E59" s="3556"/>
      <c r="F59" s="3556"/>
      <c r="G59" s="3556"/>
      <c r="H59" s="3556"/>
      <c r="I59" s="3556"/>
      <c r="J59" s="3556"/>
      <c r="K59" s="3556"/>
      <c r="L59" s="3556"/>
      <c r="M59" s="3556"/>
      <c r="N59" s="3556"/>
      <c r="O59" s="3556"/>
      <c r="P59" s="3556"/>
      <c r="Q59" s="3556"/>
    </row>
    <row r="60" spans="1:19" ht="22.5" customHeight="1" thickTop="1">
      <c r="A60" s="3227" t="s">
        <v>3200</v>
      </c>
      <c r="B60" s="3228">
        <v>1</v>
      </c>
      <c r="C60" s="3228" t="s">
        <v>3201</v>
      </c>
      <c r="D60" s="3229" t="s">
        <v>3202</v>
      </c>
      <c r="E60" s="3228"/>
      <c r="F60" s="3230">
        <f>90*31</f>
        <v>2790</v>
      </c>
      <c r="G60" s="3231">
        <v>1200</v>
      </c>
      <c r="H60" s="3230">
        <f>G60*15/100</f>
        <v>180</v>
      </c>
      <c r="I60" s="3230">
        <f>G60+H60</f>
        <v>1380</v>
      </c>
      <c r="J60" s="3230">
        <f>I60*3/100</f>
        <v>41.4</v>
      </c>
      <c r="K60" s="3230">
        <f>ROUND((I60+J60)*2/100,2)</f>
        <v>28.43</v>
      </c>
      <c r="L60" s="3230">
        <f>ROUND((I60+J60+K60)*((1+0.0435)^(1/2)-1),2)</f>
        <v>31.2</v>
      </c>
      <c r="M60" s="3230">
        <f>ROUND((S60*15/100),2)</f>
        <v>217.47</v>
      </c>
      <c r="N60" s="3230">
        <f>I60+J60+K60+L60+M60</f>
        <v>1698.5000000000002</v>
      </c>
      <c r="O60" s="3232">
        <v>0.6</v>
      </c>
      <c r="P60" s="3230">
        <f>ROUND(N60*O60,2)</f>
        <v>1019.1</v>
      </c>
      <c r="Q60" s="3233">
        <f>ROUND(P60*F60/10000,2)</f>
        <v>284.33</v>
      </c>
      <c r="S60">
        <f>I60+J60+K60</f>
        <v>1449.8300000000002</v>
      </c>
    </row>
    <row r="61" spans="1:19" ht="22.5" customHeight="1">
      <c r="A61" s="3247" t="s">
        <v>3203</v>
      </c>
      <c r="B61" s="3202">
        <v>2</v>
      </c>
      <c r="C61" s="3247" t="s">
        <v>3201</v>
      </c>
      <c r="D61" s="3203" t="s">
        <v>3202</v>
      </c>
      <c r="E61" s="3202"/>
      <c r="F61" s="3202">
        <f>115*86</f>
        <v>9890</v>
      </c>
      <c r="G61" s="3202">
        <f>G60</f>
        <v>1200</v>
      </c>
      <c r="H61" s="3230">
        <f t="shared" ref="H61:H88" si="20">G61*15/100</f>
        <v>180</v>
      </c>
      <c r="I61" s="3230">
        <f t="shared" ref="I61:I88" si="21">G61+H61</f>
        <v>1380</v>
      </c>
      <c r="J61" s="3230">
        <f t="shared" ref="J61:J88" si="22">I61*3/100</f>
        <v>41.4</v>
      </c>
      <c r="K61" s="3230">
        <f t="shared" ref="K61:K88" si="23">ROUND((I61+J61)*2/100,2)</f>
        <v>28.43</v>
      </c>
      <c r="L61" s="3230">
        <f t="shared" ref="L61:L88" si="24">ROUND((I61+J61+K61)*((1+0.0435)^(1/2)-1),2)</f>
        <v>31.2</v>
      </c>
      <c r="M61" s="3230">
        <f t="shared" ref="M61:M88" si="25">ROUND((S61*15/100),2)</f>
        <v>217.47</v>
      </c>
      <c r="N61" s="3230">
        <f t="shared" ref="N61:N88" si="26">I61+J61+K61+L61+M61</f>
        <v>1698.5000000000002</v>
      </c>
      <c r="O61" s="3232">
        <v>0.6</v>
      </c>
      <c r="P61" s="3230">
        <f t="shared" ref="P61:P88" si="27">ROUND(N61*O61,2)</f>
        <v>1019.1</v>
      </c>
      <c r="Q61" s="3233">
        <f t="shared" ref="Q61:Q88" si="28">ROUND(P61*F61/10000,2)</f>
        <v>1007.89</v>
      </c>
      <c r="S61">
        <f t="shared" ref="S61:S88" si="29">I61+J61+K61</f>
        <v>1449.8300000000002</v>
      </c>
    </row>
    <row r="62" spans="1:19" ht="22.5" customHeight="1">
      <c r="A62" s="3247" t="s">
        <v>3204</v>
      </c>
      <c r="B62" s="3202">
        <v>3</v>
      </c>
      <c r="C62" s="3247" t="s">
        <v>3205</v>
      </c>
      <c r="D62" s="3203" t="s">
        <v>3206</v>
      </c>
      <c r="E62" s="3202"/>
      <c r="F62" s="3202">
        <f>48*22*2+22*17</f>
        <v>2486</v>
      </c>
      <c r="G62" s="3202">
        <v>1200</v>
      </c>
      <c r="H62" s="3230">
        <f t="shared" si="20"/>
        <v>180</v>
      </c>
      <c r="I62" s="3230">
        <f t="shared" si="21"/>
        <v>1380</v>
      </c>
      <c r="J62" s="3230">
        <f t="shared" si="22"/>
        <v>41.4</v>
      </c>
      <c r="K62" s="3230">
        <f t="shared" si="23"/>
        <v>28.43</v>
      </c>
      <c r="L62" s="3230">
        <f t="shared" si="24"/>
        <v>31.2</v>
      </c>
      <c r="M62" s="3230">
        <f t="shared" si="25"/>
        <v>217.47</v>
      </c>
      <c r="N62" s="3230">
        <f t="shared" si="26"/>
        <v>1698.5000000000002</v>
      </c>
      <c r="O62" s="3232">
        <v>0.6</v>
      </c>
      <c r="P62" s="3230">
        <f t="shared" si="27"/>
        <v>1019.1</v>
      </c>
      <c r="Q62" s="3233">
        <f t="shared" si="28"/>
        <v>253.35</v>
      </c>
      <c r="S62">
        <f t="shared" si="29"/>
        <v>1449.8300000000002</v>
      </c>
    </row>
    <row r="63" spans="1:19" ht="22.5" customHeight="1">
      <c r="A63" s="3247" t="s">
        <v>3207</v>
      </c>
      <c r="B63" s="3202">
        <v>4</v>
      </c>
      <c r="C63" s="3247" t="s">
        <v>3208</v>
      </c>
      <c r="D63" s="3203"/>
      <c r="E63" s="3202"/>
      <c r="F63" s="3202">
        <f>18.4*8.4</f>
        <v>154.56</v>
      </c>
      <c r="G63" s="3202">
        <f>G60</f>
        <v>1200</v>
      </c>
      <c r="H63" s="3230">
        <f t="shared" si="20"/>
        <v>180</v>
      </c>
      <c r="I63" s="3230">
        <f t="shared" si="21"/>
        <v>1380</v>
      </c>
      <c r="J63" s="3230">
        <f t="shared" si="22"/>
        <v>41.4</v>
      </c>
      <c r="K63" s="3230">
        <f t="shared" si="23"/>
        <v>28.43</v>
      </c>
      <c r="L63" s="3230">
        <f t="shared" si="24"/>
        <v>31.2</v>
      </c>
      <c r="M63" s="3230">
        <f t="shared" si="25"/>
        <v>217.47</v>
      </c>
      <c r="N63" s="3230">
        <f t="shared" si="26"/>
        <v>1698.5000000000002</v>
      </c>
      <c r="O63" s="3232">
        <v>0.6</v>
      </c>
      <c r="P63" s="3230">
        <f t="shared" si="27"/>
        <v>1019.1</v>
      </c>
      <c r="Q63" s="3233">
        <f t="shared" si="28"/>
        <v>15.75</v>
      </c>
      <c r="S63">
        <f t="shared" si="29"/>
        <v>1449.8300000000002</v>
      </c>
    </row>
    <row r="64" spans="1:19" ht="22.5" customHeight="1">
      <c r="A64" s="3247" t="s">
        <v>3209</v>
      </c>
      <c r="B64" s="3202">
        <v>5</v>
      </c>
      <c r="C64" s="3247" t="s">
        <v>3208</v>
      </c>
      <c r="D64" s="3203"/>
      <c r="E64" s="3202"/>
      <c r="F64" s="3202">
        <f>7.5*47.5</f>
        <v>356.25</v>
      </c>
      <c r="G64" s="3202">
        <f>G60</f>
        <v>1200</v>
      </c>
      <c r="H64" s="3230">
        <f t="shared" si="20"/>
        <v>180</v>
      </c>
      <c r="I64" s="3230">
        <f t="shared" si="21"/>
        <v>1380</v>
      </c>
      <c r="J64" s="3230">
        <f t="shared" si="22"/>
        <v>41.4</v>
      </c>
      <c r="K64" s="3230">
        <f t="shared" si="23"/>
        <v>28.43</v>
      </c>
      <c r="L64" s="3230">
        <f t="shared" si="24"/>
        <v>31.2</v>
      </c>
      <c r="M64" s="3230">
        <f t="shared" si="25"/>
        <v>217.47</v>
      </c>
      <c r="N64" s="3230">
        <f t="shared" si="26"/>
        <v>1698.5000000000002</v>
      </c>
      <c r="O64" s="3232">
        <v>0.6</v>
      </c>
      <c r="P64" s="3230">
        <f t="shared" si="27"/>
        <v>1019.1</v>
      </c>
      <c r="Q64" s="3233">
        <f t="shared" si="28"/>
        <v>36.31</v>
      </c>
      <c r="S64">
        <f t="shared" si="29"/>
        <v>1449.8300000000002</v>
      </c>
    </row>
    <row r="65" spans="1:19" ht="22.5" customHeight="1">
      <c r="A65" s="3247" t="s">
        <v>3210</v>
      </c>
      <c r="B65" s="3202">
        <v>6</v>
      </c>
      <c r="C65" s="3247" t="s">
        <v>3208</v>
      </c>
      <c r="D65" s="3203"/>
      <c r="E65" s="3202"/>
      <c r="F65" s="3202">
        <f>7*26.3</f>
        <v>184.1</v>
      </c>
      <c r="G65" s="3202">
        <f>G60</f>
        <v>1200</v>
      </c>
      <c r="H65" s="3230">
        <f t="shared" si="20"/>
        <v>180</v>
      </c>
      <c r="I65" s="3230">
        <f t="shared" si="21"/>
        <v>1380</v>
      </c>
      <c r="J65" s="3230">
        <f t="shared" si="22"/>
        <v>41.4</v>
      </c>
      <c r="K65" s="3230">
        <f t="shared" si="23"/>
        <v>28.43</v>
      </c>
      <c r="L65" s="3230">
        <f t="shared" si="24"/>
        <v>31.2</v>
      </c>
      <c r="M65" s="3230">
        <f t="shared" si="25"/>
        <v>217.47</v>
      </c>
      <c r="N65" s="3230">
        <f t="shared" si="26"/>
        <v>1698.5000000000002</v>
      </c>
      <c r="O65" s="3232">
        <v>0.6</v>
      </c>
      <c r="P65" s="3230">
        <f t="shared" si="27"/>
        <v>1019.1</v>
      </c>
      <c r="Q65" s="3233">
        <f t="shared" si="28"/>
        <v>18.760000000000002</v>
      </c>
      <c r="S65">
        <f t="shared" si="29"/>
        <v>1449.8300000000002</v>
      </c>
    </row>
    <row r="66" spans="1:19" ht="22.5" customHeight="1">
      <c r="A66" s="3247" t="s">
        <v>3211</v>
      </c>
      <c r="B66" s="3202">
        <v>7</v>
      </c>
      <c r="C66" s="3247" t="s">
        <v>3205</v>
      </c>
      <c r="D66" s="3203"/>
      <c r="E66" s="3202"/>
      <c r="F66" s="3202">
        <f>88*7.7+30*7.1+25.5*7.1</f>
        <v>1071.6500000000001</v>
      </c>
      <c r="G66" s="3202">
        <v>500</v>
      </c>
      <c r="H66" s="3230">
        <f t="shared" si="20"/>
        <v>75</v>
      </c>
      <c r="I66" s="3230">
        <f t="shared" si="21"/>
        <v>575</v>
      </c>
      <c r="J66" s="3230">
        <f t="shared" si="22"/>
        <v>17.25</v>
      </c>
      <c r="K66" s="3230">
        <f t="shared" si="23"/>
        <v>11.85</v>
      </c>
      <c r="L66" s="3230">
        <f t="shared" si="24"/>
        <v>13</v>
      </c>
      <c r="M66" s="3230">
        <f t="shared" si="25"/>
        <v>90.62</v>
      </c>
      <c r="N66" s="3230">
        <f t="shared" si="26"/>
        <v>707.72</v>
      </c>
      <c r="O66" s="3232">
        <v>0.6</v>
      </c>
      <c r="P66" s="3230">
        <f t="shared" si="27"/>
        <v>424.63</v>
      </c>
      <c r="Q66" s="3233">
        <f t="shared" si="28"/>
        <v>45.51</v>
      </c>
      <c r="S66">
        <f t="shared" si="29"/>
        <v>604.1</v>
      </c>
    </row>
    <row r="67" spans="1:19" ht="22.5" customHeight="1">
      <c r="A67" s="3247" t="s">
        <v>3212</v>
      </c>
      <c r="B67" s="3202">
        <v>8</v>
      </c>
      <c r="C67" s="3247" t="s">
        <v>3205</v>
      </c>
      <c r="D67" s="3203"/>
      <c r="E67" s="3202"/>
      <c r="F67" s="3202">
        <f>9.4*21.9</f>
        <v>205.85999999999999</v>
      </c>
      <c r="G67" s="3202">
        <f>G62</f>
        <v>1200</v>
      </c>
      <c r="H67" s="3230">
        <f t="shared" si="20"/>
        <v>180</v>
      </c>
      <c r="I67" s="3230">
        <f t="shared" si="21"/>
        <v>1380</v>
      </c>
      <c r="J67" s="3230">
        <f t="shared" si="22"/>
        <v>41.4</v>
      </c>
      <c r="K67" s="3230">
        <f t="shared" si="23"/>
        <v>28.43</v>
      </c>
      <c r="L67" s="3230">
        <f t="shared" si="24"/>
        <v>31.2</v>
      </c>
      <c r="M67" s="3230">
        <f t="shared" si="25"/>
        <v>217.47</v>
      </c>
      <c r="N67" s="3230">
        <f t="shared" si="26"/>
        <v>1698.5000000000002</v>
      </c>
      <c r="O67" s="3232">
        <v>0.6</v>
      </c>
      <c r="P67" s="3230">
        <f t="shared" si="27"/>
        <v>1019.1</v>
      </c>
      <c r="Q67" s="3233">
        <f t="shared" si="28"/>
        <v>20.98</v>
      </c>
      <c r="S67">
        <f t="shared" si="29"/>
        <v>1449.8300000000002</v>
      </c>
    </row>
    <row r="68" spans="1:19" ht="22.5" customHeight="1">
      <c r="A68" s="3247" t="s">
        <v>3213</v>
      </c>
      <c r="B68" s="3202">
        <v>9</v>
      </c>
      <c r="C68" s="3247" t="s">
        <v>3214</v>
      </c>
      <c r="D68" s="3203"/>
      <c r="E68" s="3202"/>
      <c r="F68" s="3202">
        <f>12.2*(37.8-7.5)</f>
        <v>369.65999999999997</v>
      </c>
      <c r="G68" s="3202">
        <f>G47</f>
        <v>1000</v>
      </c>
      <c r="H68" s="3230">
        <f t="shared" si="20"/>
        <v>150</v>
      </c>
      <c r="I68" s="3230">
        <f t="shared" si="21"/>
        <v>1150</v>
      </c>
      <c r="J68" s="3230">
        <f t="shared" si="22"/>
        <v>34.5</v>
      </c>
      <c r="K68" s="3230">
        <f t="shared" si="23"/>
        <v>23.69</v>
      </c>
      <c r="L68" s="3230">
        <f t="shared" si="24"/>
        <v>26</v>
      </c>
      <c r="M68" s="3230">
        <f t="shared" si="25"/>
        <v>181.23</v>
      </c>
      <c r="N68" s="3230">
        <f t="shared" si="26"/>
        <v>1415.42</v>
      </c>
      <c r="O68" s="3232">
        <v>0.6</v>
      </c>
      <c r="P68" s="3230">
        <f t="shared" si="27"/>
        <v>849.25</v>
      </c>
      <c r="Q68" s="3233">
        <f t="shared" si="28"/>
        <v>31.39</v>
      </c>
      <c r="S68">
        <f t="shared" si="29"/>
        <v>1208.19</v>
      </c>
    </row>
    <row r="69" spans="1:19" ht="22.5" customHeight="1">
      <c r="A69" s="3247" t="s">
        <v>3215</v>
      </c>
      <c r="B69" s="3202">
        <v>10</v>
      </c>
      <c r="C69" s="3247" t="s">
        <v>3208</v>
      </c>
      <c r="D69" s="3203"/>
      <c r="E69" s="3202"/>
      <c r="F69" s="3202">
        <f>7.3*(31.9-7.5)</f>
        <v>178.11999999999998</v>
      </c>
      <c r="G69" s="3202">
        <f>G60</f>
        <v>1200</v>
      </c>
      <c r="H69" s="3230">
        <f t="shared" si="20"/>
        <v>180</v>
      </c>
      <c r="I69" s="3230">
        <f t="shared" si="21"/>
        <v>1380</v>
      </c>
      <c r="J69" s="3230">
        <f t="shared" si="22"/>
        <v>41.4</v>
      </c>
      <c r="K69" s="3230">
        <f t="shared" si="23"/>
        <v>28.43</v>
      </c>
      <c r="L69" s="3230">
        <f t="shared" si="24"/>
        <v>31.2</v>
      </c>
      <c r="M69" s="3230">
        <f t="shared" si="25"/>
        <v>217.47</v>
      </c>
      <c r="N69" s="3230">
        <f t="shared" si="26"/>
        <v>1698.5000000000002</v>
      </c>
      <c r="O69" s="3232">
        <v>0.6</v>
      </c>
      <c r="P69" s="3230">
        <f t="shared" si="27"/>
        <v>1019.1</v>
      </c>
      <c r="Q69" s="3233">
        <f t="shared" si="28"/>
        <v>18.149999999999999</v>
      </c>
      <c r="S69">
        <f t="shared" si="29"/>
        <v>1449.8300000000002</v>
      </c>
    </row>
    <row r="70" spans="1:19" ht="22.5" customHeight="1">
      <c r="A70" s="3247" t="s">
        <v>3216</v>
      </c>
      <c r="B70" s="3202">
        <v>11</v>
      </c>
      <c r="C70" s="3247" t="s">
        <v>3208</v>
      </c>
      <c r="D70" s="3203"/>
      <c r="E70" s="3202"/>
      <c r="F70" s="3202">
        <f>17.7*72.8</f>
        <v>1288.56</v>
      </c>
      <c r="G70" s="3202">
        <f>G60</f>
        <v>1200</v>
      </c>
      <c r="H70" s="3230">
        <f t="shared" si="20"/>
        <v>180</v>
      </c>
      <c r="I70" s="3230">
        <f t="shared" si="21"/>
        <v>1380</v>
      </c>
      <c r="J70" s="3230">
        <f t="shared" si="22"/>
        <v>41.4</v>
      </c>
      <c r="K70" s="3230">
        <f t="shared" si="23"/>
        <v>28.43</v>
      </c>
      <c r="L70" s="3230">
        <f t="shared" si="24"/>
        <v>31.2</v>
      </c>
      <c r="M70" s="3230">
        <f t="shared" si="25"/>
        <v>217.47</v>
      </c>
      <c r="N70" s="3230">
        <f t="shared" si="26"/>
        <v>1698.5000000000002</v>
      </c>
      <c r="O70" s="3232">
        <v>0.6</v>
      </c>
      <c r="P70" s="3230">
        <f t="shared" si="27"/>
        <v>1019.1</v>
      </c>
      <c r="Q70" s="3233">
        <f t="shared" si="28"/>
        <v>131.32</v>
      </c>
      <c r="S70">
        <f t="shared" si="29"/>
        <v>1449.8300000000002</v>
      </c>
    </row>
    <row r="71" spans="1:19" ht="22.5" customHeight="1">
      <c r="A71" s="3247" t="s">
        <v>3217</v>
      </c>
      <c r="B71" s="3202">
        <v>12</v>
      </c>
      <c r="C71" s="3247" t="s">
        <v>3214</v>
      </c>
      <c r="D71" s="3203"/>
      <c r="E71" s="3202"/>
      <c r="F71" s="3202">
        <f>6*3.5+6*15</f>
        <v>111</v>
      </c>
      <c r="G71" s="3202">
        <f>G68</f>
        <v>1000</v>
      </c>
      <c r="H71" s="3230">
        <f t="shared" si="20"/>
        <v>150</v>
      </c>
      <c r="I71" s="3230">
        <f t="shared" si="21"/>
        <v>1150</v>
      </c>
      <c r="J71" s="3230">
        <f t="shared" si="22"/>
        <v>34.5</v>
      </c>
      <c r="K71" s="3230">
        <f t="shared" si="23"/>
        <v>23.69</v>
      </c>
      <c r="L71" s="3230">
        <f t="shared" si="24"/>
        <v>26</v>
      </c>
      <c r="M71" s="3230">
        <f t="shared" si="25"/>
        <v>181.23</v>
      </c>
      <c r="N71" s="3230">
        <f t="shared" si="26"/>
        <v>1415.42</v>
      </c>
      <c r="O71" s="3232">
        <v>0.6</v>
      </c>
      <c r="P71" s="3230">
        <f t="shared" si="27"/>
        <v>849.25</v>
      </c>
      <c r="Q71" s="3233">
        <f t="shared" si="28"/>
        <v>9.43</v>
      </c>
      <c r="S71">
        <f t="shared" si="29"/>
        <v>1208.19</v>
      </c>
    </row>
    <row r="72" spans="1:19" ht="22.5" customHeight="1">
      <c r="A72" s="3247" t="s">
        <v>3218</v>
      </c>
      <c r="B72" s="3202">
        <v>15</v>
      </c>
      <c r="C72" s="3247" t="s">
        <v>3214</v>
      </c>
      <c r="D72" s="3203"/>
      <c r="E72" s="3202"/>
      <c r="F72" s="3202">
        <f>35.5*8.4</f>
        <v>298.2</v>
      </c>
      <c r="G72" s="3202">
        <f>G68</f>
        <v>1000</v>
      </c>
      <c r="H72" s="3230">
        <f t="shared" si="20"/>
        <v>150</v>
      </c>
      <c r="I72" s="3230">
        <f t="shared" si="21"/>
        <v>1150</v>
      </c>
      <c r="J72" s="3230">
        <f t="shared" si="22"/>
        <v>34.5</v>
      </c>
      <c r="K72" s="3230">
        <f t="shared" si="23"/>
        <v>23.69</v>
      </c>
      <c r="L72" s="3230">
        <f t="shared" si="24"/>
        <v>26</v>
      </c>
      <c r="M72" s="3230">
        <f t="shared" si="25"/>
        <v>181.23</v>
      </c>
      <c r="N72" s="3230">
        <f t="shared" si="26"/>
        <v>1415.42</v>
      </c>
      <c r="O72" s="3232">
        <v>0.6</v>
      </c>
      <c r="P72" s="3230">
        <f t="shared" si="27"/>
        <v>849.25</v>
      </c>
      <c r="Q72" s="3233">
        <f t="shared" si="28"/>
        <v>25.32</v>
      </c>
      <c r="S72">
        <f t="shared" si="29"/>
        <v>1208.19</v>
      </c>
    </row>
    <row r="73" spans="1:19" ht="22.5" customHeight="1">
      <c r="A73" s="3247" t="s">
        <v>3219</v>
      </c>
      <c r="B73" s="3202">
        <v>16</v>
      </c>
      <c r="C73" s="3247" t="s">
        <v>3214</v>
      </c>
      <c r="D73" s="3203"/>
      <c r="E73" s="3202"/>
      <c r="F73" s="3202">
        <f>16.2*6.4</f>
        <v>103.68</v>
      </c>
      <c r="G73" s="3202">
        <f>G68</f>
        <v>1000</v>
      </c>
      <c r="H73" s="3230">
        <f t="shared" si="20"/>
        <v>150</v>
      </c>
      <c r="I73" s="3230">
        <f t="shared" si="21"/>
        <v>1150</v>
      </c>
      <c r="J73" s="3230">
        <f t="shared" si="22"/>
        <v>34.5</v>
      </c>
      <c r="K73" s="3230">
        <f t="shared" si="23"/>
        <v>23.69</v>
      </c>
      <c r="L73" s="3230">
        <f t="shared" si="24"/>
        <v>26</v>
      </c>
      <c r="M73" s="3230">
        <f t="shared" si="25"/>
        <v>181.23</v>
      </c>
      <c r="N73" s="3230">
        <f t="shared" si="26"/>
        <v>1415.42</v>
      </c>
      <c r="O73" s="3232">
        <v>0.6</v>
      </c>
      <c r="P73" s="3230">
        <f t="shared" si="27"/>
        <v>849.25</v>
      </c>
      <c r="Q73" s="3233">
        <f t="shared" si="28"/>
        <v>8.81</v>
      </c>
      <c r="S73">
        <f t="shared" si="29"/>
        <v>1208.19</v>
      </c>
    </row>
    <row r="74" spans="1:19" ht="22.5" customHeight="1">
      <c r="A74" s="3247" t="s">
        <v>3220</v>
      </c>
      <c r="B74" s="3202">
        <v>17</v>
      </c>
      <c r="C74" s="3247" t="s">
        <v>3214</v>
      </c>
      <c r="D74" s="3203"/>
      <c r="E74" s="3202"/>
      <c r="F74" s="3202">
        <f>27*6.6</f>
        <v>178.2</v>
      </c>
      <c r="G74" s="3202">
        <f>G68</f>
        <v>1000</v>
      </c>
      <c r="H74" s="3230">
        <f t="shared" si="20"/>
        <v>150</v>
      </c>
      <c r="I74" s="3230">
        <f t="shared" si="21"/>
        <v>1150</v>
      </c>
      <c r="J74" s="3230">
        <f t="shared" si="22"/>
        <v>34.5</v>
      </c>
      <c r="K74" s="3230">
        <f t="shared" si="23"/>
        <v>23.69</v>
      </c>
      <c r="L74" s="3230">
        <f t="shared" si="24"/>
        <v>26</v>
      </c>
      <c r="M74" s="3230">
        <f t="shared" si="25"/>
        <v>181.23</v>
      </c>
      <c r="N74" s="3230">
        <f t="shared" si="26"/>
        <v>1415.42</v>
      </c>
      <c r="O74" s="3232">
        <v>0.6</v>
      </c>
      <c r="P74" s="3230">
        <f t="shared" si="27"/>
        <v>849.25</v>
      </c>
      <c r="Q74" s="3233">
        <f t="shared" si="28"/>
        <v>15.13</v>
      </c>
      <c r="S74">
        <f t="shared" si="29"/>
        <v>1208.19</v>
      </c>
    </row>
    <row r="75" spans="1:19" ht="22.5" customHeight="1">
      <c r="A75" s="3247" t="s">
        <v>3221</v>
      </c>
      <c r="B75" s="3202">
        <v>19</v>
      </c>
      <c r="C75" s="3247" t="s">
        <v>3214</v>
      </c>
      <c r="D75" s="3203"/>
      <c r="E75" s="3202"/>
      <c r="F75" s="3202">
        <f>6.3*11.4+8.5*28.8</f>
        <v>316.62</v>
      </c>
      <c r="G75" s="3202">
        <f>G68</f>
        <v>1000</v>
      </c>
      <c r="H75" s="3230">
        <f t="shared" si="20"/>
        <v>150</v>
      </c>
      <c r="I75" s="3230">
        <f t="shared" si="21"/>
        <v>1150</v>
      </c>
      <c r="J75" s="3230">
        <f t="shared" si="22"/>
        <v>34.5</v>
      </c>
      <c r="K75" s="3230">
        <f t="shared" si="23"/>
        <v>23.69</v>
      </c>
      <c r="L75" s="3230">
        <f t="shared" si="24"/>
        <v>26</v>
      </c>
      <c r="M75" s="3230">
        <f t="shared" si="25"/>
        <v>181.23</v>
      </c>
      <c r="N75" s="3230">
        <f t="shared" si="26"/>
        <v>1415.42</v>
      </c>
      <c r="O75" s="3232">
        <v>0.6</v>
      </c>
      <c r="P75" s="3230">
        <f t="shared" si="27"/>
        <v>849.25</v>
      </c>
      <c r="Q75" s="3233">
        <f t="shared" si="28"/>
        <v>26.89</v>
      </c>
      <c r="S75">
        <f t="shared" si="29"/>
        <v>1208.19</v>
      </c>
    </row>
    <row r="76" spans="1:19" ht="22.5" customHeight="1">
      <c r="A76" s="3247" t="s">
        <v>3222</v>
      </c>
      <c r="B76" s="3202">
        <v>20</v>
      </c>
      <c r="C76" s="3247" t="s">
        <v>3214</v>
      </c>
      <c r="D76" s="3203"/>
      <c r="E76" s="3202"/>
      <c r="F76" s="3202">
        <f>5.1*3.2</f>
        <v>16.32</v>
      </c>
      <c r="G76" s="3202">
        <f>G68</f>
        <v>1000</v>
      </c>
      <c r="H76" s="3230">
        <f t="shared" si="20"/>
        <v>150</v>
      </c>
      <c r="I76" s="3230">
        <f t="shared" si="21"/>
        <v>1150</v>
      </c>
      <c r="J76" s="3230">
        <f t="shared" si="22"/>
        <v>34.5</v>
      </c>
      <c r="K76" s="3230">
        <f t="shared" si="23"/>
        <v>23.69</v>
      </c>
      <c r="L76" s="3230">
        <f t="shared" si="24"/>
        <v>26</v>
      </c>
      <c r="M76" s="3230">
        <f t="shared" si="25"/>
        <v>181.23</v>
      </c>
      <c r="N76" s="3230">
        <f t="shared" si="26"/>
        <v>1415.42</v>
      </c>
      <c r="O76" s="3232">
        <v>0.6</v>
      </c>
      <c r="P76" s="3230">
        <f t="shared" si="27"/>
        <v>849.25</v>
      </c>
      <c r="Q76" s="3233">
        <f t="shared" si="28"/>
        <v>1.39</v>
      </c>
      <c r="S76">
        <f t="shared" si="29"/>
        <v>1208.19</v>
      </c>
    </row>
    <row r="77" spans="1:19" ht="22.5" customHeight="1">
      <c r="A77" s="3247" t="s">
        <v>3223</v>
      </c>
      <c r="B77" s="3202">
        <v>21</v>
      </c>
      <c r="C77" s="3247" t="s">
        <v>3214</v>
      </c>
      <c r="D77" s="3203"/>
      <c r="E77" s="3202"/>
      <c r="F77" s="3202">
        <f>7.6*8.5</f>
        <v>64.599999999999994</v>
      </c>
      <c r="G77" s="3202">
        <f>G68</f>
        <v>1000</v>
      </c>
      <c r="H77" s="3230">
        <f t="shared" si="20"/>
        <v>150</v>
      </c>
      <c r="I77" s="3230">
        <f t="shared" si="21"/>
        <v>1150</v>
      </c>
      <c r="J77" s="3230">
        <f t="shared" si="22"/>
        <v>34.5</v>
      </c>
      <c r="K77" s="3230">
        <f t="shared" si="23"/>
        <v>23.69</v>
      </c>
      <c r="L77" s="3230">
        <f t="shared" si="24"/>
        <v>26</v>
      </c>
      <c r="M77" s="3230">
        <f t="shared" si="25"/>
        <v>181.23</v>
      </c>
      <c r="N77" s="3230">
        <f t="shared" si="26"/>
        <v>1415.42</v>
      </c>
      <c r="O77" s="3232">
        <v>0.6</v>
      </c>
      <c r="P77" s="3230">
        <f t="shared" si="27"/>
        <v>849.25</v>
      </c>
      <c r="Q77" s="3233">
        <f t="shared" si="28"/>
        <v>5.49</v>
      </c>
      <c r="S77">
        <f t="shared" si="29"/>
        <v>1208.19</v>
      </c>
    </row>
    <row r="78" spans="1:19" ht="22.5" customHeight="1">
      <c r="A78" s="3247" t="s">
        <v>3224</v>
      </c>
      <c r="B78" s="3202">
        <v>22</v>
      </c>
      <c r="C78" s="3247" t="s">
        <v>3205</v>
      </c>
      <c r="D78" s="3203"/>
      <c r="E78" s="3202"/>
      <c r="F78" s="3202">
        <f>5.4*35.5</f>
        <v>191.70000000000002</v>
      </c>
      <c r="G78" s="3202">
        <f>G62</f>
        <v>1200</v>
      </c>
      <c r="H78" s="3230">
        <f t="shared" si="20"/>
        <v>180</v>
      </c>
      <c r="I78" s="3230">
        <f t="shared" si="21"/>
        <v>1380</v>
      </c>
      <c r="J78" s="3230">
        <f t="shared" si="22"/>
        <v>41.4</v>
      </c>
      <c r="K78" s="3230">
        <f t="shared" si="23"/>
        <v>28.43</v>
      </c>
      <c r="L78" s="3230">
        <f t="shared" si="24"/>
        <v>31.2</v>
      </c>
      <c r="M78" s="3230">
        <f t="shared" si="25"/>
        <v>217.47</v>
      </c>
      <c r="N78" s="3230">
        <f t="shared" si="26"/>
        <v>1698.5000000000002</v>
      </c>
      <c r="O78" s="3232">
        <v>0.6</v>
      </c>
      <c r="P78" s="3230">
        <f t="shared" si="27"/>
        <v>1019.1</v>
      </c>
      <c r="Q78" s="3233">
        <f t="shared" si="28"/>
        <v>19.54</v>
      </c>
      <c r="S78">
        <f t="shared" si="29"/>
        <v>1449.8300000000002</v>
      </c>
    </row>
    <row r="79" spans="1:19" ht="22.5" customHeight="1">
      <c r="A79" s="3247" t="s">
        <v>3225</v>
      </c>
      <c r="B79" s="3202">
        <v>23</v>
      </c>
      <c r="C79" s="3247" t="s">
        <v>3205</v>
      </c>
      <c r="D79" s="3203"/>
      <c r="E79" s="3202"/>
      <c r="F79" s="3202">
        <f>45*5.5</f>
        <v>247.5</v>
      </c>
      <c r="G79" s="3202">
        <f>G62</f>
        <v>1200</v>
      </c>
      <c r="H79" s="3230">
        <f t="shared" si="20"/>
        <v>180</v>
      </c>
      <c r="I79" s="3230">
        <f t="shared" si="21"/>
        <v>1380</v>
      </c>
      <c r="J79" s="3230">
        <f t="shared" si="22"/>
        <v>41.4</v>
      </c>
      <c r="K79" s="3230">
        <f t="shared" si="23"/>
        <v>28.43</v>
      </c>
      <c r="L79" s="3230">
        <f t="shared" si="24"/>
        <v>31.2</v>
      </c>
      <c r="M79" s="3230">
        <f t="shared" si="25"/>
        <v>217.47</v>
      </c>
      <c r="N79" s="3230">
        <f t="shared" si="26"/>
        <v>1698.5000000000002</v>
      </c>
      <c r="O79" s="3232">
        <v>0.6</v>
      </c>
      <c r="P79" s="3230">
        <f t="shared" si="27"/>
        <v>1019.1</v>
      </c>
      <c r="Q79" s="3233">
        <f t="shared" si="28"/>
        <v>25.22</v>
      </c>
      <c r="S79">
        <f t="shared" si="29"/>
        <v>1449.8300000000002</v>
      </c>
    </row>
    <row r="80" spans="1:19" ht="22.5" customHeight="1">
      <c r="A80" s="3247" t="s">
        <v>3226</v>
      </c>
      <c r="B80" s="3202">
        <v>24</v>
      </c>
      <c r="C80" s="3247" t="s">
        <v>3214</v>
      </c>
      <c r="D80" s="3203"/>
      <c r="E80" s="3202"/>
      <c r="F80" s="3202">
        <f>6.3*6.3</f>
        <v>39.69</v>
      </c>
      <c r="G80" s="3202">
        <f>G68</f>
        <v>1000</v>
      </c>
      <c r="H80" s="3230">
        <f t="shared" si="20"/>
        <v>150</v>
      </c>
      <c r="I80" s="3230">
        <f t="shared" si="21"/>
        <v>1150</v>
      </c>
      <c r="J80" s="3230">
        <f t="shared" si="22"/>
        <v>34.5</v>
      </c>
      <c r="K80" s="3230">
        <f t="shared" si="23"/>
        <v>23.69</v>
      </c>
      <c r="L80" s="3230">
        <f t="shared" si="24"/>
        <v>26</v>
      </c>
      <c r="M80" s="3230">
        <f t="shared" si="25"/>
        <v>181.23</v>
      </c>
      <c r="N80" s="3230">
        <f t="shared" si="26"/>
        <v>1415.42</v>
      </c>
      <c r="O80" s="3232">
        <v>0.6</v>
      </c>
      <c r="P80" s="3230">
        <f t="shared" si="27"/>
        <v>849.25</v>
      </c>
      <c r="Q80" s="3233">
        <f t="shared" si="28"/>
        <v>3.37</v>
      </c>
      <c r="S80">
        <f t="shared" si="29"/>
        <v>1208.19</v>
      </c>
    </row>
    <row r="81" spans="1:19" ht="22.5" customHeight="1">
      <c r="A81" s="3247" t="s">
        <v>3227</v>
      </c>
      <c r="B81" s="3202">
        <v>25</v>
      </c>
      <c r="C81" s="3247" t="s">
        <v>3205</v>
      </c>
      <c r="D81" s="3203"/>
      <c r="E81" s="3202"/>
      <c r="F81" s="3202">
        <f>10.2*(14.6*3+5.9*2+5.6)</f>
        <v>624.2399999999999</v>
      </c>
      <c r="G81" s="3202">
        <f>G62</f>
        <v>1200</v>
      </c>
      <c r="H81" s="3230">
        <f t="shared" si="20"/>
        <v>180</v>
      </c>
      <c r="I81" s="3230">
        <f t="shared" si="21"/>
        <v>1380</v>
      </c>
      <c r="J81" s="3230">
        <f t="shared" si="22"/>
        <v>41.4</v>
      </c>
      <c r="K81" s="3230">
        <f t="shared" si="23"/>
        <v>28.43</v>
      </c>
      <c r="L81" s="3230">
        <f t="shared" si="24"/>
        <v>31.2</v>
      </c>
      <c r="M81" s="3230">
        <f t="shared" si="25"/>
        <v>217.47</v>
      </c>
      <c r="N81" s="3230">
        <f t="shared" si="26"/>
        <v>1698.5000000000002</v>
      </c>
      <c r="O81" s="3232">
        <v>0.6</v>
      </c>
      <c r="P81" s="3230">
        <f t="shared" si="27"/>
        <v>1019.1</v>
      </c>
      <c r="Q81" s="3233">
        <f t="shared" si="28"/>
        <v>63.62</v>
      </c>
      <c r="S81">
        <f t="shared" si="29"/>
        <v>1449.8300000000002</v>
      </c>
    </row>
    <row r="82" spans="1:19" ht="22.5" customHeight="1">
      <c r="A82" s="3247" t="s">
        <v>3228</v>
      </c>
      <c r="B82" s="3202">
        <v>27</v>
      </c>
      <c r="C82" s="3247" t="s">
        <v>3214</v>
      </c>
      <c r="D82" s="3203"/>
      <c r="E82" s="3202"/>
      <c r="F82" s="3202">
        <f>22*5.5</f>
        <v>121</v>
      </c>
      <c r="G82" s="3202">
        <f>G68</f>
        <v>1000</v>
      </c>
      <c r="H82" s="3230">
        <f t="shared" si="20"/>
        <v>150</v>
      </c>
      <c r="I82" s="3230">
        <f t="shared" si="21"/>
        <v>1150</v>
      </c>
      <c r="J82" s="3230">
        <f t="shared" si="22"/>
        <v>34.5</v>
      </c>
      <c r="K82" s="3230">
        <f t="shared" si="23"/>
        <v>23.69</v>
      </c>
      <c r="L82" s="3230">
        <f t="shared" si="24"/>
        <v>26</v>
      </c>
      <c r="M82" s="3230">
        <f t="shared" si="25"/>
        <v>181.23</v>
      </c>
      <c r="N82" s="3230">
        <f t="shared" si="26"/>
        <v>1415.42</v>
      </c>
      <c r="O82" s="3232">
        <v>0.6</v>
      </c>
      <c r="P82" s="3230">
        <f t="shared" si="27"/>
        <v>849.25</v>
      </c>
      <c r="Q82" s="3233">
        <f t="shared" si="28"/>
        <v>10.28</v>
      </c>
      <c r="S82">
        <f t="shared" si="29"/>
        <v>1208.19</v>
      </c>
    </row>
    <row r="83" spans="1:19" ht="22.5" customHeight="1">
      <c r="A83" s="3247" t="s">
        <v>3229</v>
      </c>
      <c r="B83" s="3202">
        <v>28</v>
      </c>
      <c r="C83" s="3247" t="s">
        <v>3214</v>
      </c>
      <c r="D83" s="3203"/>
      <c r="E83" s="3202"/>
      <c r="F83" s="3202">
        <f>4.7*6.3</f>
        <v>29.61</v>
      </c>
      <c r="G83" s="3202">
        <f>G68</f>
        <v>1000</v>
      </c>
      <c r="H83" s="3230">
        <f t="shared" si="20"/>
        <v>150</v>
      </c>
      <c r="I83" s="3230">
        <f t="shared" si="21"/>
        <v>1150</v>
      </c>
      <c r="J83" s="3230">
        <f t="shared" si="22"/>
        <v>34.5</v>
      </c>
      <c r="K83" s="3230">
        <f t="shared" si="23"/>
        <v>23.69</v>
      </c>
      <c r="L83" s="3230">
        <f t="shared" si="24"/>
        <v>26</v>
      </c>
      <c r="M83" s="3230">
        <f t="shared" si="25"/>
        <v>181.23</v>
      </c>
      <c r="N83" s="3230">
        <f t="shared" si="26"/>
        <v>1415.42</v>
      </c>
      <c r="O83" s="3232">
        <v>0.6</v>
      </c>
      <c r="P83" s="3230">
        <f t="shared" si="27"/>
        <v>849.25</v>
      </c>
      <c r="Q83" s="3233">
        <f t="shared" si="28"/>
        <v>2.5099999999999998</v>
      </c>
      <c r="S83">
        <f t="shared" si="29"/>
        <v>1208.19</v>
      </c>
    </row>
    <row r="84" spans="1:19" ht="22.5" customHeight="1">
      <c r="A84" s="3247" t="s">
        <v>3230</v>
      </c>
      <c r="B84" s="3202">
        <v>29</v>
      </c>
      <c r="C84" s="3247" t="s">
        <v>3214</v>
      </c>
      <c r="D84" s="3203"/>
      <c r="E84" s="3202"/>
      <c r="F84" s="3202">
        <f>F83</f>
        <v>29.61</v>
      </c>
      <c r="G84" s="3202">
        <f>G68</f>
        <v>1000</v>
      </c>
      <c r="H84" s="3230">
        <f t="shared" si="20"/>
        <v>150</v>
      </c>
      <c r="I84" s="3230">
        <f t="shared" si="21"/>
        <v>1150</v>
      </c>
      <c r="J84" s="3230">
        <f t="shared" si="22"/>
        <v>34.5</v>
      </c>
      <c r="K84" s="3230">
        <f t="shared" si="23"/>
        <v>23.69</v>
      </c>
      <c r="L84" s="3230">
        <f t="shared" si="24"/>
        <v>26</v>
      </c>
      <c r="M84" s="3230">
        <f t="shared" si="25"/>
        <v>181.23</v>
      </c>
      <c r="N84" s="3230">
        <f t="shared" si="26"/>
        <v>1415.42</v>
      </c>
      <c r="O84" s="3232">
        <v>0.6</v>
      </c>
      <c r="P84" s="3230">
        <f t="shared" si="27"/>
        <v>849.25</v>
      </c>
      <c r="Q84" s="3233">
        <f t="shared" si="28"/>
        <v>2.5099999999999998</v>
      </c>
      <c r="S84">
        <f t="shared" si="29"/>
        <v>1208.19</v>
      </c>
    </row>
    <row r="85" spans="1:19" ht="22.5" customHeight="1">
      <c r="A85" s="3247" t="s">
        <v>3231</v>
      </c>
      <c r="B85" s="3202">
        <v>30</v>
      </c>
      <c r="C85" s="3247" t="s">
        <v>3208</v>
      </c>
      <c r="D85" s="3203"/>
      <c r="E85" s="3202"/>
      <c r="F85" s="3202">
        <f>7.5*37.6</f>
        <v>282</v>
      </c>
      <c r="G85" s="3202">
        <f>G60</f>
        <v>1200</v>
      </c>
      <c r="H85" s="3230">
        <f t="shared" si="20"/>
        <v>180</v>
      </c>
      <c r="I85" s="3230">
        <f t="shared" si="21"/>
        <v>1380</v>
      </c>
      <c r="J85" s="3230">
        <f t="shared" si="22"/>
        <v>41.4</v>
      </c>
      <c r="K85" s="3230">
        <f t="shared" si="23"/>
        <v>28.43</v>
      </c>
      <c r="L85" s="3230">
        <f t="shared" si="24"/>
        <v>31.2</v>
      </c>
      <c r="M85" s="3230">
        <f t="shared" si="25"/>
        <v>217.47</v>
      </c>
      <c r="N85" s="3230">
        <f t="shared" si="26"/>
        <v>1698.5000000000002</v>
      </c>
      <c r="O85" s="3232">
        <v>0.6</v>
      </c>
      <c r="P85" s="3230">
        <f t="shared" si="27"/>
        <v>1019.1</v>
      </c>
      <c r="Q85" s="3233">
        <f t="shared" si="28"/>
        <v>28.74</v>
      </c>
      <c r="S85">
        <f t="shared" si="29"/>
        <v>1449.8300000000002</v>
      </c>
    </row>
    <row r="86" spans="1:19" ht="22.5" customHeight="1">
      <c r="A86" s="3247" t="s">
        <v>3232</v>
      </c>
      <c r="B86" s="3202">
        <v>31</v>
      </c>
      <c r="C86" s="3247" t="s">
        <v>3208</v>
      </c>
      <c r="D86" s="3203"/>
      <c r="E86" s="3202"/>
      <c r="F86" s="3202">
        <f>4.6*7.5</f>
        <v>34.5</v>
      </c>
      <c r="G86" s="3202">
        <f>G60</f>
        <v>1200</v>
      </c>
      <c r="H86" s="3230">
        <f t="shared" si="20"/>
        <v>180</v>
      </c>
      <c r="I86" s="3230">
        <f t="shared" si="21"/>
        <v>1380</v>
      </c>
      <c r="J86" s="3230">
        <f t="shared" si="22"/>
        <v>41.4</v>
      </c>
      <c r="K86" s="3230">
        <f t="shared" si="23"/>
        <v>28.43</v>
      </c>
      <c r="L86" s="3230">
        <f t="shared" si="24"/>
        <v>31.2</v>
      </c>
      <c r="M86" s="3230">
        <f t="shared" si="25"/>
        <v>217.47</v>
      </c>
      <c r="N86" s="3230">
        <f t="shared" si="26"/>
        <v>1698.5000000000002</v>
      </c>
      <c r="O86" s="3232">
        <v>0.6</v>
      </c>
      <c r="P86" s="3230">
        <f t="shared" si="27"/>
        <v>1019.1</v>
      </c>
      <c r="Q86" s="3233">
        <f t="shared" si="28"/>
        <v>3.52</v>
      </c>
      <c r="S86">
        <f t="shared" si="29"/>
        <v>1449.8300000000002</v>
      </c>
    </row>
    <row r="87" spans="1:19" ht="22.5" customHeight="1">
      <c r="A87" s="3247" t="s">
        <v>3233</v>
      </c>
      <c r="B87" s="3202">
        <v>32</v>
      </c>
      <c r="C87" s="3247" t="s">
        <v>3214</v>
      </c>
      <c r="D87" s="3203"/>
      <c r="E87" s="3202"/>
      <c r="F87" s="3202">
        <f>22.5*4</f>
        <v>90</v>
      </c>
      <c r="G87" s="3202">
        <f>G68</f>
        <v>1000</v>
      </c>
      <c r="H87" s="3230">
        <f t="shared" si="20"/>
        <v>150</v>
      </c>
      <c r="I87" s="3230">
        <f t="shared" si="21"/>
        <v>1150</v>
      </c>
      <c r="J87" s="3230">
        <f t="shared" si="22"/>
        <v>34.5</v>
      </c>
      <c r="K87" s="3230">
        <f t="shared" si="23"/>
        <v>23.69</v>
      </c>
      <c r="L87" s="3230">
        <f t="shared" si="24"/>
        <v>26</v>
      </c>
      <c r="M87" s="3230">
        <f t="shared" si="25"/>
        <v>181.23</v>
      </c>
      <c r="N87" s="3230">
        <f t="shared" si="26"/>
        <v>1415.42</v>
      </c>
      <c r="O87" s="3232">
        <v>0.6</v>
      </c>
      <c r="P87" s="3230">
        <f t="shared" si="27"/>
        <v>849.25</v>
      </c>
      <c r="Q87" s="3233">
        <f t="shared" si="28"/>
        <v>7.64</v>
      </c>
      <c r="S87">
        <f t="shared" si="29"/>
        <v>1208.19</v>
      </c>
    </row>
    <row r="88" spans="1:19" ht="22.5" customHeight="1" thickBot="1">
      <c r="A88" s="3247" t="s">
        <v>3234</v>
      </c>
      <c r="B88" s="3202">
        <v>33</v>
      </c>
      <c r="C88" s="3247" t="s">
        <v>3214</v>
      </c>
      <c r="D88" s="3203"/>
      <c r="E88" s="3202"/>
      <c r="F88" s="3202">
        <f>6.8*15.5</f>
        <v>105.39999999999999</v>
      </c>
      <c r="G88" s="3202">
        <f>G68</f>
        <v>1000</v>
      </c>
      <c r="H88" s="3230">
        <f t="shared" si="20"/>
        <v>150</v>
      </c>
      <c r="I88" s="3230">
        <f t="shared" si="21"/>
        <v>1150</v>
      </c>
      <c r="J88" s="3230">
        <f t="shared" si="22"/>
        <v>34.5</v>
      </c>
      <c r="K88" s="3230">
        <f t="shared" si="23"/>
        <v>23.69</v>
      </c>
      <c r="L88" s="3230">
        <f t="shared" si="24"/>
        <v>26</v>
      </c>
      <c r="M88" s="3230">
        <f t="shared" si="25"/>
        <v>181.23</v>
      </c>
      <c r="N88" s="3230">
        <f t="shared" si="26"/>
        <v>1415.42</v>
      </c>
      <c r="O88" s="3232">
        <v>0.6</v>
      </c>
      <c r="P88" s="3230">
        <f t="shared" si="27"/>
        <v>849.25</v>
      </c>
      <c r="Q88" s="3233">
        <f t="shared" si="28"/>
        <v>8.9499999999999993</v>
      </c>
      <c r="S88">
        <f t="shared" si="29"/>
        <v>1208.19</v>
      </c>
    </row>
    <row r="89" spans="1:19" ht="22.5" customHeight="1" thickTop="1" thickBot="1">
      <c r="B89" s="3223"/>
      <c r="C89" s="3223"/>
      <c r="D89" s="3224"/>
      <c r="E89" s="3223"/>
      <c r="F89" s="3225">
        <f>SUM(F60:F88)</f>
        <v>21858.630000000005</v>
      </c>
      <c r="G89" s="3223"/>
      <c r="H89" s="3223"/>
      <c r="I89" s="3223"/>
      <c r="J89" s="3223"/>
      <c r="K89" s="3223"/>
      <c r="L89" s="3223"/>
      <c r="M89" s="3223"/>
      <c r="N89" s="3223"/>
      <c r="O89" s="3223"/>
      <c r="P89" s="3223"/>
      <c r="Q89" s="3226">
        <f>SUM(Q60:Q88)</f>
        <v>2132.1000000000004</v>
      </c>
    </row>
    <row r="91" spans="1:19" ht="22.5" customHeight="1">
      <c r="Q91" s="3252">
        <f>Q43+Q53+Q89</f>
        <v>8365.6700000000019</v>
      </c>
    </row>
  </sheetData>
  <mergeCells count="54">
    <mergeCell ref="H45:H46"/>
    <mergeCell ref="I45:I46"/>
    <mergeCell ref="J45:J46"/>
    <mergeCell ref="P45:P46"/>
    <mergeCell ref="Q45:Q46"/>
    <mergeCell ref="K45:K46"/>
    <mergeCell ref="L45:L46"/>
    <mergeCell ref="M45:M46"/>
    <mergeCell ref="N45:N46"/>
    <mergeCell ref="O45:O46"/>
    <mergeCell ref="Q1:Q2"/>
    <mergeCell ref="F1:F2"/>
    <mergeCell ref="G1:G2"/>
    <mergeCell ref="H1:H2"/>
    <mergeCell ref="I1:I2"/>
    <mergeCell ref="J1:J2"/>
    <mergeCell ref="K1:K2"/>
    <mergeCell ref="L1:L2"/>
    <mergeCell ref="M1:M2"/>
    <mergeCell ref="N1:N2"/>
    <mergeCell ref="O1:O2"/>
    <mergeCell ref="P1:P2"/>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s>
  <phoneticPr fontId="2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4" t="s">
        <v>2040</v>
      </c>
      <c r="B1" s="3254"/>
      <c r="C1" s="3254"/>
      <c r="D1" s="3254"/>
      <c r="E1" s="3254"/>
      <c r="F1" s="3254"/>
      <c r="G1" s="3254"/>
      <c r="H1" s="3254"/>
      <c r="I1" s="3254"/>
      <c r="J1" s="3254"/>
      <c r="K1" s="3254"/>
      <c r="L1" s="3254"/>
      <c r="M1" s="3254"/>
      <c r="N1" s="3254"/>
      <c r="O1" s="3254"/>
      <c r="P1" s="3254"/>
      <c r="Q1" s="3254"/>
      <c r="R1" s="3254"/>
    </row>
    <row r="2" spans="1:18">
      <c r="A2" s="1808" t="s">
        <v>2042</v>
      </c>
      <c r="B2" s="1808"/>
      <c r="C2" s="1808"/>
      <c r="D2" s="1808"/>
      <c r="E2" s="1808"/>
      <c r="F2" s="1808"/>
      <c r="G2" s="1808"/>
      <c r="H2" s="1808"/>
      <c r="I2" s="1809"/>
      <c r="J2" s="1809"/>
      <c r="K2" s="1810" t="str">
        <f>"估价期日："&amp;TEXT(项目基本情况!D3,"yyyy年m月d日;;")</f>
        <v>估价期日：2018年5月2日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55" t="s">
        <v>2031</v>
      </c>
      <c r="B3" s="3255" t="s">
        <v>2734</v>
      </c>
      <c r="C3" s="3256" t="s">
        <v>2032</v>
      </c>
      <c r="D3" s="3255" t="s">
        <v>2738</v>
      </c>
      <c r="E3" s="3258" t="s">
        <v>2033</v>
      </c>
      <c r="F3" s="3258"/>
      <c r="G3" s="3258"/>
      <c r="H3" s="3258" t="s">
        <v>2034</v>
      </c>
      <c r="I3" s="3258"/>
      <c r="J3" s="3258"/>
      <c r="K3" s="3256" t="s">
        <v>2035</v>
      </c>
      <c r="L3" s="3256" t="s">
        <v>2036</v>
      </c>
      <c r="M3" s="3255" t="s">
        <v>2735</v>
      </c>
      <c r="N3" s="3257" t="str">
        <f>"（分摊）"&amp;项目基本情况!B16&amp;"国有建设用地使用权面积/㎡"</f>
        <v>（分摊）出让国有建设用地使用权面积/㎡</v>
      </c>
      <c r="O3" s="3255" t="s">
        <v>2065</v>
      </c>
      <c r="P3" s="3256" t="s">
        <v>2045</v>
      </c>
      <c r="Q3" s="3256" t="s">
        <v>2066</v>
      </c>
      <c r="R3" s="3256" t="s">
        <v>2037</v>
      </c>
    </row>
    <row r="4" spans="1:18" ht="36.75" customHeight="1">
      <c r="A4" s="3255"/>
      <c r="B4" s="3255"/>
      <c r="C4" s="3256"/>
      <c r="D4" s="3255"/>
      <c r="E4" s="2674" t="s">
        <v>2044</v>
      </c>
      <c r="F4" s="2674" t="s">
        <v>2747</v>
      </c>
      <c r="G4" s="2674" t="s">
        <v>2038</v>
      </c>
      <c r="H4" s="2674" t="s">
        <v>2039</v>
      </c>
      <c r="I4" s="2674" t="s">
        <v>2748</v>
      </c>
      <c r="J4" s="2674" t="s">
        <v>2038</v>
      </c>
      <c r="K4" s="3256"/>
      <c r="L4" s="3256"/>
      <c r="M4" s="3255"/>
      <c r="N4" s="3257"/>
      <c r="O4" s="3255"/>
      <c r="P4" s="3256"/>
      <c r="Q4" s="3256"/>
      <c r="R4" s="3256"/>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10976</v>
      </c>
      <c r="Q5" s="1811">
        <f ca="1">结果表!D42</f>
        <v>33060</v>
      </c>
      <c r="R5" s="1812">
        <f ca="1">结果表!C42</f>
        <v>199923</v>
      </c>
    </row>
    <row r="6" spans="1:18">
      <c r="A6" s="3259" t="str">
        <f>IF(项目基本情况!B9="市场价格","——","抵押价格")</f>
        <v>——</v>
      </c>
      <c r="B6" s="3260"/>
      <c r="C6" s="3260"/>
      <c r="D6" s="3260"/>
      <c r="E6" s="3260"/>
      <c r="F6" s="3260"/>
      <c r="G6" s="3260"/>
      <c r="H6" s="3260"/>
      <c r="I6" s="3260"/>
      <c r="J6" s="3260"/>
      <c r="K6" s="3260"/>
      <c r="L6" s="3260"/>
      <c r="M6" s="3260"/>
      <c r="N6" s="3260"/>
      <c r="O6" s="3260"/>
      <c r="P6" s="3260"/>
      <c r="Q6" s="3261"/>
      <c r="R6" s="1813" t="str">
        <f>结果表!O39</f>
        <v>——</v>
      </c>
    </row>
    <row r="7" spans="1:18">
      <c r="A7" s="3259" t="str">
        <f>IF(项目基本情况!B9="市场价格","——",IF(项目基本情况!E8="已注销及未注销","抵押担保权已注销时的抵押价格","——"))</f>
        <v>——</v>
      </c>
      <c r="B7" s="3260"/>
      <c r="C7" s="3260"/>
      <c r="D7" s="3260"/>
      <c r="E7" s="3260"/>
      <c r="F7" s="3260"/>
      <c r="G7" s="3260"/>
      <c r="H7" s="3260"/>
      <c r="I7" s="3260"/>
      <c r="J7" s="3260"/>
      <c r="K7" s="3260"/>
      <c r="L7" s="3260"/>
      <c r="M7" s="3260"/>
      <c r="N7" s="3260"/>
      <c r="O7" s="3260"/>
      <c r="P7" s="3260"/>
      <c r="Q7" s="3261"/>
      <c r="R7" s="1813" t="str">
        <f>结果表!O40</f>
        <v>——</v>
      </c>
    </row>
    <row r="8" spans="1:18">
      <c r="A8" s="3259" t="str">
        <f>IF(项目基本情况!B9="市场价格","——",项目基本情况!E9)</f>
        <v>——</v>
      </c>
      <c r="B8" s="3260"/>
      <c r="C8" s="3260"/>
      <c r="D8" s="3260"/>
      <c r="E8" s="3260"/>
      <c r="F8" s="3260"/>
      <c r="G8" s="3260"/>
      <c r="H8" s="3260"/>
      <c r="I8" s="3260"/>
      <c r="J8" s="3260"/>
      <c r="K8" s="3260"/>
      <c r="L8" s="3260"/>
      <c r="M8" s="3260"/>
      <c r="N8" s="3260"/>
      <c r="O8" s="3260"/>
      <c r="P8" s="3260"/>
      <c r="Q8" s="3261"/>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6"/>
  <sheetViews>
    <sheetView workbookViewId="0">
      <selection activeCell="B21" sqref="B21:E21"/>
    </sheetView>
  </sheetViews>
  <sheetFormatPr defaultRowHeight="13.5"/>
  <cols>
    <col min="2" max="2" width="18.875" customWidth="1"/>
    <col min="3" max="3" width="10.625" customWidth="1"/>
    <col min="4" max="4" width="11.625" bestFit="1" customWidth="1"/>
    <col min="5" max="5" width="11.25" customWidth="1"/>
  </cols>
  <sheetData>
    <row r="2" spans="2:7" ht="27" customHeight="1">
      <c r="B2" s="3553" t="s">
        <v>3118</v>
      </c>
      <c r="C2" s="3553"/>
      <c r="D2" s="3553"/>
      <c r="E2" s="3553"/>
    </row>
    <row r="3" spans="2:7">
      <c r="B3" s="3460" t="s">
        <v>3123</v>
      </c>
      <c r="C3" s="3460"/>
      <c r="D3" s="3554">
        <v>0.8</v>
      </c>
      <c r="E3" s="3554"/>
    </row>
    <row r="4" spans="2:7">
      <c r="B4" s="3460" t="s">
        <v>3121</v>
      </c>
      <c r="C4" s="3460"/>
      <c r="D4" s="3554">
        <v>30</v>
      </c>
      <c r="E4" s="3554"/>
    </row>
    <row r="5" spans="2:7">
      <c r="B5" s="3460" t="s">
        <v>3122</v>
      </c>
      <c r="C5" s="3460"/>
      <c r="D5" s="3554">
        <f>'数据-基础表'!B3</f>
        <v>60473.499999999985</v>
      </c>
      <c r="E5" s="3554"/>
    </row>
    <row r="6" spans="2:7">
      <c r="B6" s="3460" t="s">
        <v>3120</v>
      </c>
      <c r="C6" s="3460"/>
      <c r="D6" s="3554">
        <f>ROUND(D3*D4*D5/10000,2)</f>
        <v>145.13999999999999</v>
      </c>
      <c r="E6" s="3554"/>
    </row>
    <row r="8" spans="2:7" ht="27" customHeight="1">
      <c r="B8" s="3553" t="s">
        <v>3125</v>
      </c>
      <c r="C8" s="3553"/>
      <c r="D8" s="3553"/>
      <c r="E8" s="3553"/>
      <c r="G8" s="3201" t="s">
        <v>3140</v>
      </c>
    </row>
    <row r="9" spans="2:7">
      <c r="B9" s="3238"/>
      <c r="C9" s="3239" t="s">
        <v>3127</v>
      </c>
      <c r="D9" s="3240" t="s">
        <v>3128</v>
      </c>
      <c r="E9" s="3240" t="s">
        <v>3129</v>
      </c>
      <c r="G9" s="3244">
        <f>ROUND((D6+C14)*D24,2)</f>
        <v>1367.6</v>
      </c>
    </row>
    <row r="10" spans="2:7">
      <c r="B10" s="3238" t="s">
        <v>3124</v>
      </c>
      <c r="C10" s="3241">
        <v>753729.35</v>
      </c>
      <c r="D10" s="3240" t="s">
        <v>3130</v>
      </c>
      <c r="E10" s="3242">
        <f>ROUND(C10/12,2)</f>
        <v>62810.78</v>
      </c>
    </row>
    <row r="11" spans="2:7">
      <c r="B11" s="3238" t="s">
        <v>3126</v>
      </c>
      <c r="C11" s="3239" t="s">
        <v>3130</v>
      </c>
      <c r="D11" s="3241">
        <v>1201928.94</v>
      </c>
      <c r="E11" s="3242">
        <f>ROUND(D11/3,2)</f>
        <v>400642.98</v>
      </c>
    </row>
    <row r="12" spans="2:7">
      <c r="B12" s="3238" t="s">
        <v>3133</v>
      </c>
      <c r="C12" s="3554">
        <f>ROUND((E10*9+E11*3)/12,2)</f>
        <v>147268.82999999999</v>
      </c>
      <c r="D12" s="3554"/>
      <c r="E12" s="3554"/>
    </row>
    <row r="13" spans="2:7">
      <c r="B13" s="3238" t="s">
        <v>3131</v>
      </c>
      <c r="C13" s="3554">
        <v>1.2</v>
      </c>
      <c r="D13" s="3554"/>
      <c r="E13" s="3554"/>
    </row>
    <row r="14" spans="2:7">
      <c r="B14" s="3238" t="s">
        <v>3132</v>
      </c>
      <c r="C14" s="3554">
        <f>ROUND(C12*C13/10000,2)</f>
        <v>17.670000000000002</v>
      </c>
      <c r="D14" s="3554"/>
      <c r="E14" s="3554"/>
    </row>
    <row r="16" spans="2:7" ht="27" customHeight="1">
      <c r="B16" s="3553" t="s">
        <v>3134</v>
      </c>
      <c r="C16" s="3553"/>
      <c r="D16" s="3553"/>
      <c r="E16" s="3553"/>
    </row>
    <row r="17" spans="2:5">
      <c r="B17" s="3460" t="s">
        <v>3135</v>
      </c>
      <c r="C17" s="3460"/>
      <c r="D17" s="3554">
        <v>403</v>
      </c>
      <c r="E17" s="3554"/>
    </row>
    <row r="18" spans="2:5">
      <c r="B18" s="3565" t="s">
        <v>3136</v>
      </c>
      <c r="C18" s="3565"/>
      <c r="D18" s="3554">
        <v>2000</v>
      </c>
      <c r="E18" s="3554"/>
    </row>
    <row r="19" spans="2:5">
      <c r="B19" s="3565" t="s">
        <v>3120</v>
      </c>
      <c r="C19" s="3565"/>
      <c r="D19" s="3566">
        <f>ROUND(D17*D18/10000,2)</f>
        <v>80.599999999999994</v>
      </c>
      <c r="E19" s="3566"/>
    </row>
    <row r="21" spans="2:5" ht="27" customHeight="1">
      <c r="B21" s="3553" t="s">
        <v>3137</v>
      </c>
      <c r="C21" s="3553"/>
      <c r="D21" s="3553"/>
      <c r="E21" s="3553"/>
    </row>
    <row r="22" spans="2:5">
      <c r="B22" s="3460" t="s">
        <v>3138</v>
      </c>
      <c r="C22" s="3460"/>
      <c r="D22" s="3554">
        <v>7</v>
      </c>
      <c r="E22" s="3554"/>
    </row>
    <row r="23" spans="2:5">
      <c r="B23" s="3460" t="s">
        <v>3139</v>
      </c>
      <c r="C23" s="3460"/>
      <c r="D23" s="3554">
        <v>1.2</v>
      </c>
      <c r="E23" s="3554"/>
    </row>
    <row r="24" spans="2:5">
      <c r="B24" s="3460" t="s">
        <v>3119</v>
      </c>
      <c r="C24" s="3460"/>
      <c r="D24" s="3554">
        <f>D22*D23</f>
        <v>8.4</v>
      </c>
      <c r="E24" s="3554"/>
    </row>
    <row r="26" spans="2:5">
      <c r="B26" s="3201"/>
    </row>
  </sheetData>
  <mergeCells count="27">
    <mergeCell ref="B5:C5"/>
    <mergeCell ref="B6:C6"/>
    <mergeCell ref="D6:E6"/>
    <mergeCell ref="B8:E8"/>
    <mergeCell ref="B2:E2"/>
    <mergeCell ref="D3:E3"/>
    <mergeCell ref="D4:E4"/>
    <mergeCell ref="D5:E5"/>
    <mergeCell ref="B3:C3"/>
    <mergeCell ref="B4:C4"/>
    <mergeCell ref="C12:E12"/>
    <mergeCell ref="C13:E13"/>
    <mergeCell ref="C14:E14"/>
    <mergeCell ref="B16:E16"/>
    <mergeCell ref="B17:C17"/>
    <mergeCell ref="B19:C19"/>
    <mergeCell ref="D17:E17"/>
    <mergeCell ref="D18:E18"/>
    <mergeCell ref="D19:E19"/>
    <mergeCell ref="B21:E21"/>
    <mergeCell ref="B18:C18"/>
    <mergeCell ref="B23:C23"/>
    <mergeCell ref="D22:E22"/>
    <mergeCell ref="D23:E23"/>
    <mergeCell ref="B24:C24"/>
    <mergeCell ref="D24:E24"/>
    <mergeCell ref="B22:C22"/>
  </mergeCells>
  <phoneticPr fontId="23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S75"/>
  <sheetViews>
    <sheetView workbookViewId="0">
      <selection activeCell="A105" sqref="A105"/>
    </sheetView>
  </sheetViews>
  <sheetFormatPr defaultRowHeight="13.5"/>
  <sheetData>
    <row r="2" spans="18:18">
      <c r="R2" s="3236" t="s">
        <v>3116</v>
      </c>
    </row>
    <row r="75" spans="19:19">
      <c r="S75" s="3236" t="s">
        <v>3117</v>
      </c>
    </row>
  </sheetData>
  <phoneticPr fontId="236"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hyperlink ref="S75" display="http://bj.58.com/fangchan/34007820244421x.shtml?psid=112471133200141147762811969&amp;ClickID=5&amp;cookie=|||c5/nn1sCbOFuBgk6KXsWAg==&amp;PGTID=0d30576d-0047-7322-be2b-a7da41451f03&amp;apptype=0&amp;entinfo=34007820244421_0&amp;fzbref=0&amp;iuType=gz_2&amp;key=&amp;pubid=33738209&amp;params=bus"/>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F9" sqref="F9"/>
    </sheetView>
  </sheetViews>
  <sheetFormatPr defaultRowHeight="13.5"/>
  <cols>
    <col min="2" max="2" width="11.625" bestFit="1" customWidth="1"/>
    <col min="3" max="4" width="28.875" customWidth="1"/>
    <col min="7" max="7" width="10.5" bestFit="1" customWidth="1"/>
    <col min="8" max="8" width="11.625" bestFit="1" customWidth="1"/>
    <col min="11" max="11" width="12.75" bestFit="1" customWidth="1"/>
    <col min="12" max="12" width="10.5" bestFit="1" customWidth="1"/>
  </cols>
  <sheetData>
    <row r="1" spans="1:12" s="2" customFormat="1" ht="27">
      <c r="A1" s="3248" t="s">
        <v>3172</v>
      </c>
      <c r="B1" s="3248" t="s">
        <v>3173</v>
      </c>
      <c r="C1" s="3248" t="s">
        <v>3179</v>
      </c>
      <c r="D1" s="3248" t="s">
        <v>3155</v>
      </c>
      <c r="E1" s="3248" t="s">
        <v>3156</v>
      </c>
      <c r="F1" s="3248" t="s">
        <v>3157</v>
      </c>
      <c r="G1" s="3248" t="s">
        <v>3174</v>
      </c>
      <c r="H1" s="3248" t="s">
        <v>3175</v>
      </c>
      <c r="I1" s="3248" t="s">
        <v>3177</v>
      </c>
    </row>
    <row r="2" spans="1:12" s="2" customFormat="1" ht="115.5" customHeight="1">
      <c r="A2" s="3249">
        <v>1</v>
      </c>
      <c r="B2" s="3250">
        <v>42052</v>
      </c>
      <c r="C2" s="3248" t="s">
        <v>3176</v>
      </c>
      <c r="D2" s="3248" t="s">
        <v>3180</v>
      </c>
      <c r="E2" s="3248" t="s">
        <v>3186</v>
      </c>
      <c r="F2" s="3248" t="s">
        <v>3178</v>
      </c>
      <c r="G2" s="3249">
        <v>226133.4</v>
      </c>
      <c r="H2" s="3249">
        <v>2564541000</v>
      </c>
      <c r="I2" s="3249">
        <f>ROUND(H2/G2,0)</f>
        <v>11341</v>
      </c>
      <c r="K2" s="2">
        <f>ROUND((I2+I3+I4)/3,0)</f>
        <v>13174</v>
      </c>
      <c r="L2" s="2">
        <f>项目基本情况!C22</f>
        <v>182153.37</v>
      </c>
    </row>
    <row r="3" spans="1:12" s="2" customFormat="1" ht="94.5">
      <c r="A3" s="3249">
        <v>2</v>
      </c>
      <c r="B3" s="3250">
        <v>42354</v>
      </c>
      <c r="C3" s="3248" t="s">
        <v>3183</v>
      </c>
      <c r="D3" s="3248" t="s">
        <v>3181</v>
      </c>
      <c r="E3" s="3248" t="s">
        <v>3185</v>
      </c>
      <c r="F3" s="3248" t="s">
        <v>3178</v>
      </c>
      <c r="G3" s="3249">
        <v>59493.582000000002</v>
      </c>
      <c r="H3" s="3249">
        <v>837522000</v>
      </c>
      <c r="I3" s="3249">
        <f t="shared" ref="I3:I5" si="0">ROUND(H3/G3,0)</f>
        <v>14078</v>
      </c>
      <c r="K3" s="2">
        <f>K2*L2/10000</f>
        <v>239968.84963800001</v>
      </c>
    </row>
    <row r="4" spans="1:12" s="2" customFormat="1" ht="121.5">
      <c r="A4" s="3249">
        <v>3</v>
      </c>
      <c r="B4" s="3250">
        <v>42354</v>
      </c>
      <c r="C4" s="3248" t="s">
        <v>3188</v>
      </c>
      <c r="D4" s="3248" t="s">
        <v>3182</v>
      </c>
      <c r="E4" s="3248" t="s">
        <v>3184</v>
      </c>
      <c r="F4" s="3248" t="s">
        <v>3178</v>
      </c>
      <c r="G4" s="3249">
        <v>76016.952999999994</v>
      </c>
      <c r="H4" s="3249">
        <v>1072001700</v>
      </c>
      <c r="I4" s="3249">
        <f t="shared" si="0"/>
        <v>14102</v>
      </c>
    </row>
    <row r="5" spans="1:12" s="2" customFormat="1" ht="54">
      <c r="A5" s="3249">
        <v>4</v>
      </c>
      <c r="B5" s="3250">
        <v>42102</v>
      </c>
      <c r="C5" s="3248" t="s">
        <v>3189</v>
      </c>
      <c r="D5" s="3248" t="s">
        <v>3187</v>
      </c>
      <c r="E5" s="3248" t="s">
        <v>3190</v>
      </c>
      <c r="F5" s="3248" t="s">
        <v>3178</v>
      </c>
      <c r="G5" s="3249">
        <f>27393.334-200</f>
        <v>27193.333999999999</v>
      </c>
      <c r="H5" s="3249">
        <v>937881151</v>
      </c>
      <c r="I5" s="3249">
        <f t="shared" si="0"/>
        <v>34489</v>
      </c>
    </row>
    <row r="6" spans="1:12" s="2" customFormat="1"/>
  </sheetData>
  <phoneticPr fontId="2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62" t="s">
        <v>2067</v>
      </c>
      <c r="B1" s="3262"/>
      <c r="C1" s="3262"/>
      <c r="D1" s="3262"/>
    </row>
    <row r="2" spans="1:4" ht="47.25" customHeight="1">
      <c r="A2" s="3266" t="str">
        <f>"1.权利限制："&amp;项目基本情况!L24&amp;"未设定租赁等其他他项权利。"</f>
        <v>1.权利限制：根据估价对象《不动产权证书》原件、《国有土地使用权》复印件，截至估价期日，估价对象抵押权未见登记。未设定租赁等其他他项权利。</v>
      </c>
      <c r="B2" s="3266"/>
      <c r="C2" s="3266"/>
      <c r="D2" s="3266"/>
    </row>
    <row r="3" spans="1:4" ht="48" customHeight="1">
      <c r="A3" s="32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2"/>
      <c r="C3" s="3262"/>
      <c r="D3" s="3262"/>
    </row>
    <row r="4" spans="1:4" ht="36.75" customHeight="1">
      <c r="A4" s="3262" t="str">
        <f>"3.估价规划限制条件：详见"&amp;项目基本情况!E21&amp;"。"</f>
        <v>3.估价规划限制条件：详见《建设工程规划许可证》[]、《出让合同》[]。</v>
      </c>
      <c r="B4" s="3262"/>
      <c r="C4" s="3262"/>
      <c r="D4" s="3262"/>
    </row>
    <row r="5" spans="1:4">
      <c r="A5" s="3265" t="s">
        <v>2068</v>
      </c>
      <c r="B5" s="3265"/>
      <c r="C5" s="3265"/>
      <c r="D5" s="3265"/>
    </row>
    <row r="6" spans="1:4">
      <c r="A6" s="3262" t="s">
        <v>2046</v>
      </c>
      <c r="B6" s="3262"/>
      <c r="C6" s="3262"/>
      <c r="D6" s="3262"/>
    </row>
    <row r="7" spans="1:4" ht="33" customHeight="1">
      <c r="A7" s="3262" t="s">
        <v>2578</v>
      </c>
      <c r="B7" s="3262"/>
      <c r="C7" s="3262"/>
      <c r="D7" s="3262"/>
    </row>
    <row r="8" spans="1:4" ht="32.25" customHeight="1">
      <c r="A8" s="32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2"/>
      <c r="C8" s="3262"/>
      <c r="D8" s="3262"/>
    </row>
    <row r="9" spans="1:4" ht="33.75" customHeight="1">
      <c r="A9" s="3262" t="str">
        <f>IF(项目基本情况!B8="抵押","3.抵押双方在办理抵押登记手续时，应使用本公司出具的正式《土地估价报告》，特提请报告使用者注意。","——")</f>
        <v>——</v>
      </c>
      <c r="B9" s="3262"/>
      <c r="C9" s="3262"/>
      <c r="D9" s="3262"/>
    </row>
    <row r="10" spans="1:4">
      <c r="A10" s="3262" t="str">
        <f>IF(项目基本情况!B8="抵押","4.估价师所知悉的法定优先受偿款情况为：","——")</f>
        <v>——</v>
      </c>
      <c r="B10" s="3262"/>
      <c r="C10" s="3262"/>
      <c r="D10" s="3262"/>
    </row>
    <row r="11" spans="1:4" ht="37.5" customHeight="1">
      <c r="A11" s="3264" t="str">
        <f>IF(项目基本情况!B8="抵押","（1）"&amp;CONCATENATE(项目基本情况!L24,项目基本情况!L25,项目基本情况!L26),"——")</f>
        <v>——</v>
      </c>
      <c r="B11" s="3264"/>
      <c r="C11" s="3264"/>
      <c r="D11" s="3264"/>
    </row>
    <row r="12" spans="1:4" ht="168" customHeight="1">
      <c r="A12" s="3265" t="s">
        <v>2070</v>
      </c>
      <c r="B12" s="3265"/>
      <c r="C12" s="3265"/>
      <c r="D12" s="3265"/>
    </row>
    <row r="13" spans="1:4">
      <c r="A13" s="3263" t="s">
        <v>2749</v>
      </c>
      <c r="B13" s="3263"/>
      <c r="C13" s="3263"/>
      <c r="D13" s="3263"/>
    </row>
    <row r="14" spans="1:4">
      <c r="A14" s="3264" t="str">
        <f>IF(项目基本情况!B8="抵押","综上，"&amp;结果表!K47,"——")</f>
        <v>——</v>
      </c>
      <c r="B14" s="3264"/>
      <c r="C14" s="3264"/>
      <c r="D14" s="3264"/>
    </row>
    <row r="15" spans="1:4" ht="58.5" customHeight="1">
      <c r="A15" s="32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2"/>
      <c r="C15" s="3262"/>
      <c r="D15" s="3262"/>
    </row>
    <row r="16" spans="1:4" ht="70.5" customHeight="1">
      <c r="A16" s="32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2"/>
      <c r="C16" s="3262"/>
      <c r="D16" s="3262"/>
    </row>
    <row r="17" spans="1:4">
      <c r="A17" s="3262" t="s">
        <v>2705</v>
      </c>
      <c r="B17" s="3262"/>
      <c r="C17" s="3262"/>
      <c r="D17" s="3262"/>
    </row>
    <row r="18" spans="1:4">
      <c r="A18" s="3262" t="s">
        <v>2697</v>
      </c>
      <c r="B18" s="3262"/>
      <c r="C18" s="3262"/>
      <c r="D18" s="3262"/>
    </row>
    <row r="19" spans="1:4">
      <c r="A19" s="2893" t="s">
        <v>2698</v>
      </c>
      <c r="B19" s="2893" t="s">
        <v>2699</v>
      </c>
      <c r="C19" s="2893" t="s">
        <v>2700</v>
      </c>
      <c r="D19" s="2893" t="s">
        <v>2701</v>
      </c>
    </row>
    <row r="20" spans="1:4">
      <c r="A20" s="2893" t="str">
        <f>项目基本情况!B4</f>
        <v>土地估价师</v>
      </c>
      <c r="B20" s="2893">
        <f>项目基本情况!C4</f>
        <v>0</v>
      </c>
      <c r="C20" s="2895"/>
      <c r="D20" s="1801" t="s">
        <v>2706</v>
      </c>
    </row>
    <row r="21" spans="1:4">
      <c r="A21" s="2893" t="str">
        <f>项目基本情况!D4</f>
        <v>土地估价师</v>
      </c>
      <c r="B21" s="2893">
        <f>项目基本情况!E4</f>
        <v>0</v>
      </c>
      <c r="C21" s="2895"/>
      <c r="D21" s="1801" t="s">
        <v>2707</v>
      </c>
    </row>
    <row r="23" spans="1:4">
      <c r="A23" s="3262" t="s">
        <v>2702</v>
      </c>
      <c r="B23" s="3262"/>
      <c r="C23" s="3262"/>
      <c r="D23" s="3262"/>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4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74" t="s">
        <v>53</v>
      </c>
      <c r="B15" s="3275" t="s">
        <v>845</v>
      </c>
      <c r="C15" s="3271"/>
    </row>
    <row r="16" spans="1:7" ht="14.25">
      <c r="A16" s="3274"/>
      <c r="B16" s="3272" t="s">
        <v>54</v>
      </c>
      <c r="C16" s="1172" t="s">
        <v>53</v>
      </c>
    </row>
    <row r="17" spans="1:3" ht="14.25">
      <c r="A17" s="3274"/>
      <c r="B17" s="3272"/>
      <c r="C17" s="1172" t="s">
        <v>55</v>
      </c>
    </row>
    <row r="18" spans="1:3" ht="14.25">
      <c r="A18" s="3274"/>
      <c r="B18" s="3272"/>
      <c r="C18" s="1172" t="s">
        <v>56</v>
      </c>
    </row>
    <row r="19" spans="1:3" ht="14.25">
      <c r="A19" s="3274"/>
      <c r="B19" s="3270" t="s">
        <v>57</v>
      </c>
      <c r="C19" s="3271"/>
    </row>
    <row r="20" spans="1:3" ht="14.25">
      <c r="A20" s="1173" t="s">
        <v>58</v>
      </c>
      <c r="B20" s="1174"/>
      <c r="C20" s="1175"/>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6" t="s">
        <v>836</v>
      </c>
    </row>
    <row r="25" spans="1:3" ht="14.25">
      <c r="A25" s="3273"/>
      <c r="B25" s="3277"/>
      <c r="C25" s="1176" t="s">
        <v>837</v>
      </c>
    </row>
    <row r="26" spans="1:3" ht="14.25">
      <c r="A26" s="3273"/>
      <c r="B26" s="3277"/>
      <c r="C26" s="1176" t="s">
        <v>838</v>
      </c>
    </row>
    <row r="27" spans="1:3" ht="14.25">
      <c r="A27" s="3273"/>
      <c r="B27" s="3277"/>
      <c r="C27" s="1176" t="s">
        <v>839</v>
      </c>
    </row>
    <row r="28" spans="1:3" ht="14.25">
      <c r="A28" s="3273"/>
      <c r="B28" s="3277"/>
      <c r="C28" s="1176" t="s">
        <v>840</v>
      </c>
    </row>
    <row r="29" spans="1:3" ht="14.25">
      <c r="A29" s="3273"/>
      <c r="B29" s="3277"/>
      <c r="C29" s="1176" t="s">
        <v>841</v>
      </c>
    </row>
    <row r="30" spans="1:3" ht="14.25">
      <c r="A30" s="3273"/>
      <c r="B30" s="3277"/>
      <c r="C30" s="1176" t="s">
        <v>842</v>
      </c>
    </row>
    <row r="31" spans="1:3" ht="14.25">
      <c r="A31" s="3273"/>
      <c r="B31" s="3277"/>
      <c r="C31" s="1176" t="s">
        <v>843</v>
      </c>
    </row>
    <row r="32" spans="1:3" ht="14.25">
      <c r="A32" s="3273"/>
      <c r="B32" s="3277"/>
      <c r="C32" s="1176" t="s">
        <v>1646</v>
      </c>
    </row>
    <row r="33" spans="1:3" ht="14.25">
      <c r="A33" s="3273"/>
      <c r="B33" s="3267" t="s">
        <v>1652</v>
      </c>
      <c r="C33" s="1176" t="s">
        <v>1647</v>
      </c>
    </row>
    <row r="34" spans="1:3" ht="14.25">
      <c r="A34" s="3273"/>
      <c r="B34" s="3268"/>
      <c r="C34" s="1181" t="s">
        <v>1648</v>
      </c>
    </row>
    <row r="35" spans="1:3" ht="14.25">
      <c r="A35" s="3273"/>
      <c r="B35" s="3268"/>
      <c r="C35" s="1182" t="s">
        <v>1649</v>
      </c>
    </row>
    <row r="36" spans="1:3" ht="14.25">
      <c r="A36" s="3273"/>
      <c r="B36" s="3268"/>
      <c r="C36" s="1182" t="s">
        <v>1650</v>
      </c>
    </row>
    <row r="37" spans="1:3" ht="14.25">
      <c r="A37" s="3273"/>
      <c r="B37" s="3269"/>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43264</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1">
        <v>43849</v>
      </c>
      <c r="D4" s="2344" t="s">
        <v>1914</v>
      </c>
      <c r="E4" s="2344">
        <f ca="1">IF(F4&lt;B2,"已过期",96010014)</f>
        <v>96010014</v>
      </c>
      <c r="F4" s="3032">
        <v>47118</v>
      </c>
    </row>
    <row r="5" spans="1:6" ht="20.25" customHeight="1">
      <c r="A5" s="2344" t="s">
        <v>1915</v>
      </c>
      <c r="B5" s="2344">
        <f ca="1">IF(C5&lt;B2,"已过期",1119970074)</f>
        <v>1119970074</v>
      </c>
      <c r="C5" s="3031">
        <v>43849</v>
      </c>
      <c r="D5" s="2344" t="s">
        <v>1915</v>
      </c>
      <c r="E5" s="2344">
        <f ca="1">IF(F5&lt;B2,"已过期",2002110027)</f>
        <v>2002110027</v>
      </c>
      <c r="F5" s="3032">
        <v>46752</v>
      </c>
    </row>
    <row r="6" spans="1:6" ht="20.25" customHeight="1">
      <c r="A6" s="2344" t="s">
        <v>1916</v>
      </c>
      <c r="B6" s="2344">
        <f ca="1">IF(C6&lt;B2,"已过期",1119970111)</f>
        <v>1119970111</v>
      </c>
      <c r="C6" s="3031">
        <v>43849</v>
      </c>
      <c r="D6" s="2344" t="s">
        <v>1916</v>
      </c>
      <c r="E6" s="2344">
        <f ca="1">IF(F6&lt;B2,"已过期",94010078)</f>
        <v>94010078</v>
      </c>
      <c r="F6" s="3032">
        <v>46387</v>
      </c>
    </row>
    <row r="7" spans="1:6" ht="20.25" customHeight="1">
      <c r="A7" s="2344" t="s">
        <v>1917</v>
      </c>
      <c r="B7" s="2344">
        <f ca="1">IF(C7&lt;B2,"已过期",1120050019)</f>
        <v>1120050019</v>
      </c>
      <c r="C7" s="3031">
        <v>43359</v>
      </c>
      <c r="D7" s="2344" t="s">
        <v>1917</v>
      </c>
      <c r="E7" s="2344">
        <f ca="1">IF(F7&lt;B2,"已过期",2002110030)</f>
        <v>2002110030</v>
      </c>
      <c r="F7" s="3032">
        <v>46387</v>
      </c>
    </row>
    <row r="8" spans="1:6" ht="20.25" customHeight="1">
      <c r="A8" s="2344" t="s">
        <v>1918</v>
      </c>
      <c r="B8" s="2344">
        <f ca="1">IF(C8&lt;B2,"已过期",1120000080)</f>
        <v>1120000080</v>
      </c>
      <c r="C8" s="3031">
        <v>43849</v>
      </c>
      <c r="D8" s="2344" t="s">
        <v>1918</v>
      </c>
      <c r="E8" s="2344">
        <f ca="1">IF(F8&lt;B2,"已过期",2000110082)</f>
        <v>2000110082</v>
      </c>
      <c r="F8" s="3032">
        <v>46387</v>
      </c>
    </row>
    <row r="9" spans="1:6" ht="20.25" customHeight="1">
      <c r="A9" s="2344" t="s">
        <v>1919</v>
      </c>
      <c r="B9" s="2344">
        <f ca="1">IF(C9&lt;B2,"已过期",1419970001)</f>
        <v>1419970001</v>
      </c>
      <c r="C9" s="3031">
        <v>43867</v>
      </c>
      <c r="D9" s="2344" t="s">
        <v>1919</v>
      </c>
      <c r="E9" s="2344">
        <f ca="1">IF(F9&lt;B2,"已过期",2002110125)</f>
        <v>2002110125</v>
      </c>
      <c r="F9" s="3032">
        <v>47118</v>
      </c>
    </row>
    <row r="10" spans="1:6" ht="20.25" customHeight="1">
      <c r="A10" s="2344" t="s">
        <v>1920</v>
      </c>
      <c r="B10" s="2344">
        <f ca="1">IF(C10&lt;B2,"已过期",1120060040)</f>
        <v>1120060040</v>
      </c>
      <c r="C10" s="3031">
        <v>43483</v>
      </c>
      <c r="D10" s="2344" t="s">
        <v>1920</v>
      </c>
      <c r="E10" s="2344">
        <f ca="1">IF(F10&lt;B2,"已过期",2004110096)</f>
        <v>2004110096</v>
      </c>
      <c r="F10" s="3032">
        <v>47118</v>
      </c>
    </row>
    <row r="11" spans="1:6" ht="20.25" customHeight="1">
      <c r="A11" s="2344" t="s">
        <v>1921</v>
      </c>
      <c r="B11" s="2344">
        <f ca="1">IF(C11&lt;B2,"已过期",1120100036)</f>
        <v>1120100036</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f ca="1">IF(C13&lt;B2,"已过期",1120070131)</f>
        <v>1120070131</v>
      </c>
      <c r="C13" s="3031">
        <v>43814</v>
      </c>
      <c r="D13" s="2344" t="s">
        <v>1922</v>
      </c>
      <c r="E13" s="2344">
        <v>2014110011</v>
      </c>
      <c r="F13" s="3032">
        <v>49302</v>
      </c>
    </row>
    <row r="14" spans="1:6" ht="20.25" customHeight="1">
      <c r="A14" s="2344" t="s">
        <v>1923</v>
      </c>
      <c r="B14" s="2344">
        <f ca="1">IF(C14&lt;B2,"已过期",1120130020)</f>
        <v>1120130020</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f ca="1">IF(C16&lt;B2,"已过期",1120140022)</f>
        <v>1120140022</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f ca="1">IF(C22&lt;B2,"已过期",1120020033)</f>
        <v>1120020033</v>
      </c>
      <c r="C22" s="3031">
        <v>43304</v>
      </c>
      <c r="D22" s="2344" t="s">
        <v>1926</v>
      </c>
      <c r="E22" s="2344">
        <f ca="1">IF(F22&lt;B2,"已过期",2000110137)</f>
        <v>2000110137</v>
      </c>
      <c r="F22" s="3032">
        <v>46387</v>
      </c>
    </row>
    <row r="23" spans="1:7" ht="20.25" customHeight="1">
      <c r="A23" s="2344" t="s">
        <v>1927</v>
      </c>
      <c r="B23" s="2344">
        <f ca="1">IF(C23&lt;B2,"已过期",1120130048)</f>
        <v>1120130048</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278" t="s">
        <v>1928</v>
      </c>
      <c r="B25" s="3278"/>
      <c r="C25" s="3278"/>
      <c r="D25" s="3278"/>
      <c r="E25" s="3278"/>
      <c r="F25" s="3278"/>
      <c r="G25" s="3278"/>
    </row>
    <row r="26" spans="1:7" ht="20.25" customHeight="1">
      <c r="A26" s="3279" t="s">
        <v>1929</v>
      </c>
      <c r="B26" s="3279"/>
      <c r="C26" s="3279"/>
      <c r="D26" s="3279" t="s">
        <v>1930</v>
      </c>
      <c r="E26" s="3279"/>
      <c r="F26" s="3279"/>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2946</v>
      </c>
      <c r="F29" s="2358">
        <v>43281</v>
      </c>
    </row>
    <row r="30" spans="1:7" ht="20.25" customHeight="1">
      <c r="C30" s="2359"/>
      <c r="D30" s="2359"/>
    </row>
  </sheetData>
  <sheetProtection sheet="1" objects="1" scenarios="1"/>
  <mergeCells count="3">
    <mergeCell ref="A25:G25"/>
    <mergeCell ref="A26:C26"/>
    <mergeCell ref="D26:F26"/>
  </mergeCells>
  <phoneticPr fontId="6"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X22" sqref="X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1149" t="s">
        <v>3015</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41" t="s">
        <v>2959</v>
      </c>
      <c r="C18" s="1554"/>
    </row>
    <row r="19" spans="1:3">
      <c r="A19" s="8" t="s">
        <v>119</v>
      </c>
      <c r="B19" s="3141" t="s">
        <v>2967</v>
      </c>
      <c r="C19" s="1554"/>
    </row>
    <row r="20" spans="1:3">
      <c r="A20" s="8" t="s">
        <v>120</v>
      </c>
      <c r="B20" s="8" t="s">
        <v>3017</v>
      </c>
      <c r="C20" s="1554"/>
    </row>
    <row r="21" spans="1:3">
      <c r="A21" s="8" t="s">
        <v>121</v>
      </c>
      <c r="B21" s="8" t="s">
        <v>3018</v>
      </c>
      <c r="C21" s="1554"/>
    </row>
    <row r="22" spans="1:3">
      <c r="A22" s="8" t="s">
        <v>122</v>
      </c>
      <c r="B22" s="8" t="s">
        <v>3019</v>
      </c>
      <c r="C22" s="1554"/>
    </row>
    <row r="23" spans="1:3">
      <c r="A23" s="8" t="s">
        <v>123</v>
      </c>
      <c r="B23" s="8" t="s">
        <v>3020</v>
      </c>
      <c r="C23" s="1554"/>
    </row>
    <row r="24" spans="1:3">
      <c r="A24" s="8" t="s">
        <v>12</v>
      </c>
      <c r="B24" s="8" t="s">
        <v>3021</v>
      </c>
      <c r="C24" s="1554"/>
    </row>
    <row r="25" spans="1:3">
      <c r="A25" s="8" t="s">
        <v>124</v>
      </c>
      <c r="B25" s="8" t="s">
        <v>1641</v>
      </c>
      <c r="C25" s="1554"/>
    </row>
    <row r="26" spans="1:3">
      <c r="A26" s="8" t="s">
        <v>125</v>
      </c>
      <c r="B26" s="8" t="s">
        <v>1641</v>
      </c>
      <c r="C26" s="1554"/>
    </row>
    <row r="27" spans="1:3">
      <c r="A27" s="3141" t="s">
        <v>2985</v>
      </c>
      <c r="B27" s="8" t="s">
        <v>1641</v>
      </c>
      <c r="C27" s="1554"/>
    </row>
    <row r="28" spans="1:3">
      <c r="A28" s="8" t="s">
        <v>2986</v>
      </c>
      <c r="B28" s="8" t="s">
        <v>1641</v>
      </c>
      <c r="C28" s="1554"/>
    </row>
    <row r="29" spans="1:3">
      <c r="A29" s="8" t="s">
        <v>2987</v>
      </c>
      <c r="B29" s="8" t="s">
        <v>1641</v>
      </c>
      <c r="C29" s="1554"/>
    </row>
    <row r="30" spans="1:3">
      <c r="A30" s="8" t="s">
        <v>2988</v>
      </c>
      <c r="B30" s="8" t="s">
        <v>1641</v>
      </c>
      <c r="C30" s="1554"/>
    </row>
    <row r="31" spans="1:3">
      <c r="A31" s="8" t="s">
        <v>2989</v>
      </c>
      <c r="B31" s="8" t="s">
        <v>1641</v>
      </c>
      <c r="C31" s="1554"/>
    </row>
    <row r="32" spans="1:3">
      <c r="A32" s="8" t="s">
        <v>2990</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280"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日，在规划利用条件下、设定土地开发程度为红线外“七通”、宗地内场地，设定用途为，剩余土地使用年限为的出让国有建设用地使用权价格。</v>
      </c>
      <c r="D53" s="1768"/>
      <c r="E53" s="1768"/>
    </row>
    <row r="54" spans="1:5">
      <c r="A54" s="3280"/>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80"/>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80"/>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80"/>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比较法-工业</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地价</vt:lpstr>
      <vt:lpstr>附属物价格-树木</vt:lpstr>
      <vt:lpstr>存贷款利率</vt:lpstr>
      <vt:lpstr>搬迁费</vt:lpstr>
      <vt:lpstr>建筑物价格</vt:lpstr>
      <vt:lpstr>停产停业损失补偿</vt:lpstr>
      <vt:lpstr>租金案例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2018-06-13T07:38:41Z</dcterms:modified>
</cp:coreProperties>
</file>