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E:\2024\进行中\2024-1-0993-F01-平谷谷丰东路30号院-吴琼中行\"/>
    </mc:Choice>
  </mc:AlternateContent>
  <xr:revisionPtr revIDLastSave="0" documentId="13_ncr:1_{298A1DE7-B381-426D-A39F-128D3AF81646}" xr6:coauthVersionLast="47" xr6:coauthVersionMax="47" xr10:uidLastSave="{00000000-0000-0000-0000-000000000000}"/>
  <bookViews>
    <workbookView xWindow="-108" yWindow="-108" windowWidth="20376" windowHeight="12216"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面积清单" sheetId="81" r:id="rId37"/>
    <sheet name="项目介绍" sheetId="80" r:id="rId38"/>
    <sheet name="修正" sheetId="45" state="hidden" r:id="rId39"/>
    <sheet name="容积率修正" sheetId="46"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20" i="1" l="1"/>
  <c r="N19" i="1"/>
  <c r="H15" i="81" l="1"/>
  <c r="H17" i="81" s="1"/>
  <c r="AH6" i="1"/>
  <c r="H16" i="81"/>
  <c r="D33" i="43" s="1"/>
  <c r="B59" i="1"/>
  <c r="J49" i="67"/>
  <c r="F27" i="81"/>
  <c r="D27" i="81"/>
  <c r="D21" i="81"/>
  <c r="I13" i="3" l="1"/>
  <c r="F19" i="6" s="1"/>
  <c r="U18" i="1" s="1"/>
  <c r="K13" i="3"/>
  <c r="G19" i="6" s="1"/>
  <c r="U19" i="1" s="1"/>
  <c r="N6" i="1"/>
  <c r="Y6" i="1" s="1"/>
  <c r="J43" i="1" l="1"/>
  <c r="N42" i="1"/>
  <c r="O41" i="1"/>
  <c r="N41" i="1"/>
  <c r="K41" i="1"/>
  <c r="P36" i="1"/>
  <c r="R31" i="1"/>
  <c r="R43" i="1" s="1"/>
  <c r="P31" i="1"/>
  <c r="P44" i="1" s="1"/>
  <c r="O31" i="1"/>
  <c r="O43" i="1" s="1"/>
  <c r="N31" i="1"/>
  <c r="N43" i="1" s="1"/>
  <c r="M31" i="1"/>
  <c r="M43" i="1" s="1"/>
  <c r="L31" i="1"/>
  <c r="L43" i="1" s="1"/>
  <c r="K31" i="1"/>
  <c r="K43" i="1" s="1"/>
  <c r="J31" i="1"/>
  <c r="J42" i="1" s="1"/>
  <c r="I31" i="1"/>
  <c r="I43" i="1" s="1"/>
  <c r="J41" i="1" l="1"/>
  <c r="K42" i="1"/>
  <c r="O42" i="1"/>
  <c r="L41" i="1"/>
  <c r="R41" i="1"/>
  <c r="L42" i="1"/>
  <c r="R42" i="1"/>
  <c r="I41" i="1"/>
  <c r="M41" i="1"/>
  <c r="I42" i="1"/>
  <c r="M42" i="1"/>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V68" i="71"/>
  <c r="E68" i="71"/>
  <c r="P68" i="71" s="1"/>
  <c r="C68" i="71"/>
  <c r="D68"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c r="O39" i="71"/>
  <c r="N39" i="71"/>
  <c r="X39" i="71" s="1"/>
  <c r="Q38" i="71"/>
  <c r="AB38" i="71" s="1"/>
  <c r="P38" i="71"/>
  <c r="O38" i="71"/>
  <c r="N38" i="71"/>
  <c r="Q37" i="71"/>
  <c r="P37" i="71"/>
  <c r="O37" i="71"/>
  <c r="C38" i="71" s="1"/>
  <c r="N37" i="71"/>
  <c r="B38" i="71" s="1"/>
  <c r="B39"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C30" i="71" s="1"/>
  <c r="C31" i="71" s="1"/>
  <c r="N29" i="71"/>
  <c r="D29" i="71"/>
  <c r="O28" i="71"/>
  <c r="N28" i="71"/>
  <c r="B28" i="71" s="1"/>
  <c r="B30" i="71"/>
  <c r="B31" i="71" s="1"/>
  <c r="B32" i="71" s="1"/>
  <c r="S32" i="71" s="1"/>
  <c r="E30" i="71"/>
  <c r="E31" i="71" s="1"/>
  <c r="E32" i="71" s="1"/>
  <c r="U32" i="71" s="1"/>
  <c r="B34" i="71"/>
  <c r="E38" i="71"/>
  <c r="N68" i="71"/>
  <c r="AA35" i="71"/>
  <c r="X38" i="71"/>
  <c r="C28" i="71"/>
  <c r="T28" i="71" s="1"/>
  <c r="P28" i="71"/>
  <c r="E28" i="71" s="1"/>
  <c r="E67" i="71"/>
  <c r="E66" i="71" s="1"/>
  <c r="Q28" i="71"/>
  <c r="B66" i="71"/>
  <c r="N65" i="71" s="1"/>
  <c r="Q68" i="71"/>
  <c r="C71" i="71"/>
  <c r="C70" i="71" s="1"/>
  <c r="D70" i="71" s="1"/>
  <c r="E71" i="71"/>
  <c r="E70" i="71" s="1"/>
  <c r="D72" i="71"/>
  <c r="E75" i="71"/>
  <c r="E74" i="71" s="1"/>
  <c r="E79" i="71"/>
  <c r="E78" i="71" s="1"/>
  <c r="C83" i="71"/>
  <c r="D83" i="71" s="1"/>
  <c r="AA28" i="71"/>
  <c r="D71"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AA21" i="33" s="1"/>
  <c r="E83" i="21"/>
  <c r="F83" i="21" s="1"/>
  <c r="G83" i="21" s="1"/>
  <c r="H1" i="69"/>
  <c r="W29" i="39"/>
  <c r="S21" i="37"/>
  <c r="S21" i="33"/>
  <c r="J21" i="37"/>
  <c r="W21" i="37" s="1"/>
  <c r="G84" i="34"/>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E19" i="6" s="1"/>
  <c r="B14" i="74"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AA38" i="34" s="1"/>
  <c r="S38" i="34"/>
  <c r="D112" i="34"/>
  <c r="E112" i="34" s="1"/>
  <c r="F112" i="34" s="1"/>
  <c r="G112" i="34" s="1"/>
  <c r="H112" i="34" s="1"/>
  <c r="I112" i="34" s="1"/>
  <c r="J112" i="34" s="1"/>
  <c r="K112" i="34" s="1"/>
  <c r="L112" i="34" s="1"/>
  <c r="M112" i="34" s="1"/>
  <c r="F40" i="33"/>
  <c r="J41" i="33"/>
  <c r="AC41" i="33" s="1"/>
  <c r="D113" i="33"/>
  <c r="F37" i="33"/>
  <c r="D111" i="33"/>
  <c r="E111" i="33" s="1"/>
  <c r="F111" i="33"/>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W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B82" i="37"/>
  <c r="D79" i="37"/>
  <c r="E79" i="37" s="1"/>
  <c r="D75" i="37"/>
  <c r="E75" i="37" s="1"/>
  <c r="D73" i="37"/>
  <c r="E73" i="37" s="1"/>
  <c r="F73" i="37" s="1"/>
  <c r="G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D70" i="36"/>
  <c r="H22" i="36"/>
  <c r="AB22" i="36" s="1"/>
  <c r="D68" i="36"/>
  <c r="E68" i="36" s="1"/>
  <c r="F68" i="36"/>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Q11" i="36"/>
  <c r="Z11" i="36" s="1"/>
  <c r="Q10" i="36"/>
  <c r="Z10" i="36" s="1"/>
  <c r="F10" i="36"/>
  <c r="AA10" i="36" s="1"/>
  <c r="Q9" i="36"/>
  <c r="Z9" i="36"/>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F35" i="35" s="1"/>
  <c r="AA35" i="35" s="1"/>
  <c r="B97" i="35"/>
  <c r="H34" i="35" s="1"/>
  <c r="AB34" i="35" s="1"/>
  <c r="B77" i="35"/>
  <c r="B75" i="35"/>
  <c r="J24" i="35" s="1"/>
  <c r="AC24" i="35" s="1"/>
  <c r="B73" i="35"/>
  <c r="B57" i="35"/>
  <c r="B61" i="35"/>
  <c r="H13" i="35" s="1"/>
  <c r="U13" i="35" s="1"/>
  <c r="B59" i="35"/>
  <c r="F12" i="35" s="1"/>
  <c r="B131" i="34"/>
  <c r="B129" i="34"/>
  <c r="B127" i="34"/>
  <c r="B99" i="34"/>
  <c r="F32" i="34" s="1"/>
  <c r="B97" i="34"/>
  <c r="B95" i="34"/>
  <c r="B93" i="34"/>
  <c r="B75" i="34"/>
  <c r="F14" i="34" s="1"/>
  <c r="S14" i="34" s="1"/>
  <c r="B73" i="34"/>
  <c r="B71" i="34"/>
  <c r="J12" i="34" s="1"/>
  <c r="W12" i="34" s="1"/>
  <c r="B130" i="33"/>
  <c r="F46" i="33" s="1"/>
  <c r="AA46" i="33" s="1"/>
  <c r="B128" i="33"/>
  <c r="J45" i="33" s="1"/>
  <c r="W45" i="33" s="1"/>
  <c r="B126" i="33"/>
  <c r="B98" i="33"/>
  <c r="B96" i="33"/>
  <c r="F30" i="33" s="1"/>
  <c r="S30" i="33" s="1"/>
  <c r="B94" i="33"/>
  <c r="J29" i="33" s="1"/>
  <c r="B74" i="33"/>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AB12" i="34" s="1"/>
  <c r="F12" i="34"/>
  <c r="S12" i="34" s="1"/>
  <c r="Q11" i="34"/>
  <c r="Z11" i="34" s="1"/>
  <c r="Q10" i="34"/>
  <c r="Z10" i="34" s="1"/>
  <c r="F10" i="34"/>
  <c r="AA10" i="34" s="1"/>
  <c r="Q9" i="34"/>
  <c r="Z9" i="34"/>
  <c r="J9" i="34"/>
  <c r="AC9" i="34" s="1"/>
  <c r="H9" i="34"/>
  <c r="J8" i="34"/>
  <c r="AC8" i="34" s="1"/>
  <c r="H8" i="34"/>
  <c r="U8" i="34" s="1"/>
  <c r="F8" i="34"/>
  <c r="S8" i="34" s="1"/>
  <c r="D121" i="33"/>
  <c r="E121" i="33" s="1"/>
  <c r="F109" i="33"/>
  <c r="E109" i="33"/>
  <c r="D109" i="33"/>
  <c r="C109" i="33"/>
  <c r="D91" i="33"/>
  <c r="E91" i="33"/>
  <c r="B88" i="33"/>
  <c r="J26" i="33" s="1"/>
  <c r="W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H40" i="33"/>
  <c r="AB40" i="33" s="1"/>
  <c r="AA40" i="33"/>
  <c r="Q39" i="33"/>
  <c r="Z39" i="33"/>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C15" i="39"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F44" i="21" s="1"/>
  <c r="AA44" i="21" s="1"/>
  <c r="B98" i="21"/>
  <c r="J31" i="21" s="1"/>
  <c r="AC31" i="21" s="1"/>
  <c r="H31" i="21"/>
  <c r="B96" i="21"/>
  <c r="B94" i="21"/>
  <c r="J29" i="21" s="1"/>
  <c r="AC29" i="21"/>
  <c r="B92" i="21"/>
  <c r="B90" i="2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R5" i="3" s="1"/>
  <c r="BS585" i="3"/>
  <c r="BT585" i="3"/>
  <c r="BB586" i="3"/>
  <c r="BC586" i="3"/>
  <c r="BA586" i="3" s="1"/>
  <c r="BD586" i="3"/>
  <c r="BE586" i="3"/>
  <c r="BF586" i="3"/>
  <c r="BG586" i="3"/>
  <c r="BG5" i="3" s="1"/>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s="1"/>
  <c r="AB41" i="21"/>
  <c r="AA41" i="21"/>
  <c r="J44" i="39"/>
  <c r="F36" i="39"/>
  <c r="S36" i="39" s="1"/>
  <c r="H36" i="39"/>
  <c r="AB36" i="39"/>
  <c r="F35" i="39"/>
  <c r="AA35" i="39" s="1"/>
  <c r="J36" i="39"/>
  <c r="AC36" i="39" s="1"/>
  <c r="W40" i="39"/>
  <c r="U30" i="37"/>
  <c r="F39" i="37"/>
  <c r="S39" i="37" s="1"/>
  <c r="F29" i="36"/>
  <c r="AA29" i="36" s="1"/>
  <c r="F16" i="36"/>
  <c r="AA16" i="36" s="1"/>
  <c r="W28" i="36"/>
  <c r="U31" i="36"/>
  <c r="J33" i="36"/>
  <c r="AC33" i="36" s="1"/>
  <c r="H22" i="35"/>
  <c r="AB22" i="35" s="1"/>
  <c r="AC27" i="35"/>
  <c r="W28" i="35"/>
  <c r="S31" i="35"/>
  <c r="F36" i="34"/>
  <c r="J35" i="34"/>
  <c r="W9" i="34"/>
  <c r="U34" i="34"/>
  <c r="H39" i="33"/>
  <c r="AB39" i="33" s="1"/>
  <c r="F26" i="33"/>
  <c r="AA26" i="33" s="1"/>
  <c r="S40" i="33"/>
  <c r="W33" i="33"/>
  <c r="W39" i="33"/>
  <c r="H39" i="37"/>
  <c r="AB39" i="37"/>
  <c r="F11" i="40"/>
  <c r="AA11" i="40" s="1"/>
  <c r="H11" i="40"/>
  <c r="AB11" i="40" s="1"/>
  <c r="U9" i="40"/>
  <c r="U34" i="40"/>
  <c r="F42" i="39"/>
  <c r="AA42" i="39" s="1"/>
  <c r="F41" i="39"/>
  <c r="S41" i="39" s="1"/>
  <c r="H40" i="39"/>
  <c r="H39" i="39"/>
  <c r="U39" i="39" s="1"/>
  <c r="S38" i="39"/>
  <c r="H34" i="39"/>
  <c r="U34"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H32" i="33"/>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J30" i="35"/>
  <c r="W30" i="35" s="1"/>
  <c r="H30" i="35"/>
  <c r="AB30" i="35" s="1"/>
  <c r="F22" i="35"/>
  <c r="AA22" i="35"/>
  <c r="H10" i="35"/>
  <c r="U10" i="35" s="1"/>
  <c r="F33" i="36"/>
  <c r="AA33" i="36" s="1"/>
  <c r="H16" i="36"/>
  <c r="AB16"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J23" i="34"/>
  <c r="F19" i="34"/>
  <c r="S19" i="34" s="1"/>
  <c r="H17" i="34"/>
  <c r="F15" i="34"/>
  <c r="AA15" i="34" s="1"/>
  <c r="J15" i="34"/>
  <c r="H15" i="34"/>
  <c r="AB15" i="34" s="1"/>
  <c r="W8" i="34"/>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U34" i="37"/>
  <c r="S34" i="37"/>
  <c r="AA34" i="37"/>
  <c r="J43" i="34"/>
  <c r="AB42" i="34"/>
  <c r="J40" i="34"/>
  <c r="W40" i="34" s="1"/>
  <c r="H38" i="34"/>
  <c r="AB38" i="34" s="1"/>
  <c r="J36" i="34"/>
  <c r="W36" i="34" s="1"/>
  <c r="H37" i="34"/>
  <c r="U37" i="34" s="1"/>
  <c r="H25" i="34"/>
  <c r="AB25" i="34" s="1"/>
  <c r="J25" i="34"/>
  <c r="AC25" i="34" s="1"/>
  <c r="F23" i="34"/>
  <c r="AA23" i="34" s="1"/>
  <c r="J19" i="34"/>
  <c r="AC19" i="34" s="1"/>
  <c r="F17" i="34"/>
  <c r="AA17" i="34"/>
  <c r="J17" i="34"/>
  <c r="W17" i="34" s="1"/>
  <c r="H37" i="33"/>
  <c r="AB37" i="33" s="1"/>
  <c r="H15" i="33"/>
  <c r="AB15" i="33" s="1"/>
  <c r="H11" i="33"/>
  <c r="AB11" i="33" s="1"/>
  <c r="F28" i="40"/>
  <c r="AA28" i="40" s="1"/>
  <c r="S42" i="34"/>
  <c r="AC38" i="34"/>
  <c r="J37" i="34"/>
  <c r="AC37" i="34" s="1"/>
  <c r="J11" i="33"/>
  <c r="W11" i="33" s="1"/>
  <c r="J42" i="21"/>
  <c r="AC42" i="21" s="1"/>
  <c r="H42" i="21"/>
  <c r="U42" i="21" s="1"/>
  <c r="J44" i="34"/>
  <c r="F44" i="34"/>
  <c r="J10" i="35"/>
  <c r="AC10" i="35" s="1"/>
  <c r="J14" i="21"/>
  <c r="W14" i="21"/>
  <c r="F14" i="21"/>
  <c r="S14" i="21" s="1"/>
  <c r="H14" i="21"/>
  <c r="U14" i="21" s="1"/>
  <c r="H28" i="21"/>
  <c r="AB28" i="21" s="1"/>
  <c r="F28" i="21"/>
  <c r="AA28" i="21" s="1"/>
  <c r="J28" i="21"/>
  <c r="H30" i="21"/>
  <c r="F30" i="21"/>
  <c r="S30" i="21" s="1"/>
  <c r="J30" i="21"/>
  <c r="AC30" i="21" s="1"/>
  <c r="J44" i="21"/>
  <c r="AC44" i="21" s="1"/>
  <c r="H44" i="21"/>
  <c r="U44" i="2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s="1"/>
  <c r="H27" i="21"/>
  <c r="AB27" i="21" s="1"/>
  <c r="H29" i="21"/>
  <c r="U29" i="21"/>
  <c r="F31" i="21"/>
  <c r="S31" i="21" s="1"/>
  <c r="F45" i="21"/>
  <c r="AA45" i="21" s="1"/>
  <c r="AA27" i="33"/>
  <c r="J13" i="33"/>
  <c r="H13" i="33"/>
  <c r="U13" i="33" s="1"/>
  <c r="F13" i="33"/>
  <c r="S13" i="33" s="1"/>
  <c r="H29" i="33"/>
  <c r="U29" i="33" s="1"/>
  <c r="F29" i="33"/>
  <c r="S29" i="33" s="1"/>
  <c r="J31" i="33"/>
  <c r="W31" i="33" s="1"/>
  <c r="H31" i="33"/>
  <c r="F31" i="33"/>
  <c r="H45" i="33"/>
  <c r="U45" i="33" s="1"/>
  <c r="F45" i="33"/>
  <c r="AA45" i="33" s="1"/>
  <c r="J14" i="34"/>
  <c r="W14" i="34" s="1"/>
  <c r="H14" i="34"/>
  <c r="H30" i="34"/>
  <c r="AB30" i="34" s="1"/>
  <c r="F30" i="34"/>
  <c r="S30" i="34"/>
  <c r="J30" i="34"/>
  <c r="H32" i="34"/>
  <c r="U32" i="34" s="1"/>
  <c r="J32" i="34"/>
  <c r="W32" i="34" s="1"/>
  <c r="H46" i="34"/>
  <c r="F46" i="34"/>
  <c r="J46" i="34"/>
  <c r="W46" i="34" s="1"/>
  <c r="H11" i="35"/>
  <c r="AB11" i="35" s="1"/>
  <c r="J11" i="35"/>
  <c r="F11" i="35"/>
  <c r="S11" i="35" s="1"/>
  <c r="J26" i="36"/>
  <c r="W26" i="36" s="1"/>
  <c r="H28" i="36"/>
  <c r="U28" i="36" s="1"/>
  <c r="H32" i="36"/>
  <c r="AB32" i="36" s="1"/>
  <c r="J32" i="36"/>
  <c r="W32" i="36" s="1"/>
  <c r="J11" i="36"/>
  <c r="AC11" i="36" s="1"/>
  <c r="F11" i="36"/>
  <c r="H13" i="36"/>
  <c r="AB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F40" i="37"/>
  <c r="AA40" i="37" s="1"/>
  <c r="H14" i="33"/>
  <c r="U14" i="33" s="1"/>
  <c r="F14" i="33"/>
  <c r="S14" i="33" s="1"/>
  <c r="J14" i="33"/>
  <c r="J30" i="33"/>
  <c r="AC30" i="33" s="1"/>
  <c r="H44" i="33"/>
  <c r="J44" i="33"/>
  <c r="AC44" i="33" s="1"/>
  <c r="F44" i="33"/>
  <c r="S44" i="33" s="1"/>
  <c r="J46" i="33"/>
  <c r="AC46" i="33" s="1"/>
  <c r="H13" i="34"/>
  <c r="U13" i="34" s="1"/>
  <c r="J13" i="34"/>
  <c r="W13" i="34"/>
  <c r="F13" i="34"/>
  <c r="AA13" i="34" s="1"/>
  <c r="J31" i="34"/>
  <c r="AC31" i="34" s="1"/>
  <c r="H31" i="34"/>
  <c r="F31" i="34"/>
  <c r="S31" i="34" s="1"/>
  <c r="H47" i="34"/>
  <c r="U47" i="34"/>
  <c r="F47" i="34"/>
  <c r="S47" i="34" s="1"/>
  <c r="J47" i="34"/>
  <c r="AC47" i="34" s="1"/>
  <c r="J25" i="35"/>
  <c r="W25" i="35" s="1"/>
  <c r="F25" i="35"/>
  <c r="S25" i="35" s="1"/>
  <c r="H25" i="35"/>
  <c r="AB25" i="35"/>
  <c r="J35" i="35"/>
  <c r="AC35" i="35" s="1"/>
  <c r="H35" i="35"/>
  <c r="J25" i="36"/>
  <c r="W25" i="36" s="1"/>
  <c r="H13" i="37"/>
  <c r="AB13" i="37" s="1"/>
  <c r="F28" i="37"/>
  <c r="AA28" i="37" s="1"/>
  <c r="AC28" i="37"/>
  <c r="H28" i="37"/>
  <c r="H38" i="37"/>
  <c r="AB38" i="37" s="1"/>
  <c r="J38" i="37"/>
  <c r="AC38" i="37" s="1"/>
  <c r="F38" i="37"/>
  <c r="S38" i="37"/>
  <c r="F43" i="39"/>
  <c r="AA43" i="39" s="1"/>
  <c r="H43" i="39"/>
  <c r="J14" i="39"/>
  <c r="AC14" i="39" s="1"/>
  <c r="F14" i="39"/>
  <c r="F12" i="40"/>
  <c r="S12" i="40" s="1"/>
  <c r="H30" i="40"/>
  <c r="AB30" i="40"/>
  <c r="F33" i="40"/>
  <c r="AA33" i="40"/>
  <c r="H33" i="40"/>
  <c r="U33" i="40"/>
  <c r="J35" i="40"/>
  <c r="AC35" i="40"/>
  <c r="J37" i="40"/>
  <c r="AC37" i="40"/>
  <c r="J13" i="40"/>
  <c r="F14" i="37"/>
  <c r="S14" i="37" s="1"/>
  <c r="F13" i="39"/>
  <c r="J13" i="39"/>
  <c r="W13" i="39" s="1"/>
  <c r="H13" i="39"/>
  <c r="H14" i="40"/>
  <c r="AB14" i="40" s="1"/>
  <c r="J14" i="40"/>
  <c r="W14" i="40" s="1"/>
  <c r="F14" i="40"/>
  <c r="AA14" i="40"/>
  <c r="J27" i="37"/>
  <c r="AC27" i="37" s="1"/>
  <c r="AA44" i="33"/>
  <c r="AA14" i="33"/>
  <c r="J36" i="37"/>
  <c r="AC36" i="37"/>
  <c r="J10" i="36"/>
  <c r="AC10" i="36" s="1"/>
  <c r="AA14" i="34"/>
  <c r="AB45" i="33"/>
  <c r="F17" i="21"/>
  <c r="AA17" i="21" s="1"/>
  <c r="H17" i="21"/>
  <c r="AB17" i="21" s="1"/>
  <c r="F15" i="21"/>
  <c r="S15" i="21" s="1"/>
  <c r="J41" i="39"/>
  <c r="W41" i="39" s="1"/>
  <c r="U36" i="39"/>
  <c r="S35" i="39"/>
  <c r="G536" i="3"/>
  <c r="G535" i="3"/>
  <c r="G527" i="3"/>
  <c r="G523" i="3"/>
  <c r="G510" i="3"/>
  <c r="G500" i="3"/>
  <c r="G496" i="3"/>
  <c r="G580" i="3"/>
  <c r="G572" i="3"/>
  <c r="G564" i="3"/>
  <c r="G550" i="3"/>
  <c r="BL568" i="3"/>
  <c r="BL516" i="3"/>
  <c r="BL494" i="3"/>
  <c r="BL536" i="3"/>
  <c r="G533" i="3"/>
  <c r="BL504" i="3"/>
  <c r="BA580" i="3"/>
  <c r="BA570" i="3"/>
  <c r="BA556" i="3"/>
  <c r="BA532" i="3"/>
  <c r="BA524" i="3"/>
  <c r="BA506" i="3"/>
  <c r="BA500" i="3"/>
  <c r="BA498" i="3"/>
  <c r="BA573" i="3"/>
  <c r="BA563" i="3"/>
  <c r="BA555" i="3"/>
  <c r="BA527" i="3"/>
  <c r="BA517" i="3"/>
  <c r="BA501" i="3"/>
  <c r="BA493" i="3"/>
  <c r="G583" i="3"/>
  <c r="G577" i="3"/>
  <c r="G575" i="3"/>
  <c r="G573" i="3"/>
  <c r="G563" i="3"/>
  <c r="AC557" i="3"/>
  <c r="G557" i="3" s="1"/>
  <c r="BQ557" i="3"/>
  <c r="BL557" i="3" s="1"/>
  <c r="BQ583" i="3"/>
  <c r="BQ581" i="3"/>
  <c r="BQ579" i="3"/>
  <c r="BQ577" i="3"/>
  <c r="BQ575" i="3"/>
  <c r="BQ573" i="3"/>
  <c r="BQ571" i="3"/>
  <c r="BQ569" i="3"/>
  <c r="BQ567" i="3"/>
  <c r="BQ565" i="3"/>
  <c r="BQ563" i="3"/>
  <c r="BQ561" i="3"/>
  <c r="BQ559" i="3"/>
  <c r="G559" i="3"/>
  <c r="G555" i="3"/>
  <c r="G553" i="3"/>
  <c r="G543" i="3"/>
  <c r="BQ555" i="3"/>
  <c r="BQ553" i="3"/>
  <c r="BL553" i="3" s="1"/>
  <c r="BQ551" i="3"/>
  <c r="BQ549" i="3"/>
  <c r="BL549" i="3" s="1"/>
  <c r="AZ549" i="3" s="1"/>
  <c r="BQ547" i="3"/>
  <c r="BQ545" i="3"/>
  <c r="BQ543" i="3"/>
  <c r="BQ541" i="3"/>
  <c r="BQ539" i="3"/>
  <c r="BL539" i="3" s="1"/>
  <c r="BQ537" i="3"/>
  <c r="BQ535" i="3"/>
  <c r="BQ533" i="3"/>
  <c r="BQ531" i="3"/>
  <c r="BQ529" i="3"/>
  <c r="BQ527" i="3"/>
  <c r="BQ525" i="3"/>
  <c r="BL525" i="3"/>
  <c r="BQ523" i="3"/>
  <c r="AC521" i="3"/>
  <c r="G521" i="3"/>
  <c r="BQ521" i="3"/>
  <c r="G513" i="3"/>
  <c r="G511" i="3"/>
  <c r="BQ519" i="3"/>
  <c r="BL519" i="3" s="1"/>
  <c r="BQ517" i="3"/>
  <c r="BQ515" i="3"/>
  <c r="BQ513" i="3"/>
  <c r="BQ511" i="3"/>
  <c r="AC509" i="3"/>
  <c r="G509" i="3" s="1"/>
  <c r="BQ509" i="3"/>
  <c r="G507" i="3"/>
  <c r="G505" i="3"/>
  <c r="G501" i="3"/>
  <c r="G499" i="3"/>
  <c r="G497" i="3"/>
  <c r="BQ507" i="3"/>
  <c r="BQ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H31" i="40"/>
  <c r="U31" i="40" s="1"/>
  <c r="H32" i="40"/>
  <c r="AB32" i="40"/>
  <c r="J36" i="40"/>
  <c r="W36" i="40"/>
  <c r="H19" i="37"/>
  <c r="AB19" i="37" s="1"/>
  <c r="H42" i="33"/>
  <c r="AB42" i="33" s="1"/>
  <c r="J43" i="33"/>
  <c r="AC43" i="33" s="1"/>
  <c r="S28" i="31"/>
  <c r="S27" i="31"/>
  <c r="S26" i="31"/>
  <c r="U39" i="37"/>
  <c r="U26" i="37"/>
  <c r="W47" i="34"/>
  <c r="AC36" i="34"/>
  <c r="AC45" i="33"/>
  <c r="W44" i="33"/>
  <c r="U11" i="33"/>
  <c r="U19" i="21"/>
  <c r="W44" i="21"/>
  <c r="AB38" i="21"/>
  <c r="F43" i="33"/>
  <c r="AA43" i="33"/>
  <c r="W15" i="34"/>
  <c r="AC15" i="34"/>
  <c r="W16" i="35"/>
  <c r="H37" i="21"/>
  <c r="U37" i="21" s="1"/>
  <c r="S42" i="21"/>
  <c r="H19" i="34"/>
  <c r="AB19" i="34" s="1"/>
  <c r="F36" i="35"/>
  <c r="S36" i="35" s="1"/>
  <c r="J9" i="37"/>
  <c r="W9" i="37" s="1"/>
  <c r="H9" i="37"/>
  <c r="U9" i="37" s="1"/>
  <c r="J12" i="37"/>
  <c r="W12" i="37" s="1"/>
  <c r="H12" i="37"/>
  <c r="AB12" i="37" s="1"/>
  <c r="F12" i="37"/>
  <c r="S12" i="37" s="1"/>
  <c r="E71" i="37"/>
  <c r="F71" i="37" s="1"/>
  <c r="G71" i="37" s="1"/>
  <c r="F15" i="37"/>
  <c r="E94" i="37"/>
  <c r="F31" i="37"/>
  <c r="S31" i="37"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AZ120" i="3"/>
  <c r="G534" i="3"/>
  <c r="G530"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AZ344" i="3"/>
  <c r="BA346" i="3"/>
  <c r="BA347" i="3"/>
  <c r="BL347" i="3"/>
  <c r="AZ347" i="3" s="1"/>
  <c r="G350" i="3"/>
  <c r="BA351" i="3"/>
  <c r="BL351" i="3"/>
  <c r="AZ351" i="3" s="1"/>
  <c r="G352" i="3"/>
  <c r="G354" i="3"/>
  <c r="BA355" i="3"/>
  <c r="BA356" i="3"/>
  <c r="AZ356" i="3" s="1"/>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AZ365" i="3" s="1"/>
  <c r="BL366" i="3"/>
  <c r="G367" i="3"/>
  <c r="BA369" i="3"/>
  <c r="AZ369" i="3" s="1"/>
  <c r="BL370" i="3"/>
  <c r="G371" i="3"/>
  <c r="BA373" i="3"/>
  <c r="AZ373" i="3" s="1"/>
  <c r="BL374" i="3"/>
  <c r="G375" i="3"/>
  <c r="BA377" i="3"/>
  <c r="AZ233" i="3"/>
  <c r="AZ249" i="3"/>
  <c r="AZ269" i="3"/>
  <c r="BA379" i="3"/>
  <c r="BL380" i="3"/>
  <c r="G381" i="3"/>
  <c r="BA383" i="3"/>
  <c r="BL384" i="3"/>
  <c r="G385" i="3"/>
  <c r="BA387" i="3"/>
  <c r="BL388" i="3"/>
  <c r="G389" i="3"/>
  <c r="BA391" i="3"/>
  <c r="BL392" i="3"/>
  <c r="G393" i="3"/>
  <c r="BO5" i="3"/>
  <c r="BJ5" i="3"/>
  <c r="BH5" i="3"/>
  <c r="BF5" i="3"/>
  <c r="AC5" i="3"/>
  <c r="G548" i="3"/>
  <c r="G538" i="3"/>
  <c r="G520" i="3"/>
  <c r="G502" i="3"/>
  <c r="BS5" i="3"/>
  <c r="BP5" i="3"/>
  <c r="BK5" i="3"/>
  <c r="BI5" i="3"/>
  <c r="BC5" i="3"/>
  <c r="G17" i="3"/>
  <c r="BA17" i="3"/>
  <c r="BA15" i="3"/>
  <c r="BB5" i="3"/>
  <c r="U36" i="40"/>
  <c r="F83" i="43"/>
  <c r="H85" i="43" s="1"/>
  <c r="F50" i="43"/>
  <c r="H54" i="43" s="1"/>
  <c r="F72" i="43"/>
  <c r="H75" i="43" s="1"/>
  <c r="U17" i="39"/>
  <c r="S14" i="35"/>
  <c r="U43" i="21"/>
  <c r="U35" i="21"/>
  <c r="G8" i="1"/>
  <c r="G10" i="1"/>
  <c r="W37" i="37"/>
  <c r="W44" i="34"/>
  <c r="AC44" i="34"/>
  <c r="J37" i="33"/>
  <c r="AC37" i="33" s="1"/>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c r="F20" i="35"/>
  <c r="AA20" i="35"/>
  <c r="AB29" i="36"/>
  <c r="U29" i="36"/>
  <c r="H32" i="37"/>
  <c r="AB32" i="37" s="1"/>
  <c r="F96" i="37"/>
  <c r="G96" i="37" s="1"/>
  <c r="H96" i="37" s="1"/>
  <c r="I96" i="37" s="1"/>
  <c r="J96" i="37" s="1"/>
  <c r="K96" i="37" s="1"/>
  <c r="L96" i="37" s="1"/>
  <c r="M96" i="37" s="1"/>
  <c r="H27" i="40"/>
  <c r="AB27" i="40" s="1"/>
  <c r="U27" i="40"/>
  <c r="J27" i="40"/>
  <c r="AC27" i="40"/>
  <c r="F27" i="40"/>
  <c r="S27" i="40"/>
  <c r="J30" i="40"/>
  <c r="AC30" i="40"/>
  <c r="F30" i="40"/>
  <c r="S30" i="40" s="1"/>
  <c r="AA30" i="40"/>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F20" i="36"/>
  <c r="J33" i="34"/>
  <c r="AC33" i="34" s="1"/>
  <c r="H23" i="39"/>
  <c r="U23" i="39" s="1"/>
  <c r="D48" i="9"/>
  <c r="M52" i="9" s="1"/>
  <c r="K9" i="1"/>
  <c r="M9" i="1" s="1"/>
  <c r="D93" i="9"/>
  <c r="AC26" i="33"/>
  <c r="W27" i="34"/>
  <c r="AC27" i="34"/>
  <c r="AB34" i="36"/>
  <c r="U34" i="36"/>
  <c r="AC12" i="39"/>
  <c r="AA32" i="36"/>
  <c r="S32" i="36"/>
  <c r="BL14" i="3"/>
  <c r="AC13" i="34"/>
  <c r="W28" i="37"/>
  <c r="S19" i="39"/>
  <c r="H12" i="39"/>
  <c r="AB12" i="39"/>
  <c r="F39" i="40"/>
  <c r="BA14" i="3"/>
  <c r="AZ14" i="3" s="1"/>
  <c r="B12" i="1"/>
  <c r="E12" i="1" s="1"/>
  <c r="B10" i="1"/>
  <c r="E10" i="1" s="1"/>
  <c r="K12" i="1"/>
  <c r="M12" i="1" s="1"/>
  <c r="S13" i="1"/>
  <c r="AR13" i="1" s="1"/>
  <c r="R13" i="1"/>
  <c r="J51" i="67"/>
  <c r="C42" i="1"/>
  <c r="C24" i="12" s="1"/>
  <c r="AC34" i="33"/>
  <c r="B41" i="1"/>
  <c r="M18" i="67" s="1"/>
  <c r="AB37" i="40"/>
  <c r="S35" i="40"/>
  <c r="AC36" i="40"/>
  <c r="W38" i="40"/>
  <c r="S23" i="40"/>
  <c r="AC17" i="40"/>
  <c r="AC15" i="40"/>
  <c r="S28" i="40"/>
  <c r="AA27" i="40"/>
  <c r="AB19" i="40"/>
  <c r="S43" i="39"/>
  <c r="S37" i="39"/>
  <c r="U35" i="39"/>
  <c r="F32" i="39"/>
  <c r="AA32" i="39" s="1"/>
  <c r="F106" i="39"/>
  <c r="G106" i="39" s="1"/>
  <c r="H106" i="39" s="1"/>
  <c r="I106" i="39" s="1"/>
  <c r="J106" i="39" s="1"/>
  <c r="K106" i="39" s="1"/>
  <c r="L106" i="39" s="1"/>
  <c r="M106" i="39" s="1"/>
  <c r="AB27" i="39"/>
  <c r="U31" i="39"/>
  <c r="J21" i="39"/>
  <c r="W21" i="39" s="1"/>
  <c r="F21" i="39"/>
  <c r="H21" i="39"/>
  <c r="W19" i="39"/>
  <c r="U19" i="39"/>
  <c r="S17" i="39"/>
  <c r="S9" i="39"/>
  <c r="U14" i="39"/>
  <c r="AC13" i="39"/>
  <c r="U12" i="39"/>
  <c r="U13" i="36"/>
  <c r="U26" i="36"/>
  <c r="S33" i="36"/>
  <c r="AA34" i="36"/>
  <c r="AB14" i="36"/>
  <c r="U22" i="36"/>
  <c r="S16" i="36"/>
  <c r="AA25" i="36"/>
  <c r="S24" i="36"/>
  <c r="AB20" i="36"/>
  <c r="U16" i="36"/>
  <c r="S14" i="36"/>
  <c r="AA25" i="35"/>
  <c r="S23" i="35"/>
  <c r="W24" i="35"/>
  <c r="AB13" i="35"/>
  <c r="U29" i="35"/>
  <c r="U28" i="35"/>
  <c r="AB27" i="35"/>
  <c r="U36" i="35"/>
  <c r="U32" i="35"/>
  <c r="AA33" i="35"/>
  <c r="AC30" i="35"/>
  <c r="S32" i="35"/>
  <c r="S28" i="35"/>
  <c r="U22" i="35"/>
  <c r="S20" i="35"/>
  <c r="AC20" i="35"/>
  <c r="S22" i="35"/>
  <c r="U14" i="35"/>
  <c r="AC9" i="35"/>
  <c r="W9" i="35"/>
  <c r="AC12" i="35"/>
  <c r="F9" i="35"/>
  <c r="S9" i="35" s="1"/>
  <c r="H9" i="35"/>
  <c r="U9" i="35" s="1"/>
  <c r="AB40" i="37"/>
  <c r="S25" i="37"/>
  <c r="W27" i="37"/>
  <c r="AC29" i="37"/>
  <c r="U29" i="37"/>
  <c r="AB31" i="37"/>
  <c r="W30" i="37"/>
  <c r="S36" i="37"/>
  <c r="AA38" i="37"/>
  <c r="U32" i="37"/>
  <c r="W38" i="37"/>
  <c r="AC35" i="37"/>
  <c r="W39" i="37"/>
  <c r="S30" i="37"/>
  <c r="AC15" i="37"/>
  <c r="J17" i="37"/>
  <c r="W17" i="37" s="1"/>
  <c r="F17" i="37"/>
  <c r="AA17" i="37" s="1"/>
  <c r="F75" i="37"/>
  <c r="G75" i="37" s="1"/>
  <c r="F19" i="37"/>
  <c r="S19" i="37" s="1"/>
  <c r="F79" i="37"/>
  <c r="F23" i="37"/>
  <c r="S23" i="37" s="1"/>
  <c r="U23" i="37"/>
  <c r="U15" i="37"/>
  <c r="H10" i="37"/>
  <c r="AB10" i="37" s="1"/>
  <c r="F63" i="37"/>
  <c r="G63" i="37" s="1"/>
  <c r="H63" i="37" s="1"/>
  <c r="I63" i="37" s="1"/>
  <c r="J63" i="37" s="1"/>
  <c r="K63" i="37" s="1"/>
  <c r="L63" i="37" s="1"/>
  <c r="M63" i="37" s="1"/>
  <c r="F11" i="37"/>
  <c r="S11" i="37" s="1"/>
  <c r="W25" i="34"/>
  <c r="AB8" i="34"/>
  <c r="U43" i="34"/>
  <c r="W41" i="34"/>
  <c r="AC42" i="34"/>
  <c r="AB35" i="34"/>
  <c r="U39" i="34"/>
  <c r="AA25" i="34"/>
  <c r="U28" i="34"/>
  <c r="S17" i="34"/>
  <c r="U27" i="34"/>
  <c r="S23"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F36" i="33"/>
  <c r="AA36" i="33" s="1"/>
  <c r="J35" i="33"/>
  <c r="AC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U27" i="33" s="1"/>
  <c r="F87" i="33"/>
  <c r="G87" i="33" s="1"/>
  <c r="H25" i="33"/>
  <c r="U25" i="33" s="1"/>
  <c r="F25" i="33"/>
  <c r="J23" i="33"/>
  <c r="AC23" i="33" s="1"/>
  <c r="F85" i="33"/>
  <c r="G85" i="33" s="1"/>
  <c r="H23" i="33"/>
  <c r="F81" i="33"/>
  <c r="F19" i="33"/>
  <c r="S19" i="33" s="1"/>
  <c r="J17" i="33"/>
  <c r="S15" i="33"/>
  <c r="W15" i="33"/>
  <c r="J10" i="33"/>
  <c r="W10" i="33" s="1"/>
  <c r="H10" i="33"/>
  <c r="U10" i="33" s="1"/>
  <c r="AC11" i="33"/>
  <c r="AB14" i="33"/>
  <c r="W36" i="21"/>
  <c r="W41" i="21"/>
  <c r="AA43" i="21"/>
  <c r="S39" i="21"/>
  <c r="AA38" i="21"/>
  <c r="AC40" i="21"/>
  <c r="J15" i="21"/>
  <c r="W15" i="21" s="1"/>
  <c r="F77" i="21"/>
  <c r="G77" i="21"/>
  <c r="F23" i="21"/>
  <c r="S23" i="21" s="1"/>
  <c r="E85" i="21"/>
  <c r="AA14" i="21"/>
  <c r="D120" i="9"/>
  <c r="D121" i="9" s="1"/>
  <c r="D7" i="52" s="1"/>
  <c r="C18" i="9"/>
  <c r="D18" i="9" s="1"/>
  <c r="F34" i="67"/>
  <c r="F62" i="67" s="1"/>
  <c r="BL17" i="3"/>
  <c r="AZ17" i="3"/>
  <c r="BL13" i="3"/>
  <c r="J56" i="9"/>
  <c r="J57" i="9" s="1"/>
  <c r="J59" i="9" s="1"/>
  <c r="J61" i="9" s="1"/>
  <c r="A24" i="51"/>
  <c r="B18" i="72"/>
  <c r="E5" i="6"/>
  <c r="E32" i="6"/>
  <c r="E19" i="69"/>
  <c r="E19" i="68"/>
  <c r="E19" i="11"/>
  <c r="G22" i="68"/>
  <c r="G26" i="12"/>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W23" i="40"/>
  <c r="U32" i="40"/>
  <c r="S37" i="40"/>
  <c r="AB28" i="40"/>
  <c r="W28" i="40"/>
  <c r="W34" i="40"/>
  <c r="W19" i="40"/>
  <c r="W27" i="40"/>
  <c r="S36" i="40"/>
  <c r="W37" i="40"/>
  <c r="S33" i="40"/>
  <c r="AA15" i="40"/>
  <c r="U11"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AB28" i="36"/>
  <c r="W22" i="36"/>
  <c r="AB20" i="35"/>
  <c r="AC25" i="35"/>
  <c r="U25" i="35"/>
  <c r="S24" i="35"/>
  <c r="U24" i="35"/>
  <c r="S35" i="35"/>
  <c r="W35" i="35"/>
  <c r="AA16" i="35"/>
  <c r="AA35" i="37"/>
  <c r="W36" i="37"/>
  <c r="S28" i="37"/>
  <c r="S40" i="37"/>
  <c r="U38" i="37"/>
  <c r="AC34" i="37"/>
  <c r="AB35" i="37"/>
  <c r="AA31" i="37"/>
  <c r="U19" i="37"/>
  <c r="U8" i="37"/>
  <c r="AA40" i="34"/>
  <c r="AB40" i="34"/>
  <c r="U19" i="34"/>
  <c r="AB33" i="34"/>
  <c r="AA31" i="34"/>
  <c r="AA30" i="34"/>
  <c r="AB47" i="34"/>
  <c r="U25" i="34"/>
  <c r="AB36" i="34"/>
  <c r="W33" i="34"/>
  <c r="AC14" i="34"/>
  <c r="S32" i="34"/>
  <c r="AA32" i="34"/>
  <c r="U30" i="34"/>
  <c r="S37" i="34"/>
  <c r="U38" i="34"/>
  <c r="AC40" i="34"/>
  <c r="AA19" i="34"/>
  <c r="AA36" i="34"/>
  <c r="S36" i="34"/>
  <c r="AA8" i="34"/>
  <c r="AB9" i="34"/>
  <c r="U9" i="34"/>
  <c r="S46" i="34"/>
  <c r="AA46" i="34"/>
  <c r="U14" i="34"/>
  <c r="AB14" i="34"/>
  <c r="AC43" i="34"/>
  <c r="W43" i="34"/>
  <c r="W23" i="34"/>
  <c r="AC23" i="34"/>
  <c r="AC35" i="34"/>
  <c r="W35" i="34"/>
  <c r="U12" i="34"/>
  <c r="U39" i="33"/>
  <c r="U38" i="33"/>
  <c r="S33" i="33"/>
  <c r="U44" i="33"/>
  <c r="AB44" i="33"/>
  <c r="AA30" i="33"/>
  <c r="AC14" i="33"/>
  <c r="W14" i="33"/>
  <c r="S31" i="33"/>
  <c r="AA31" i="33"/>
  <c r="W13" i="33"/>
  <c r="AC13" i="33"/>
  <c r="U15" i="33"/>
  <c r="S11" i="33"/>
  <c r="S28" i="33"/>
  <c r="W8" i="33"/>
  <c r="S44" i="21"/>
  <c r="AB42" i="21"/>
  <c r="U28" i="21"/>
  <c r="S45" i="21"/>
  <c r="I101" i="21"/>
  <c r="J101" i="21" s="1"/>
  <c r="K101" i="21" s="1"/>
  <c r="L101" i="21" s="1"/>
  <c r="M101" i="21" s="1"/>
  <c r="F33" i="21"/>
  <c r="AA33" i="21" s="1"/>
  <c r="J33" i="21"/>
  <c r="AC33" i="21" s="1"/>
  <c r="H33" i="21"/>
  <c r="AB33" i="21" s="1"/>
  <c r="F37" i="21"/>
  <c r="U40" i="21"/>
  <c r="AB31" i="21"/>
  <c r="U31" i="21"/>
  <c r="U13" i="21"/>
  <c r="AB13" i="21"/>
  <c r="S35" i="21"/>
  <c r="J37" i="21"/>
  <c r="W37" i="21" s="1"/>
  <c r="H15" i="21"/>
  <c r="U15" i="21" s="1"/>
  <c r="J17" i="21"/>
  <c r="W17" i="21" s="1"/>
  <c r="AC17" i="21"/>
  <c r="AC19" i="21"/>
  <c r="W39" i="21"/>
  <c r="AC14"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42" i="21"/>
  <c r="AC45" i="21"/>
  <c r="F10" i="21"/>
  <c r="AA10" i="21" s="1"/>
  <c r="K145" i="21"/>
  <c r="W25" i="21"/>
  <c r="W31" i="21"/>
  <c r="S17" i="21"/>
  <c r="AA15" i="21"/>
  <c r="AC26" i="21"/>
  <c r="AB29" i="21"/>
  <c r="S28" i="21"/>
  <c r="AC34" i="21"/>
  <c r="AB36" i="21"/>
  <c r="W30" i="40"/>
  <c r="C19" i="39"/>
  <c r="C15" i="40"/>
  <c r="C17" i="40"/>
  <c r="C23" i="40"/>
  <c r="C21" i="40"/>
  <c r="U30" i="40"/>
  <c r="B67" i="43"/>
  <c r="B51" i="43"/>
  <c r="B54" i="43"/>
  <c r="B58" i="43"/>
  <c r="B62" i="43"/>
  <c r="B65" i="43"/>
  <c r="B69" i="43"/>
  <c r="E4" i="4"/>
  <c r="B5" i="62" s="1"/>
  <c r="B73" i="72" s="1"/>
  <c r="C4" i="4"/>
  <c r="AA39" i="40"/>
  <c r="S39" i="40"/>
  <c r="J32" i="39"/>
  <c r="H32" i="39"/>
  <c r="AB32" i="39" s="1"/>
  <c r="AB21" i="39"/>
  <c r="U21" i="39"/>
  <c r="S17" i="37"/>
  <c r="J19" i="37"/>
  <c r="W19" i="37" s="1"/>
  <c r="AA19" i="37"/>
  <c r="J23" i="37"/>
  <c r="G79" i="37"/>
  <c r="J10" i="37"/>
  <c r="W10" i="37" s="1"/>
  <c r="H11" i="37"/>
  <c r="AB11" i="37" s="1"/>
  <c r="H11" i="34"/>
  <c r="U11" i="34" s="1"/>
  <c r="J10" i="34"/>
  <c r="AC10" i="34" s="1"/>
  <c r="W35" i="33"/>
  <c r="J36" i="33"/>
  <c r="W36" i="33" s="1"/>
  <c r="H36" i="33"/>
  <c r="S36" i="33"/>
  <c r="AB27" i="33"/>
  <c r="J27" i="33"/>
  <c r="W27" i="33" s="1"/>
  <c r="AB25" i="33"/>
  <c r="S25" i="33"/>
  <c r="AA25" i="33"/>
  <c r="H87" i="33"/>
  <c r="I87" i="33" s="1"/>
  <c r="J87" i="33" s="1"/>
  <c r="K87" i="33" s="1"/>
  <c r="L87" i="33" s="1"/>
  <c r="M87" i="33" s="1"/>
  <c r="J25" i="33"/>
  <c r="W25" i="33" s="1"/>
  <c r="AB23" i="33"/>
  <c r="U23" i="33"/>
  <c r="F23" i="33"/>
  <c r="H19" i="33"/>
  <c r="U19" i="33" s="1"/>
  <c r="G81" i="33"/>
  <c r="H17" i="33"/>
  <c r="U17" i="33" s="1"/>
  <c r="F17" i="33"/>
  <c r="S17" i="33" s="1"/>
  <c r="W17" i="33"/>
  <c r="AC17" i="33"/>
  <c r="AB15" i="21"/>
  <c r="J23" i="21"/>
  <c r="W23" i="21" s="1"/>
  <c r="F85" i="21"/>
  <c r="G85" i="21" s="1"/>
  <c r="H23" i="21"/>
  <c r="U23" i="21" s="1"/>
  <c r="AP7" i="1"/>
  <c r="AB45" i="21"/>
  <c r="AB9" i="21"/>
  <c r="U9" i="21"/>
  <c r="AA32" i="21"/>
  <c r="S32" i="21"/>
  <c r="AB32" i="21"/>
  <c r="U32" i="21"/>
  <c r="W23" i="37"/>
  <c r="AC23" i="37"/>
  <c r="J11" i="37"/>
  <c r="AC11" i="37" s="1"/>
  <c r="J11" i="34"/>
  <c r="W11" i="34" s="1"/>
  <c r="AC25" i="33"/>
  <c r="AB23" i="21"/>
  <c r="AC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E2" i="69"/>
  <c r="AO13" i="1"/>
  <c r="F16" i="15"/>
  <c r="E7" i="76"/>
  <c r="E12" i="76"/>
  <c r="F6" i="73"/>
  <c r="B9" i="76"/>
  <c r="E11" i="76"/>
  <c r="B10" i="76"/>
  <c r="L48" i="15"/>
  <c r="M22" i="15"/>
  <c r="C76" i="15"/>
  <c r="E10" i="76"/>
  <c r="F36" i="15"/>
  <c r="M26" i="15"/>
  <c r="B11" i="76"/>
  <c r="E2" i="68"/>
  <c r="D6" i="73"/>
  <c r="M9" i="15"/>
  <c r="B12" i="76"/>
  <c r="E8" i="76"/>
  <c r="F43" i="15"/>
  <c r="M23" i="15"/>
  <c r="F20" i="31"/>
  <c r="F4" i="73"/>
  <c r="E13" i="76"/>
  <c r="F6" i="15"/>
  <c r="F38" i="15"/>
  <c r="F7" i="73"/>
  <c r="L47" i="15"/>
  <c r="M24" i="15"/>
  <c r="F9" i="15"/>
  <c r="B7" i="76"/>
  <c r="F26" i="15"/>
  <c r="F3" i="73"/>
  <c r="M6" i="15"/>
  <c r="B8" i="76"/>
  <c r="F5" i="73"/>
  <c r="F37" i="15"/>
  <c r="F8" i="15"/>
  <c r="F7" i="15"/>
  <c r="J15" i="15"/>
  <c r="E9" i="76"/>
  <c r="J27" i="21" l="1"/>
  <c r="F27" i="21"/>
  <c r="H12" i="33"/>
  <c r="U12" i="33" s="1"/>
  <c r="J12" i="33"/>
  <c r="F29" i="34"/>
  <c r="J29" i="34"/>
  <c r="H45" i="34"/>
  <c r="F45" i="34"/>
  <c r="AZ163" i="3"/>
  <c r="AA26" i="36"/>
  <c r="U37" i="39"/>
  <c r="AZ379" i="3"/>
  <c r="AZ349" i="3"/>
  <c r="AZ336" i="3"/>
  <c r="AZ325" i="3"/>
  <c r="AZ320" i="3"/>
  <c r="AC31" i="33"/>
  <c r="AZ556" i="3"/>
  <c r="S45" i="33"/>
  <c r="J45" i="34"/>
  <c r="H29" i="34"/>
  <c r="H30" i="33"/>
  <c r="AB30" i="33" s="1"/>
  <c r="BL564" i="3"/>
  <c r="AZ564" i="3" s="1"/>
  <c r="BA564" i="3"/>
  <c r="BA561" i="3"/>
  <c r="AZ561" i="3" s="1"/>
  <c r="BA554" i="3"/>
  <c r="AZ554" i="3" s="1"/>
  <c r="BL552" i="3"/>
  <c r="AZ552" i="3" s="1"/>
  <c r="BA538" i="3"/>
  <c r="BA537" i="3"/>
  <c r="BA514" i="3"/>
  <c r="BL510" i="3"/>
  <c r="BA505" i="3"/>
  <c r="BL498" i="3"/>
  <c r="AZ498" i="3" s="1"/>
  <c r="U41" i="33"/>
  <c r="F30" i="11"/>
  <c r="C48" i="11" s="1"/>
  <c r="S42" i="33"/>
  <c r="AA33" i="34"/>
  <c r="AB17" i="37"/>
  <c r="W9" i="21"/>
  <c r="S13" i="21"/>
  <c r="S32" i="39"/>
  <c r="U42" i="33"/>
  <c r="AA35" i="33"/>
  <c r="S37" i="37"/>
  <c r="W14" i="36"/>
  <c r="S15" i="39"/>
  <c r="F12" i="33"/>
  <c r="AA12" i="40"/>
  <c r="AZ377" i="3"/>
  <c r="AZ361" i="3"/>
  <c r="AZ313" i="3"/>
  <c r="AZ327" i="3"/>
  <c r="AA13" i="33"/>
  <c r="BL559" i="3"/>
  <c r="BL565" i="3"/>
  <c r="AZ565" i="3" s="1"/>
  <c r="J13" i="35"/>
  <c r="AB46" i="34"/>
  <c r="U46" i="34"/>
  <c r="W44" i="39"/>
  <c r="AC44" i="39"/>
  <c r="AC30" i="36"/>
  <c r="W30" i="36"/>
  <c r="G570" i="3"/>
  <c r="AC27" i="33"/>
  <c r="D6" i="52"/>
  <c r="AB32" i="34"/>
  <c r="U36" i="37"/>
  <c r="AA19" i="33"/>
  <c r="W32" i="33"/>
  <c r="W30" i="33"/>
  <c r="AB34" i="33"/>
  <c r="W46" i="33"/>
  <c r="W19" i="34"/>
  <c r="W32" i="37"/>
  <c r="U32" i="39"/>
  <c r="AA23" i="21"/>
  <c r="AA23" i="37"/>
  <c r="AC17" i="37"/>
  <c r="AC15" i="21"/>
  <c r="AB14" i="21"/>
  <c r="U37" i="33"/>
  <c r="AA39" i="39"/>
  <c r="AC14" i="40"/>
  <c r="W43" i="21"/>
  <c r="W19" i="33"/>
  <c r="W43" i="33"/>
  <c r="S43" i="34"/>
  <c r="AA11" i="35"/>
  <c r="AA22" i="36"/>
  <c r="U25" i="39"/>
  <c r="U21" i="40"/>
  <c r="S17" i="40"/>
  <c r="U13" i="37"/>
  <c r="AZ334" i="3"/>
  <c r="AZ314" i="3"/>
  <c r="AZ394" i="3"/>
  <c r="AZ378" i="3"/>
  <c r="F12" i="39"/>
  <c r="U14" i="40"/>
  <c r="AA36" i="39"/>
  <c r="BL515" i="3"/>
  <c r="W31" i="34"/>
  <c r="F13" i="35"/>
  <c r="S13" i="35" s="1"/>
  <c r="H46" i="33"/>
  <c r="AA9" i="40"/>
  <c r="G586" i="3"/>
  <c r="BA587" i="3"/>
  <c r="BA585" i="3"/>
  <c r="H14" i="37"/>
  <c r="AB14" i="37" s="1"/>
  <c r="J14" i="37"/>
  <c r="B72" i="43"/>
  <c r="U12" i="36"/>
  <c r="F9" i="1"/>
  <c r="G9" i="1" s="1"/>
  <c r="G44" i="43"/>
  <c r="F16" i="4"/>
  <c r="A18" i="51" s="1"/>
  <c r="B13" i="72" s="1"/>
  <c r="BA13" i="3"/>
  <c r="BA402" i="3"/>
  <c r="BA406" i="3"/>
  <c r="BL409" i="3"/>
  <c r="BA410" i="3"/>
  <c r="J31" i="39"/>
  <c r="F31" i="39"/>
  <c r="W25" i="37"/>
  <c r="J35" i="39"/>
  <c r="AC35" i="39" s="1"/>
  <c r="BL584" i="3"/>
  <c r="BA584" i="3"/>
  <c r="AZ584" i="3" s="1"/>
  <c r="G584" i="3"/>
  <c r="BL582" i="3"/>
  <c r="BL581" i="3"/>
  <c r="BA581" i="3"/>
  <c r="BL580" i="3"/>
  <c r="BL579" i="3"/>
  <c r="BA579" i="3"/>
  <c r="G579" i="3"/>
  <c r="BA578" i="3"/>
  <c r="BA577" i="3"/>
  <c r="BA576" i="3"/>
  <c r="G576" i="3"/>
  <c r="BL575" i="3"/>
  <c r="BL574" i="3"/>
  <c r="BL572" i="3"/>
  <c r="BA572" i="3"/>
  <c r="BL571" i="3"/>
  <c r="BA571" i="3"/>
  <c r="G571" i="3"/>
  <c r="BL570" i="3"/>
  <c r="BA569" i="3"/>
  <c r="BA568" i="3"/>
  <c r="AZ568" i="3" s="1"/>
  <c r="G568" i="3"/>
  <c r="G567" i="3"/>
  <c r="G552" i="3"/>
  <c r="G547" i="3"/>
  <c r="BL546" i="3"/>
  <c r="BA546" i="3"/>
  <c r="AZ546" i="3" s="1"/>
  <c r="BA545" i="3"/>
  <c r="G545" i="3"/>
  <c r="BL544" i="3"/>
  <c r="G544" i="3"/>
  <c r="BA543" i="3"/>
  <c r="BA541" i="3"/>
  <c r="BA540" i="3"/>
  <c r="BL537" i="3"/>
  <c r="G537" i="3"/>
  <c r="BA536" i="3"/>
  <c r="AZ536" i="3" s="1"/>
  <c r="BA535" i="3"/>
  <c r="BL534" i="3"/>
  <c r="AZ534" i="3" s="1"/>
  <c r="BA534" i="3"/>
  <c r="BL533" i="3"/>
  <c r="BA533" i="3"/>
  <c r="BL532" i="3"/>
  <c r="AZ532" i="3" s="1"/>
  <c r="BL530" i="3"/>
  <c r="BA530" i="3"/>
  <c r="BA529" i="3"/>
  <c r="AZ529" i="3" s="1"/>
  <c r="G529" i="3"/>
  <c r="BL528" i="3"/>
  <c r="G528" i="3"/>
  <c r="BL526" i="3"/>
  <c r="BA526" i="3"/>
  <c r="AZ526" i="3" s="1"/>
  <c r="BA525" i="3"/>
  <c r="BL524" i="3"/>
  <c r="BA522" i="3"/>
  <c r="G522" i="3"/>
  <c r="BL521" i="3"/>
  <c r="BA521" i="3"/>
  <c r="BA519" i="3"/>
  <c r="BA518" i="3"/>
  <c r="BL517" i="3"/>
  <c r="G517" i="3"/>
  <c r="G515" i="3"/>
  <c r="BL514" i="3"/>
  <c r="AZ514" i="3" s="1"/>
  <c r="G514" i="3"/>
  <c r="BL512" i="3"/>
  <c r="BA511" i="3"/>
  <c r="BA510" i="3"/>
  <c r="AZ510" i="3" s="1"/>
  <c r="BL509" i="3"/>
  <c r="BA509" i="3"/>
  <c r="BL508" i="3"/>
  <c r="G508" i="3"/>
  <c r="BA507" i="3"/>
  <c r="BL506" i="3"/>
  <c r="BL505" i="3"/>
  <c r="AZ505" i="3" s="1"/>
  <c r="BA504" i="3"/>
  <c r="AZ504" i="3" s="1"/>
  <c r="G503" i="3"/>
  <c r="BL501" i="3"/>
  <c r="BA499" i="3"/>
  <c r="AZ499" i="3" s="1"/>
  <c r="BL497" i="3"/>
  <c r="AZ497" i="3" s="1"/>
  <c r="BA497" i="3"/>
  <c r="BL496" i="3"/>
  <c r="G495" i="3"/>
  <c r="G493" i="3"/>
  <c r="BL16" i="3"/>
  <c r="AZ16" i="3" s="1"/>
  <c r="BA401" i="3"/>
  <c r="BL402" i="3"/>
  <c r="BL416" i="3"/>
  <c r="BA422" i="3"/>
  <c r="BL427" i="3"/>
  <c r="G14" i="3"/>
  <c r="A15" i="62"/>
  <c r="B61" i="72" s="1"/>
  <c r="BA400" i="3"/>
  <c r="G403" i="3"/>
  <c r="BA403" i="3"/>
  <c r="BL410" i="3"/>
  <c r="AZ410" i="3" s="1"/>
  <c r="G412" i="3"/>
  <c r="BA420" i="3"/>
  <c r="C60" i="71"/>
  <c r="D59" i="71"/>
  <c r="G430" i="3"/>
  <c r="BL433" i="3"/>
  <c r="BL434" i="3"/>
  <c r="G437" i="3"/>
  <c r="BL440" i="3"/>
  <c r="BA443" i="3"/>
  <c r="BA448" i="3"/>
  <c r="BA451" i="3"/>
  <c r="AZ451" i="3" s="1"/>
  <c r="BA452" i="3"/>
  <c r="G457" i="3"/>
  <c r="BL457" i="3"/>
  <c r="BL460" i="3"/>
  <c r="BL461" i="3"/>
  <c r="BL473" i="3"/>
  <c r="BL474" i="3"/>
  <c r="BL479" i="3"/>
  <c r="BA484" i="3"/>
  <c r="AZ484" i="3" s="1"/>
  <c r="BA487" i="3"/>
  <c r="BL490" i="3"/>
  <c r="BL308" i="3"/>
  <c r="AZ308" i="3" s="1"/>
  <c r="BL317" i="3"/>
  <c r="BA358" i="3"/>
  <c r="AZ358" i="3" s="1"/>
  <c r="BA212" i="3"/>
  <c r="BL222" i="3"/>
  <c r="BL223" i="3"/>
  <c r="G229" i="3"/>
  <c r="BA229" i="3"/>
  <c r="BL229" i="3"/>
  <c r="BA231" i="3"/>
  <c r="BL231" i="3"/>
  <c r="BA248" i="3"/>
  <c r="BL252" i="3"/>
  <c r="BA257" i="3"/>
  <c r="BL266" i="3"/>
  <c r="BA271" i="3"/>
  <c r="BL271" i="3"/>
  <c r="BA275" i="3"/>
  <c r="BA279" i="3"/>
  <c r="BA283" i="3"/>
  <c r="BL286" i="3"/>
  <c r="AZ286" i="3" s="1"/>
  <c r="BA116" i="3"/>
  <c r="AZ116" i="3" s="1"/>
  <c r="D31" i="71"/>
  <c r="C32" i="71"/>
  <c r="BL431" i="3"/>
  <c r="AZ431" i="3" s="1"/>
  <c r="G441" i="3"/>
  <c r="BA441" i="3"/>
  <c r="BL443" i="3"/>
  <c r="BL445" i="3"/>
  <c r="G455" i="3"/>
  <c r="BA456" i="3"/>
  <c r="BA464" i="3"/>
  <c r="G469" i="3"/>
  <c r="BA469" i="3"/>
  <c r="AZ469" i="3" s="1"/>
  <c r="BA470" i="3"/>
  <c r="BL472" i="3"/>
  <c r="BL488" i="3"/>
  <c r="BA319" i="3"/>
  <c r="AZ319" i="3" s="1"/>
  <c r="BL350" i="3"/>
  <c r="BA353" i="3"/>
  <c r="BL353" i="3"/>
  <c r="BL359" i="3"/>
  <c r="AZ359" i="3" s="1"/>
  <c r="BL367" i="3"/>
  <c r="BA392" i="3"/>
  <c r="AZ392" i="3" s="1"/>
  <c r="BA210" i="3"/>
  <c r="AZ210" i="3" s="1"/>
  <c r="BL210" i="3"/>
  <c r="BL212" i="3"/>
  <c r="G218" i="3"/>
  <c r="BA218" i="3"/>
  <c r="AZ218" i="3" s="1"/>
  <c r="BL218" i="3"/>
  <c r="BA220" i="3"/>
  <c r="BL220" i="3"/>
  <c r="BL221" i="3"/>
  <c r="BA228" i="3"/>
  <c r="BL237" i="3"/>
  <c r="BL238" i="3"/>
  <c r="BA247" i="3"/>
  <c r="AZ247" i="3" s="1"/>
  <c r="BL247" i="3"/>
  <c r="G251" i="3"/>
  <c r="BA251" i="3"/>
  <c r="BL251" i="3"/>
  <c r="G255" i="3"/>
  <c r="BA256" i="3"/>
  <c r="BL259" i="3"/>
  <c r="BL263" i="3"/>
  <c r="BA265" i="3"/>
  <c r="BA270" i="3"/>
  <c r="BL272" i="3"/>
  <c r="BA274" i="3"/>
  <c r="AZ274" i="3" s="1"/>
  <c r="BL274" i="3"/>
  <c r="BL280" i="3"/>
  <c r="BA145" i="3"/>
  <c r="BA157" i="3"/>
  <c r="BL159" i="3"/>
  <c r="AZ159" i="3" s="1"/>
  <c r="BL177" i="3"/>
  <c r="G404" i="3"/>
  <c r="BA404" i="3"/>
  <c r="AZ404" i="3" s="1"/>
  <c r="BA405" i="3"/>
  <c r="G408" i="3"/>
  <c r="G409" i="3"/>
  <c r="BL412" i="3"/>
  <c r="G414" i="3"/>
  <c r="BL419" i="3"/>
  <c r="G421" i="3"/>
  <c r="BA424" i="3"/>
  <c r="G431" i="3"/>
  <c r="G444" i="3"/>
  <c r="BL447" i="3"/>
  <c r="BL458" i="3"/>
  <c r="AZ458" i="3" s="1"/>
  <c r="BL462" i="3"/>
  <c r="BA463" i="3"/>
  <c r="G466" i="3"/>
  <c r="G467" i="3"/>
  <c r="BL467" i="3"/>
  <c r="BL468" i="3"/>
  <c r="BL470" i="3"/>
  <c r="G472" i="3"/>
  <c r="BA473" i="3"/>
  <c r="G478" i="3"/>
  <c r="BA485" i="3"/>
  <c r="BL487" i="3"/>
  <c r="G311" i="3"/>
  <c r="BL314" i="3"/>
  <c r="G315" i="3"/>
  <c r="BA331" i="3"/>
  <c r="AZ331" i="3" s="1"/>
  <c r="BA349" i="3"/>
  <c r="BA368" i="3"/>
  <c r="BL368" i="3"/>
  <c r="BA374" i="3"/>
  <c r="AZ374" i="3" s="1"/>
  <c r="BL383" i="3"/>
  <c r="AZ383" i="3" s="1"/>
  <c r="BA385" i="3"/>
  <c r="BA386" i="3"/>
  <c r="AZ386" i="3" s="1"/>
  <c r="BL211" i="3"/>
  <c r="G212" i="3"/>
  <c r="BA217" i="3"/>
  <c r="G220" i="3"/>
  <c r="BA225" i="3"/>
  <c r="AZ225" i="3" s="1"/>
  <c r="BA227" i="3"/>
  <c r="AZ227" i="3" s="1"/>
  <c r="BL230" i="3"/>
  <c r="BA235" i="3"/>
  <c r="BL235" i="3"/>
  <c r="BL236" i="3"/>
  <c r="G237" i="3"/>
  <c r="BL242" i="3"/>
  <c r="BL243" i="3"/>
  <c r="G244" i="3"/>
  <c r="BA250" i="3"/>
  <c r="BL254" i="3"/>
  <c r="G258" i="3"/>
  <c r="BL262" i="3"/>
  <c r="G263" i="3"/>
  <c r="BL264" i="3"/>
  <c r="G276" i="3"/>
  <c r="BA281" i="3"/>
  <c r="G285" i="3"/>
  <c r="BA288" i="3"/>
  <c r="BA291" i="3"/>
  <c r="G295" i="3"/>
  <c r="BA296" i="3"/>
  <c r="BL298" i="3"/>
  <c r="G299" i="3"/>
  <c r="G126" i="3"/>
  <c r="BA126" i="3"/>
  <c r="G134" i="3"/>
  <c r="BL166" i="3"/>
  <c r="G167" i="3"/>
  <c r="BL171" i="3"/>
  <c r="AZ171" i="3" s="1"/>
  <c r="D38" i="71"/>
  <c r="C39" i="71"/>
  <c r="D39" i="71" s="1"/>
  <c r="BA207" i="3"/>
  <c r="G26" i="3"/>
  <c r="BL29" i="3"/>
  <c r="BL35" i="3"/>
  <c r="BA37" i="3"/>
  <c r="BL39" i="3"/>
  <c r="BA47" i="3"/>
  <c r="BA55" i="3"/>
  <c r="BA65" i="3"/>
  <c r="BA70" i="3"/>
  <c r="BL73" i="3"/>
  <c r="BA74" i="3"/>
  <c r="AZ74" i="3" s="1"/>
  <c r="G80" i="3"/>
  <c r="BA80" i="3"/>
  <c r="BL84" i="3"/>
  <c r="BL91" i="3"/>
  <c r="BA94" i="3"/>
  <c r="F3" i="35"/>
  <c r="N66" i="71"/>
  <c r="C87" i="71"/>
  <c r="D87" i="71" s="1"/>
  <c r="C79" i="71"/>
  <c r="D58" i="71"/>
  <c r="Y35" i="71"/>
  <c r="Z35" i="71" s="1"/>
  <c r="B40" i="71"/>
  <c r="S40" i="71" s="1"/>
  <c r="B43" i="71"/>
  <c r="B44" i="71" s="1"/>
  <c r="S44" i="71" s="1"/>
  <c r="B75" i="71"/>
  <c r="B74" i="71" s="1"/>
  <c r="BA121" i="3"/>
  <c r="BL121" i="3"/>
  <c r="BA125" i="3"/>
  <c r="BA133" i="3"/>
  <c r="BA134" i="3"/>
  <c r="BL135" i="3"/>
  <c r="AZ135" i="3" s="1"/>
  <c r="BL139" i="3"/>
  <c r="AZ139" i="3" s="1"/>
  <c r="BL141" i="3"/>
  <c r="BL143" i="3"/>
  <c r="AZ143" i="3" s="1"/>
  <c r="BL154" i="3"/>
  <c r="BA156" i="3"/>
  <c r="AZ156" i="3" s="1"/>
  <c r="BA162" i="3"/>
  <c r="BL163" i="3"/>
  <c r="BL181" i="3"/>
  <c r="BL195" i="3"/>
  <c r="AZ195" i="3" s="1"/>
  <c r="BA197" i="3"/>
  <c r="G206" i="3"/>
  <c r="BL24" i="3"/>
  <c r="BL34" i="3"/>
  <c r="BL44" i="3"/>
  <c r="BA45" i="3"/>
  <c r="BA46" i="3"/>
  <c r="BL52" i="3"/>
  <c r="BL53" i="3"/>
  <c r="G58" i="3"/>
  <c r="BA63" i="3"/>
  <c r="G67" i="3"/>
  <c r="G72" i="3"/>
  <c r="BL76" i="3"/>
  <c r="G88" i="3"/>
  <c r="BA88" i="3"/>
  <c r="G92" i="3"/>
  <c r="BA95" i="3"/>
  <c r="G105" i="3"/>
  <c r="BA105" i="3"/>
  <c r="BA109" i="3"/>
  <c r="U29" i="39"/>
  <c r="C51" i="71"/>
  <c r="C52" i="71" s="1"/>
  <c r="F75" i="71"/>
  <c r="F74" i="71" s="1"/>
  <c r="Y27" i="71"/>
  <c r="Z27" i="71" s="1"/>
  <c r="BL289" i="3"/>
  <c r="G290" i="3"/>
  <c r="G291" i="3"/>
  <c r="G300" i="3"/>
  <c r="BA301" i="3"/>
  <c r="G123" i="3"/>
  <c r="BA124" i="3"/>
  <c r="AZ124" i="3" s="1"/>
  <c r="BL127" i="3"/>
  <c r="AZ127" i="3" s="1"/>
  <c r="BA132" i="3"/>
  <c r="AZ132" i="3" s="1"/>
  <c r="G135" i="3"/>
  <c r="G136" i="3"/>
  <c r="G143" i="3"/>
  <c r="G150" i="3"/>
  <c r="G154" i="3"/>
  <c r="G155" i="3"/>
  <c r="BL158" i="3"/>
  <c r="G163" i="3"/>
  <c r="G164" i="3"/>
  <c r="BA164" i="3"/>
  <c r="AZ164" i="3" s="1"/>
  <c r="BA166" i="3"/>
  <c r="BL186" i="3"/>
  <c r="AZ186" i="3" s="1"/>
  <c r="BL189" i="3"/>
  <c r="G195" i="3"/>
  <c r="BL198" i="3"/>
  <c r="BL23" i="3"/>
  <c r="G32" i="3"/>
  <c r="G33" i="3"/>
  <c r="G34" i="3"/>
  <c r="G38" i="3"/>
  <c r="G42" i="3"/>
  <c r="G43" i="3"/>
  <c r="G44" i="3"/>
  <c r="BL50" i="3"/>
  <c r="BL51" i="3"/>
  <c r="BA62" i="3"/>
  <c r="BA67" i="3"/>
  <c r="BL74" i="3"/>
  <c r="G75" i="3"/>
  <c r="BL75" i="3"/>
  <c r="G86" i="3"/>
  <c r="BA87" i="3"/>
  <c r="G95" i="3"/>
  <c r="BL101" i="3"/>
  <c r="BL102" i="3"/>
  <c r="BA104" i="3"/>
  <c r="BL110" i="3"/>
  <c r="BL111" i="3"/>
  <c r="AC25" i="40"/>
  <c r="S18" i="36"/>
  <c r="AA18" i="35"/>
  <c r="C82" i="71"/>
  <c r="D82" i="71" s="1"/>
  <c r="D80" i="71"/>
  <c r="C43" i="71"/>
  <c r="Y37" i="71"/>
  <c r="Z37" i="71" s="1"/>
  <c r="C63" i="71"/>
  <c r="S72" i="71"/>
  <c r="G22" i="69"/>
  <c r="G22" i="11"/>
  <c r="E1" i="73"/>
  <c r="D22" i="15"/>
  <c r="D23" i="15"/>
  <c r="G13" i="3"/>
  <c r="H5" i="3"/>
  <c r="F34" i="15"/>
  <c r="F62" i="15" s="1"/>
  <c r="M20" i="67"/>
  <c r="M18" i="15"/>
  <c r="C21" i="68"/>
  <c r="K6" i="1"/>
  <c r="AP6" i="1" s="1"/>
  <c r="G1" i="67"/>
  <c r="K1" i="12"/>
  <c r="G1" i="69"/>
  <c r="G1" i="68"/>
  <c r="AA37" i="21"/>
  <c r="S37" i="21"/>
  <c r="AA32" i="37"/>
  <c r="S32" i="37"/>
  <c r="W39" i="34"/>
  <c r="AC39" i="34"/>
  <c r="S34" i="33"/>
  <c r="AA34" i="33"/>
  <c r="AB35" i="40"/>
  <c r="U35" i="40"/>
  <c r="AC32" i="39"/>
  <c r="W32" i="39"/>
  <c r="AZ579" i="3"/>
  <c r="AZ572" i="3"/>
  <c r="AZ571" i="3"/>
  <c r="AZ530" i="3"/>
  <c r="AZ509" i="3"/>
  <c r="AA21" i="39"/>
  <c r="S21" i="39"/>
  <c r="AZ544" i="3"/>
  <c r="AB19" i="33"/>
  <c r="U36" i="33"/>
  <c r="AB36" i="33"/>
  <c r="F48" i="9"/>
  <c r="O52" i="9" s="1"/>
  <c r="F28" i="67"/>
  <c r="F32" i="67"/>
  <c r="F60" i="67" s="1"/>
  <c r="F28" i="15"/>
  <c r="F31" i="12"/>
  <c r="F30" i="69"/>
  <c r="F48" i="69" s="1"/>
  <c r="D68" i="9"/>
  <c r="F30" i="68"/>
  <c r="F48" i="68" s="1"/>
  <c r="F52" i="9"/>
  <c r="F32" i="15"/>
  <c r="F60" i="15" s="1"/>
  <c r="F54" i="9"/>
  <c r="AA20" i="36"/>
  <c r="S20" i="36"/>
  <c r="AA15" i="37"/>
  <c r="S15" i="37"/>
  <c r="AZ525" i="3"/>
  <c r="AZ501" i="3"/>
  <c r="AZ570" i="3"/>
  <c r="AA44" i="34"/>
  <c r="S44" i="34"/>
  <c r="S29" i="35"/>
  <c r="AA29" i="35"/>
  <c r="J39" i="40"/>
  <c r="H39" i="40"/>
  <c r="U31" i="35"/>
  <c r="AB31" i="35"/>
  <c r="BL578" i="3"/>
  <c r="BL576" i="3"/>
  <c r="AZ576" i="3" s="1"/>
  <c r="BA575" i="3"/>
  <c r="AZ575" i="3" s="1"/>
  <c r="BA574" i="3"/>
  <c r="AZ574" i="3" s="1"/>
  <c r="BL567" i="3"/>
  <c r="BA567" i="3"/>
  <c r="BA566" i="3"/>
  <c r="AZ566" i="3" s="1"/>
  <c r="BA548" i="3"/>
  <c r="BL545" i="3"/>
  <c r="BA503" i="3"/>
  <c r="BL502" i="3"/>
  <c r="BA502" i="3"/>
  <c r="BL500" i="3"/>
  <c r="AZ500" i="3" s="1"/>
  <c r="BT5" i="3"/>
  <c r="BA496" i="3"/>
  <c r="AZ496" i="3" s="1"/>
  <c r="BA495" i="3"/>
  <c r="BN5" i="3"/>
  <c r="G29" i="6" s="1"/>
  <c r="BE5" i="3"/>
  <c r="BM5" i="3"/>
  <c r="F29" i="6" s="1"/>
  <c r="BL493" i="3"/>
  <c r="AZ493" i="3" s="1"/>
  <c r="BD5" i="3"/>
  <c r="AZ519" i="3"/>
  <c r="AZ537" i="3"/>
  <c r="AZ506" i="3"/>
  <c r="AZ524" i="3"/>
  <c r="AZ580" i="3"/>
  <c r="AA36" i="35"/>
  <c r="U30" i="33"/>
  <c r="U33" i="36"/>
  <c r="AZ342" i="3"/>
  <c r="AZ337" i="3"/>
  <c r="AZ309" i="3"/>
  <c r="AZ515" i="3"/>
  <c r="BL547" i="3"/>
  <c r="BL573" i="3"/>
  <c r="AZ573" i="3" s="1"/>
  <c r="BL583" i="3"/>
  <c r="AZ516" i="3"/>
  <c r="AB46" i="33"/>
  <c r="U46" i="33"/>
  <c r="AB30" i="36"/>
  <c r="AB40" i="39"/>
  <c r="U40" i="39"/>
  <c r="BL587" i="3"/>
  <c r="AZ587" i="3" s="1"/>
  <c r="BL586" i="3"/>
  <c r="AZ586" i="3" s="1"/>
  <c r="AC40" i="33"/>
  <c r="W40" i="33"/>
  <c r="H13" i="40"/>
  <c r="F13" i="40"/>
  <c r="W31" i="35"/>
  <c r="AC31" i="35"/>
  <c r="BA583" i="3"/>
  <c r="BA582" i="3"/>
  <c r="AZ582" i="3" s="1"/>
  <c r="BL555" i="3"/>
  <c r="BL551" i="3"/>
  <c r="BA547" i="3"/>
  <c r="BA542" i="3"/>
  <c r="AZ542" i="3" s="1"/>
  <c r="BL541" i="3"/>
  <c r="AZ541" i="3" s="1"/>
  <c r="BL540" i="3"/>
  <c r="AZ540" i="3" s="1"/>
  <c r="BA539" i="3"/>
  <c r="AZ539" i="3" s="1"/>
  <c r="BL538" i="3"/>
  <c r="AZ538" i="3" s="1"/>
  <c r="BA531" i="3"/>
  <c r="BA528" i="3"/>
  <c r="AZ528" i="3" s="1"/>
  <c r="BA523" i="3"/>
  <c r="BL522" i="3"/>
  <c r="AZ522" i="3" s="1"/>
  <c r="BL520" i="3"/>
  <c r="BA520" i="3"/>
  <c r="BL518" i="3"/>
  <c r="AZ518" i="3" s="1"/>
  <c r="BL513" i="3"/>
  <c r="BA513" i="3"/>
  <c r="BA512" i="3"/>
  <c r="AZ512" i="3" s="1"/>
  <c r="BA508" i="3"/>
  <c r="AZ508" i="3" s="1"/>
  <c r="AA27" i="35"/>
  <c r="S27" i="35"/>
  <c r="AA40" i="39"/>
  <c r="S40" i="39"/>
  <c r="B56" i="43"/>
  <c r="W13" i="21"/>
  <c r="W30" i="21"/>
  <c r="AC46" i="34"/>
  <c r="AC32" i="34"/>
  <c r="AA29" i="37"/>
  <c r="AB31" i="40"/>
  <c r="AA17" i="33"/>
  <c r="AB37" i="37"/>
  <c r="AC26" i="36"/>
  <c r="AC35" i="21"/>
  <c r="AZ366" i="3"/>
  <c r="AZ357" i="3"/>
  <c r="AZ372" i="3"/>
  <c r="AZ305" i="3"/>
  <c r="AZ160" i="3"/>
  <c r="AZ376" i="3"/>
  <c r="AC12" i="37"/>
  <c r="BL503" i="3"/>
  <c r="BL531" i="3"/>
  <c r="AZ531" i="3" s="1"/>
  <c r="BL569" i="3"/>
  <c r="AZ569" i="3" s="1"/>
  <c r="BA494" i="3"/>
  <c r="AZ494" i="3" s="1"/>
  <c r="AA14" i="37"/>
  <c r="W13" i="40"/>
  <c r="AC13" i="40"/>
  <c r="W11" i="35"/>
  <c r="AC11" i="35"/>
  <c r="AA41" i="33"/>
  <c r="S41" i="33"/>
  <c r="S34" i="39"/>
  <c r="H46" i="21"/>
  <c r="J46" i="21"/>
  <c r="J13" i="36"/>
  <c r="F13" i="36"/>
  <c r="J31" i="40"/>
  <c r="F31" i="40"/>
  <c r="J23" i="35"/>
  <c r="H23" i="35"/>
  <c r="H23" i="36"/>
  <c r="J23" i="36"/>
  <c r="F23" i="36"/>
  <c r="AA26" i="21"/>
  <c r="AA36" i="21"/>
  <c r="AB39" i="21"/>
  <c r="U15" i="34"/>
  <c r="AB41" i="34"/>
  <c r="AB16" i="35"/>
  <c r="AA19" i="40"/>
  <c r="AA47" i="34"/>
  <c r="AC11" i="39"/>
  <c r="AZ387" i="3"/>
  <c r="AZ345" i="3"/>
  <c r="AZ338" i="3"/>
  <c r="AZ310" i="3"/>
  <c r="AZ371" i="3"/>
  <c r="AZ360" i="3"/>
  <c r="AA11" i="39"/>
  <c r="BL511" i="3"/>
  <c r="AZ511" i="3" s="1"/>
  <c r="BL523" i="3"/>
  <c r="BL527" i="3"/>
  <c r="AZ527" i="3" s="1"/>
  <c r="BL543" i="3"/>
  <c r="AZ543" i="3" s="1"/>
  <c r="AB26" i="33"/>
  <c r="AA11" i="36"/>
  <c r="S11" i="36"/>
  <c r="W28" i="21"/>
  <c r="AC28" i="21"/>
  <c r="U17" i="34"/>
  <c r="AB17" i="34"/>
  <c r="AB32" i="33"/>
  <c r="U32" i="33"/>
  <c r="U34" i="35"/>
  <c r="F28" i="34"/>
  <c r="J28" i="34"/>
  <c r="U12" i="35"/>
  <c r="AB12" i="35"/>
  <c r="AC22" i="35"/>
  <c r="W22" i="35"/>
  <c r="F13" i="37"/>
  <c r="J13" i="37"/>
  <c r="AC8" i="40"/>
  <c r="W8" i="40"/>
  <c r="BL563" i="3"/>
  <c r="AZ563" i="3" s="1"/>
  <c r="BL562" i="3"/>
  <c r="BL560" i="3"/>
  <c r="AZ560" i="3" s="1"/>
  <c r="BA559" i="3"/>
  <c r="AZ559" i="3" s="1"/>
  <c r="BA558" i="3"/>
  <c r="AZ558" i="3" s="1"/>
  <c r="BA557" i="3"/>
  <c r="AZ557" i="3" s="1"/>
  <c r="AB33" i="33"/>
  <c r="U33" i="33"/>
  <c r="J9" i="33"/>
  <c r="H9" i="33"/>
  <c r="H28" i="33"/>
  <c r="J28" i="33"/>
  <c r="H27" i="37"/>
  <c r="F27" i="37"/>
  <c r="H45" i="39"/>
  <c r="J45" i="39"/>
  <c r="W45" i="39" s="1"/>
  <c r="BA551" i="3"/>
  <c r="AZ551" i="3" s="1"/>
  <c r="BA550" i="3"/>
  <c r="BL548" i="3"/>
  <c r="G531" i="3"/>
  <c r="AZ391" i="3"/>
  <c r="AZ318" i="3"/>
  <c r="AZ364" i="3"/>
  <c r="AZ329" i="3"/>
  <c r="AZ304" i="3"/>
  <c r="AZ306" i="3"/>
  <c r="F32" i="40"/>
  <c r="BL535" i="3"/>
  <c r="AZ535" i="3" s="1"/>
  <c r="BL577" i="3"/>
  <c r="AZ577" i="3" s="1"/>
  <c r="H25" i="36"/>
  <c r="J40" i="37"/>
  <c r="U30" i="21"/>
  <c r="AB30" i="21"/>
  <c r="U23" i="34"/>
  <c r="AB23" i="34"/>
  <c r="W31" i="37"/>
  <c r="U9" i="39"/>
  <c r="G587" i="3"/>
  <c r="B101" i="43"/>
  <c r="B79" i="43"/>
  <c r="F9" i="33"/>
  <c r="AA9" i="33" s="1"/>
  <c r="W41" i="33"/>
  <c r="AA35" i="34"/>
  <c r="S35" i="34"/>
  <c r="J9" i="36"/>
  <c r="J12" i="40"/>
  <c r="H12" i="40"/>
  <c r="F38" i="40"/>
  <c r="H38" i="40"/>
  <c r="G556" i="3"/>
  <c r="U35" i="33"/>
  <c r="BL585" i="3"/>
  <c r="AZ585" i="3" s="1"/>
  <c r="B75" i="43"/>
  <c r="H24" i="36"/>
  <c r="G558" i="3"/>
  <c r="AZ462" i="3"/>
  <c r="BL550" i="3"/>
  <c r="BL15" i="3"/>
  <c r="AZ15" i="3" s="1"/>
  <c r="AZ406" i="3"/>
  <c r="BL398" i="3"/>
  <c r="BL403" i="3"/>
  <c r="AZ403" i="3" s="1"/>
  <c r="G406" i="3"/>
  <c r="BA408" i="3"/>
  <c r="BA409" i="3"/>
  <c r="AZ409" i="3" s="1"/>
  <c r="BA411" i="3"/>
  <c r="BL414" i="3"/>
  <c r="BL415" i="3"/>
  <c r="BA417" i="3"/>
  <c r="BL421" i="3"/>
  <c r="BL422" i="3"/>
  <c r="AZ422" i="3" s="1"/>
  <c r="BL425" i="3"/>
  <c r="BL426" i="3"/>
  <c r="BA428" i="3"/>
  <c r="BA429" i="3"/>
  <c r="BA430" i="3"/>
  <c r="AZ430" i="3" s="1"/>
  <c r="BA432" i="3"/>
  <c r="BA434" i="3"/>
  <c r="BA436" i="3"/>
  <c r="BA438" i="3"/>
  <c r="AZ438" i="3" s="1"/>
  <c r="BL463" i="3"/>
  <c r="AZ463" i="3" s="1"/>
  <c r="G465" i="3"/>
  <c r="BA471" i="3"/>
  <c r="AZ471" i="3" s="1"/>
  <c r="G488" i="3"/>
  <c r="BA397" i="3"/>
  <c r="BL397" i="3"/>
  <c r="AZ217" i="3"/>
  <c r="BA398" i="3"/>
  <c r="BA399" i="3"/>
  <c r="AZ399" i="3" s="1"/>
  <c r="BL401" i="3"/>
  <c r="AZ401" i="3" s="1"/>
  <c r="BL404" i="3"/>
  <c r="BL405" i="3"/>
  <c r="BL407" i="3"/>
  <c r="BA412" i="3"/>
  <c r="BA414" i="3"/>
  <c r="BA415" i="3"/>
  <c r="BA416" i="3"/>
  <c r="AZ416" i="3" s="1"/>
  <c r="BA418" i="3"/>
  <c r="BA421" i="3"/>
  <c r="BA423" i="3"/>
  <c r="AZ423" i="3" s="1"/>
  <c r="BA425" i="3"/>
  <c r="BA426" i="3"/>
  <c r="BA427" i="3"/>
  <c r="AZ427" i="3" s="1"/>
  <c r="BA433" i="3"/>
  <c r="AZ433" i="3" s="1"/>
  <c r="BA435" i="3"/>
  <c r="BL437" i="3"/>
  <c r="AZ437" i="3" s="1"/>
  <c r="G439" i="3"/>
  <c r="G440" i="3"/>
  <c r="BL441" i="3"/>
  <c r="AZ441" i="3" s="1"/>
  <c r="BL442" i="3"/>
  <c r="BL444" i="3"/>
  <c r="G446" i="3"/>
  <c r="G447" i="3"/>
  <c r="BL448" i="3"/>
  <c r="AZ448" i="3" s="1"/>
  <c r="G450" i="3"/>
  <c r="G451" i="3"/>
  <c r="BA454" i="3"/>
  <c r="BA457" i="3"/>
  <c r="AZ457" i="3" s="1"/>
  <c r="BA459" i="3"/>
  <c r="BA460" i="3"/>
  <c r="BA461" i="3"/>
  <c r="AZ461" i="3" s="1"/>
  <c r="BL464" i="3"/>
  <c r="AZ464" i="3" s="1"/>
  <c r="BL466" i="3"/>
  <c r="G468" i="3"/>
  <c r="BL476" i="3"/>
  <c r="AZ476" i="3" s="1"/>
  <c r="BL477" i="3"/>
  <c r="AZ477" i="3" s="1"/>
  <c r="BL478" i="3"/>
  <c r="G479" i="3"/>
  <c r="G480" i="3"/>
  <c r="BL480" i="3"/>
  <c r="G482" i="3"/>
  <c r="BA483" i="3"/>
  <c r="BL483" i="3"/>
  <c r="AZ483" i="3" s="1"/>
  <c r="BA486" i="3"/>
  <c r="BL489" i="3"/>
  <c r="BL491" i="3"/>
  <c r="BL492" i="3"/>
  <c r="G307" i="3"/>
  <c r="BA315" i="3"/>
  <c r="AZ315" i="3" s="1"/>
  <c r="BA333" i="3"/>
  <c r="BL346" i="3"/>
  <c r="AZ346" i="3" s="1"/>
  <c r="G349" i="3"/>
  <c r="AZ405" i="3"/>
  <c r="AZ407" i="3"/>
  <c r="AZ419" i="3"/>
  <c r="AZ444" i="3"/>
  <c r="BL446" i="3"/>
  <c r="AZ446" i="3" s="1"/>
  <c r="BL449" i="3"/>
  <c r="AZ449" i="3" s="1"/>
  <c r="BL450" i="3"/>
  <c r="BL452" i="3"/>
  <c r="BL456" i="3"/>
  <c r="AZ456" i="3" s="1"/>
  <c r="AZ466" i="3"/>
  <c r="AZ480" i="3"/>
  <c r="BA482" i="3"/>
  <c r="BA303" i="3"/>
  <c r="AZ303" i="3" s="1"/>
  <c r="BA307" i="3"/>
  <c r="AZ307" i="3" s="1"/>
  <c r="BA332" i="3"/>
  <c r="AZ332" i="3" s="1"/>
  <c r="BL332" i="3"/>
  <c r="G364" i="3"/>
  <c r="BA367" i="3"/>
  <c r="AZ367" i="3" s="1"/>
  <c r="BA370" i="3"/>
  <c r="AZ370" i="3" s="1"/>
  <c r="BL385" i="3"/>
  <c r="BL208"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AZ439" i="3" s="1"/>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BL375" i="3"/>
  <c r="AZ375" i="3" s="1"/>
  <c r="AZ228" i="3"/>
  <c r="G374" i="3"/>
  <c r="BA384" i="3"/>
  <c r="AZ384" i="3" s="1"/>
  <c r="BA395" i="3"/>
  <c r="AZ395" i="3" s="1"/>
  <c r="BA208" i="3"/>
  <c r="BA211" i="3"/>
  <c r="BL213" i="3"/>
  <c r="BL215" i="3"/>
  <c r="BA222" i="3"/>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AZ134" i="3" s="1"/>
  <c r="BL137" i="3"/>
  <c r="BA146" i="3"/>
  <c r="AZ146" i="3" s="1"/>
  <c r="BA150" i="3"/>
  <c r="G159" i="3"/>
  <c r="BA176" i="3"/>
  <c r="AZ176" i="3" s="1"/>
  <c r="AZ62" i="3"/>
  <c r="BL260" i="3"/>
  <c r="G262" i="3"/>
  <c r="G264" i="3"/>
  <c r="BL270" i="3"/>
  <c r="AZ270" i="3" s="1"/>
  <c r="BA272" i="3"/>
  <c r="AZ272" i="3" s="1"/>
  <c r="BL275" i="3"/>
  <c r="AZ275" i="3" s="1"/>
  <c r="G277" i="3"/>
  <c r="G280" i="3"/>
  <c r="BL285" i="3"/>
  <c r="BL287" i="3"/>
  <c r="BA290" i="3"/>
  <c r="BL299" i="3"/>
  <c r="BL113" i="3"/>
  <c r="BL115" i="3"/>
  <c r="AZ115" i="3" s="1"/>
  <c r="BA118" i="3"/>
  <c r="BL118" i="3"/>
  <c r="BA122" i="3"/>
  <c r="AZ122" i="3" s="1"/>
  <c r="BL125" i="3"/>
  <c r="AZ125" i="3" s="1"/>
  <c r="BL126" i="3"/>
  <c r="AZ126" i="3" s="1"/>
  <c r="BA144" i="3"/>
  <c r="AZ144" i="3" s="1"/>
  <c r="BA153" i="3"/>
  <c r="BL155" i="3"/>
  <c r="AZ155" i="3" s="1"/>
  <c r="BL214" i="3"/>
  <c r="AZ214" i="3" s="1"/>
  <c r="BL225" i="3"/>
  <c r="BL226" i="3"/>
  <c r="BA239" i="3"/>
  <c r="BL239" i="3"/>
  <c r="BA241" i="3"/>
  <c r="BL241" i="3"/>
  <c r="BA244" i="3"/>
  <c r="BL244" i="3"/>
  <c r="BA246" i="3"/>
  <c r="BA252" i="3"/>
  <c r="BA254" i="3"/>
  <c r="AZ254" i="3" s="1"/>
  <c r="BL256" i="3"/>
  <c r="AZ256" i="3" s="1"/>
  <c r="BA268" i="3"/>
  <c r="BL273" i="3"/>
  <c r="G274" i="3"/>
  <c r="BA277" i="3"/>
  <c r="AZ277" i="3" s="1"/>
  <c r="BL277" i="3"/>
  <c r="BA282" i="3"/>
  <c r="BL282" i="3"/>
  <c r="BA284" i="3"/>
  <c r="AZ284" i="3" s="1"/>
  <c r="BL290" i="3"/>
  <c r="BL291" i="3"/>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BA160" i="3"/>
  <c r="G162" i="3"/>
  <c r="BL162" i="3"/>
  <c r="AZ162" i="3" s="1"/>
  <c r="BL165" i="3"/>
  <c r="G166" i="3"/>
  <c r="BA184" i="3"/>
  <c r="AZ184" i="3" s="1"/>
  <c r="BL187" i="3"/>
  <c r="AZ187" i="3" s="1"/>
  <c r="BA189" i="3"/>
  <c r="BL205" i="3"/>
  <c r="BA50" i="3"/>
  <c r="AZ50" i="3" s="1"/>
  <c r="BA388" i="3"/>
  <c r="AZ388" i="3" s="1"/>
  <c r="BA396" i="3"/>
  <c r="BA209" i="3"/>
  <c r="BL217" i="3"/>
  <c r="BA219" i="3"/>
  <c r="AZ219" i="3" s="1"/>
  <c r="BA221" i="3"/>
  <c r="BA223" i="3"/>
  <c r="AZ223" i="3" s="1"/>
  <c r="BL228" i="3"/>
  <c r="BA230" i="3"/>
  <c r="AZ230" i="3" s="1"/>
  <c r="BL232" i="3"/>
  <c r="BL234" i="3"/>
  <c r="BA236" i="3"/>
  <c r="BA238" i="3"/>
  <c r="AZ238" i="3" s="1"/>
  <c r="BA243" i="3"/>
  <c r="BL248" i="3"/>
  <c r="AZ248" i="3" s="1"/>
  <c r="BL250" i="3"/>
  <c r="AZ250" i="3" s="1"/>
  <c r="BA259" i="3"/>
  <c r="AZ259" i="3" s="1"/>
  <c r="BL261" i="3"/>
  <c r="BA263" i="3"/>
  <c r="BA267" i="3"/>
  <c r="AZ267" i="3" s="1"/>
  <c r="BA129" i="3"/>
  <c r="BL133" i="3"/>
  <c r="AZ133" i="3" s="1"/>
  <c r="BL157" i="3"/>
  <c r="BA177" i="3"/>
  <c r="AZ177" i="3" s="1"/>
  <c r="BA178" i="3"/>
  <c r="AZ178" i="3" s="1"/>
  <c r="BA188" i="3"/>
  <c r="AZ188" i="3" s="1"/>
  <c r="BA201" i="3"/>
  <c r="AZ201" i="3" s="1"/>
  <c r="C55" i="71"/>
  <c r="D54" i="71"/>
  <c r="U21" i="33"/>
  <c r="AB21" i="33"/>
  <c r="T32" i="71"/>
  <c r="D32" i="71"/>
  <c r="X33" i="71"/>
  <c r="X34" i="71"/>
  <c r="X36" i="71"/>
  <c r="X35" i="71"/>
  <c r="AB37" i="71"/>
  <c r="AB35" i="71"/>
  <c r="F38" i="71"/>
  <c r="F39" i="71" s="1"/>
  <c r="F40" i="71" s="1"/>
  <c r="V40" i="71" s="1"/>
  <c r="C47" i="71"/>
  <c r="D47" i="71" s="1"/>
  <c r="D46" i="71"/>
  <c r="C64" i="71"/>
  <c r="D64" i="71" s="1"/>
  <c r="D63" i="71"/>
  <c r="Y26" i="71"/>
  <c r="Z26" i="71" s="1"/>
  <c r="BL167" i="3"/>
  <c r="AZ167" i="3" s="1"/>
  <c r="G175" i="3"/>
  <c r="G176" i="3"/>
  <c r="BL178" i="3"/>
  <c r="BA180" i="3"/>
  <c r="AZ180" i="3" s="1"/>
  <c r="BL182" i="3"/>
  <c r="G183" i="3"/>
  <c r="BA185" i="3"/>
  <c r="AZ185" i="3" s="1"/>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BL63" i="3"/>
  <c r="G65" i="3"/>
  <c r="BL65" i="3"/>
  <c r="AZ65" i="3" s="1"/>
  <c r="BL66" i="3"/>
  <c r="AZ66" i="3" s="1"/>
  <c r="BL67" i="3"/>
  <c r="AZ67" i="3" s="1"/>
  <c r="G69" i="3"/>
  <c r="G70" i="3"/>
  <c r="BL70" i="3"/>
  <c r="AZ70" i="3" s="1"/>
  <c r="BL71" i="3"/>
  <c r="BL72" i="3"/>
  <c r="AZ72" i="3" s="1"/>
  <c r="G74" i="3"/>
  <c r="BA75" i="3"/>
  <c r="AZ75" i="3" s="1"/>
  <c r="BL86" i="3"/>
  <c r="G87" i="3"/>
  <c r="BA91" i="3"/>
  <c r="BL96" i="3"/>
  <c r="BL97" i="3"/>
  <c r="AZ97" i="3" s="1"/>
  <c r="G103" i="3"/>
  <c r="BA103" i="3"/>
  <c r="BA110" i="3"/>
  <c r="B13" i="1"/>
  <c r="E13" i="1" s="1"/>
  <c r="K13" i="1"/>
  <c r="M13" i="1" s="1"/>
  <c r="O13" i="1" s="1"/>
  <c r="P13" i="1" s="1"/>
  <c r="F40" i="69"/>
  <c r="C40" i="69"/>
  <c r="AB27" i="71"/>
  <c r="AB25" i="71"/>
  <c r="AB28" i="71"/>
  <c r="AB26" i="71"/>
  <c r="Y25" i="71"/>
  <c r="Z25" i="71" s="1"/>
  <c r="AB32" i="71"/>
  <c r="Y30" i="71"/>
  <c r="Z30" i="71" s="1"/>
  <c r="C34" i="71"/>
  <c r="Y28" i="71"/>
  <c r="Z28" i="71" s="1"/>
  <c r="C23" i="71"/>
  <c r="B22" i="71"/>
  <c r="B21" i="71" s="1"/>
  <c r="B20" i="71" s="1"/>
  <c r="AA3" i="71"/>
  <c r="BL190" i="3"/>
  <c r="AZ190" i="3" s="1"/>
  <c r="BA192" i="3"/>
  <c r="AZ192" i="3" s="1"/>
  <c r="BL197" i="3"/>
  <c r="AZ197" i="3" s="1"/>
  <c r="BL199" i="3"/>
  <c r="AZ199" i="3" s="1"/>
  <c r="BA200" i="3"/>
  <c r="AZ200" i="3" s="1"/>
  <c r="BA202" i="3"/>
  <c r="BL207" i="3"/>
  <c r="BL18" i="3"/>
  <c r="AZ18" i="3" s="1"/>
  <c r="BL19" i="3"/>
  <c r="BA20" i="3"/>
  <c r="AZ20" i="3" s="1"/>
  <c r="BL25" i="3"/>
  <c r="BL27" i="3"/>
  <c r="BA28" i="3"/>
  <c r="AZ28" i="3" s="1"/>
  <c r="BA31" i="3"/>
  <c r="BA32" i="3"/>
  <c r="BA38" i="3"/>
  <c r="BA41" i="3"/>
  <c r="BA42" i="3"/>
  <c r="BL48" i="3"/>
  <c r="BL54" i="3"/>
  <c r="BL55" i="3"/>
  <c r="BA59" i="3"/>
  <c r="BL61" i="3"/>
  <c r="BA64" i="3"/>
  <c r="AZ64" i="3" s="1"/>
  <c r="BL68" i="3"/>
  <c r="BA69" i="3"/>
  <c r="AZ69" i="3" s="1"/>
  <c r="BL79" i="3"/>
  <c r="BL81" i="3"/>
  <c r="BA82" i="3"/>
  <c r="AZ82" i="3" s="1"/>
  <c r="BL83" i="3"/>
  <c r="BA89" i="3"/>
  <c r="BL93" i="3"/>
  <c r="P65" i="71"/>
  <c r="P66" i="71"/>
  <c r="F28" i="71"/>
  <c r="F27" i="71" s="1"/>
  <c r="F26" i="71" s="1"/>
  <c r="E39" i="71"/>
  <c r="E40" i="71" s="1"/>
  <c r="U40" i="71" s="1"/>
  <c r="E59" i="71"/>
  <c r="E60" i="71" s="1"/>
  <c r="U60" i="71" s="1"/>
  <c r="T76" i="71"/>
  <c r="D76" i="71"/>
  <c r="C75" i="71"/>
  <c r="BL170" i="3"/>
  <c r="G171" i="3"/>
  <c r="BA173" i="3"/>
  <c r="AZ173" i="3" s="1"/>
  <c r="BA174" i="3"/>
  <c r="BL179" i="3"/>
  <c r="AZ179" i="3" s="1"/>
  <c r="G180" i="3"/>
  <c r="BA181" i="3"/>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AZ45" i="3" s="1"/>
  <c r="BA48" i="3"/>
  <c r="BA49" i="3"/>
  <c r="AZ49" i="3" s="1"/>
  <c r="BA51" i="3"/>
  <c r="G54" i="3"/>
  <c r="G55" i="3"/>
  <c r="BL56" i="3"/>
  <c r="AZ56" i="3" s="1"/>
  <c r="BA58" i="3"/>
  <c r="AZ58" i="3" s="1"/>
  <c r="BL59" i="3"/>
  <c r="BL60" i="3"/>
  <c r="BA61" i="3"/>
  <c r="BA68" i="3"/>
  <c r="AZ68" i="3" s="1"/>
  <c r="BA73" i="3"/>
  <c r="AZ73" i="3" s="1"/>
  <c r="G78" i="3"/>
  <c r="G79" i="3"/>
  <c r="G81" i="3"/>
  <c r="G85" i="3"/>
  <c r="BL85" i="3"/>
  <c r="BA86" i="3"/>
  <c r="AZ86" i="3" s="1"/>
  <c r="G93" i="3"/>
  <c r="BA98" i="3"/>
  <c r="BL103" i="3"/>
  <c r="G104" i="3"/>
  <c r="BA106" i="3"/>
  <c r="BL108" i="3"/>
  <c r="AZ108" i="3" s="1"/>
  <c r="W21" i="21"/>
  <c r="AB21" i="37"/>
  <c r="U21" i="37"/>
  <c r="C86" i="71"/>
  <c r="D86" i="71" s="1"/>
  <c r="X26"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E19" i="71" s="1"/>
  <c r="E18" i="71" s="1"/>
  <c r="E17" i="71" s="1"/>
  <c r="E16" i="71" s="1"/>
  <c r="X28" i="71"/>
  <c r="X32" i="71"/>
  <c r="BA71" i="3"/>
  <c r="AZ71" i="3" s="1"/>
  <c r="G76" i="3"/>
  <c r="BL77" i="3"/>
  <c r="AZ77" i="3" s="1"/>
  <c r="BA79" i="3"/>
  <c r="AZ79" i="3" s="1"/>
  <c r="G82" i="3"/>
  <c r="G83" i="3"/>
  <c r="BA84" i="3"/>
  <c r="AZ84" i="3" s="1"/>
  <c r="BL88" i="3"/>
  <c r="AZ88" i="3" s="1"/>
  <c r="G90" i="3"/>
  <c r="BL90" i="3"/>
  <c r="AZ90" i="3" s="1"/>
  <c r="BL92" i="3"/>
  <c r="G101" i="3"/>
  <c r="BA101" i="3"/>
  <c r="AZ101" i="3" s="1"/>
  <c r="G108" i="3"/>
  <c r="G109" i="3"/>
  <c r="BL112" i="3"/>
  <c r="W18" i="35"/>
  <c r="U25" i="40"/>
  <c r="S21" i="34"/>
  <c r="B68" i="43"/>
  <c r="B88" i="43"/>
  <c r="C27" i="71"/>
  <c r="D62" i="71"/>
  <c r="U68" i="71"/>
  <c r="D30" i="71"/>
  <c r="X31" i="71"/>
  <c r="F35" i="71"/>
  <c r="F36" i="71" s="1"/>
  <c r="V36" i="71" s="1"/>
  <c r="AA34" i="71"/>
  <c r="B51" i="71"/>
  <c r="B52" i="71" s="1"/>
  <c r="S52" i="71" s="1"/>
  <c r="BL94" i="3"/>
  <c r="AZ94" i="3" s="1"/>
  <c r="BA100" i="3"/>
  <c r="AZ100" i="3" s="1"/>
  <c r="BA102" i="3"/>
  <c r="AZ102" i="3" s="1"/>
  <c r="BL105" i="3"/>
  <c r="AZ105" i="3" s="1"/>
  <c r="G107" i="3"/>
  <c r="BL107" i="3"/>
  <c r="BA111" i="3"/>
  <c r="AZ111" i="3" s="1"/>
  <c r="AC21" i="37"/>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AB31" i="34"/>
  <c r="U31" i="34"/>
  <c r="S12" i="21"/>
  <c r="AA12" i="21"/>
  <c r="S12" i="35"/>
  <c r="AA12" i="35"/>
  <c r="AA12" i="34"/>
  <c r="S34" i="21"/>
  <c r="J34" i="35"/>
  <c r="F34" i="35"/>
  <c r="J26" i="37"/>
  <c r="F26" i="37"/>
  <c r="F40" i="40"/>
  <c r="G578" i="3"/>
  <c r="AZ445" i="3"/>
  <c r="AZ452" i="3"/>
  <c r="AZ467" i="3"/>
  <c r="AZ468" i="3"/>
  <c r="AZ470" i="3"/>
  <c r="W35" i="39"/>
  <c r="F27" i="34"/>
  <c r="C21" i="39"/>
  <c r="U9" i="36"/>
  <c r="U14" i="37"/>
  <c r="H12" i="21"/>
  <c r="G526" i="3"/>
  <c r="AZ420" i="3"/>
  <c r="AZ434" i="3"/>
  <c r="AZ436" i="3"/>
  <c r="AZ450" i="3"/>
  <c r="G28" i="6"/>
  <c r="G30" i="6" s="1"/>
  <c r="G31" i="6" s="1"/>
  <c r="U26" i="21"/>
  <c r="W36" i="39"/>
  <c r="U23" i="40"/>
  <c r="AA39" i="37"/>
  <c r="AC16" i="36"/>
  <c r="AB12" i="33"/>
  <c r="C27" i="39"/>
  <c r="U40" i="40"/>
  <c r="AC9" i="40"/>
  <c r="W36" i="35"/>
  <c r="J12" i="21"/>
  <c r="B73" i="43"/>
  <c r="B76" i="43"/>
  <c r="F9" i="36"/>
  <c r="J40" i="40"/>
  <c r="G562" i="3"/>
  <c r="AZ489" i="3"/>
  <c r="AZ385" i="3"/>
  <c r="AZ212" i="3"/>
  <c r="AZ220" i="3"/>
  <c r="AZ231" i="3"/>
  <c r="AZ255" i="3"/>
  <c r="AZ293" i="3"/>
  <c r="BA472" i="3"/>
  <c r="AZ472" i="3" s="1"/>
  <c r="G476" i="3"/>
  <c r="AZ478" i="3"/>
  <c r="BA479" i="3"/>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BL202" i="3"/>
  <c r="AZ202" i="3" s="1"/>
  <c r="BL36" i="3"/>
  <c r="AZ40" i="3"/>
  <c r="AZ48" i="3"/>
  <c r="AZ106" i="3"/>
  <c r="G200" i="3"/>
  <c r="G207" i="3"/>
  <c r="BA23" i="3"/>
  <c r="AZ23" i="3" s="1"/>
  <c r="BA24" i="3"/>
  <c r="AZ24" i="3" s="1"/>
  <c r="BL26" i="3"/>
  <c r="BL32" i="3"/>
  <c r="BA34" i="3"/>
  <c r="AZ34" i="3" s="1"/>
  <c r="BA35" i="3"/>
  <c r="AZ35" i="3" s="1"/>
  <c r="BL37" i="3"/>
  <c r="AZ37" i="3" s="1"/>
  <c r="BL42" i="3"/>
  <c r="BA44" i="3"/>
  <c r="AZ44" i="3" s="1"/>
  <c r="AZ46" i="3"/>
  <c r="AZ60" i="3"/>
  <c r="BA206" i="3"/>
  <c r="AZ206" i="3" s="1"/>
  <c r="BL22" i="3"/>
  <c r="AZ22" i="3" s="1"/>
  <c r="BL33" i="3"/>
  <c r="AZ33" i="3" s="1"/>
  <c r="BL43" i="3"/>
  <c r="AZ43" i="3" s="1"/>
  <c r="BL46" i="3"/>
  <c r="AZ54" i="3"/>
  <c r="AZ92" i="3"/>
  <c r="BL78" i="3"/>
  <c r="BA83" i="3"/>
  <c r="AZ83" i="3" s="1"/>
  <c r="G91" i="3"/>
  <c r="BL95" i="3"/>
  <c r="AZ95" i="3" s="1"/>
  <c r="BL98" i="3"/>
  <c r="BL109" i="3"/>
  <c r="AZ109" i="3" s="1"/>
  <c r="AB21" i="21"/>
  <c r="AZ78" i="3"/>
  <c r="G77" i="3"/>
  <c r="BA81" i="3"/>
  <c r="AZ81" i="3" s="1"/>
  <c r="BA85" i="3"/>
  <c r="AZ85" i="3" s="1"/>
  <c r="BL89" i="3"/>
  <c r="G94" i="3"/>
  <c r="G97" i="3"/>
  <c r="G100" i="3"/>
  <c r="BA107" i="3"/>
  <c r="BA112" i="3"/>
  <c r="AC21" i="34"/>
  <c r="E27" i="71"/>
  <c r="E26" i="71" s="1"/>
  <c r="V28" i="71"/>
  <c r="BA76" i="3"/>
  <c r="AZ76" i="3" s="1"/>
  <c r="BL80" i="3"/>
  <c r="AZ80" i="3" s="1"/>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J26" i="43" s="1"/>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J53" i="15"/>
  <c r="L56" i="15" s="1"/>
  <c r="J57" i="15"/>
  <c r="J55" i="15" s="1"/>
  <c r="J58" i="15" s="1"/>
  <c r="Q50" i="15" s="1"/>
  <c r="I54" i="15"/>
  <c r="B20" i="31"/>
  <c r="B21" i="31" s="1"/>
  <c r="I1" i="73"/>
  <c r="B39" i="1" s="1"/>
  <c r="M7" i="15"/>
  <c r="F50" i="15"/>
  <c r="F51" i="15"/>
  <c r="F71" i="15"/>
  <c r="C6" i="15"/>
  <c r="L59" i="15"/>
  <c r="N59" i="15"/>
  <c r="L58" i="15"/>
  <c r="M59" i="15"/>
  <c r="F66" i="15"/>
  <c r="F64" i="15"/>
  <c r="C27" i="15"/>
  <c r="F65" i="15"/>
  <c r="B13" i="70"/>
  <c r="C36" i="68"/>
  <c r="D9" i="68"/>
  <c r="F43" i="67"/>
  <c r="M26" i="67"/>
  <c r="F8" i="67"/>
  <c r="F42" i="15"/>
  <c r="F26" i="67"/>
  <c r="F6" i="67"/>
  <c r="F36" i="67"/>
  <c r="D4" i="73"/>
  <c r="F13" i="67"/>
  <c r="M23" i="67"/>
  <c r="F38" i="67"/>
  <c r="M8" i="67"/>
  <c r="C36" i="69"/>
  <c r="M28" i="67"/>
  <c r="F9" i="67"/>
  <c r="F37" i="67"/>
  <c r="M8" i="15"/>
  <c r="M29" i="67"/>
  <c r="M9" i="67"/>
  <c r="M29" i="15"/>
  <c r="J15" i="67"/>
  <c r="D3" i="73"/>
  <c r="F13" i="15"/>
  <c r="M24" i="67"/>
  <c r="L47" i="67"/>
  <c r="M28" i="15"/>
  <c r="F40" i="67"/>
  <c r="D5" i="73"/>
  <c r="C16" i="15"/>
  <c r="D9" i="69"/>
  <c r="L48" i="67"/>
  <c r="F40" i="15"/>
  <c r="F16" i="67"/>
  <c r="M22" i="67"/>
  <c r="D7" i="73"/>
  <c r="M6" i="67"/>
  <c r="F42" i="67"/>
  <c r="F7" i="67"/>
  <c r="C76" i="67"/>
  <c r="F68" i="15" l="1"/>
  <c r="AZ435" i="3"/>
  <c r="AA31" i="39"/>
  <c r="S31" i="39"/>
  <c r="S29" i="34"/>
  <c r="AA29" i="34"/>
  <c r="W27" i="21"/>
  <c r="AC27" i="21"/>
  <c r="J6" i="15"/>
  <c r="F15" i="71"/>
  <c r="F14" i="71" s="1"/>
  <c r="F13" i="71" s="1"/>
  <c r="F12" i="71" s="1"/>
  <c r="F11" i="71" s="1"/>
  <c r="F10" i="71" s="1"/>
  <c r="F9" i="71" s="1"/>
  <c r="F8" i="71" s="1"/>
  <c r="F7" i="71" s="1"/>
  <c r="F6" i="71" s="1"/>
  <c r="F5" i="71" s="1"/>
  <c r="M23" i="43"/>
  <c r="T64" i="71"/>
  <c r="AZ96" i="3"/>
  <c r="AZ129" i="3"/>
  <c r="AZ209" i="3"/>
  <c r="AA13" i="35"/>
  <c r="AZ51" i="3"/>
  <c r="AZ181" i="3"/>
  <c r="C40" i="71"/>
  <c r="AZ55" i="3"/>
  <c r="AZ63" i="3"/>
  <c r="AZ273" i="3"/>
  <c r="AZ488" i="3"/>
  <c r="AZ460" i="3"/>
  <c r="AZ398" i="3"/>
  <c r="AZ408" i="3"/>
  <c r="AZ520" i="3"/>
  <c r="AZ502" i="3"/>
  <c r="C44" i="71"/>
  <c r="D43" i="71"/>
  <c r="AZ121" i="3"/>
  <c r="AZ235" i="3"/>
  <c r="AZ251" i="3"/>
  <c r="AZ353" i="3"/>
  <c r="AZ271" i="3"/>
  <c r="AZ229" i="3"/>
  <c r="D60" i="71"/>
  <c r="T60" i="71"/>
  <c r="W31" i="39"/>
  <c r="AC31" i="39"/>
  <c r="S12" i="39"/>
  <c r="AA12" i="39"/>
  <c r="S45" i="34"/>
  <c r="AA45" i="34"/>
  <c r="W12" i="33"/>
  <c r="AC12" i="33"/>
  <c r="S9" i="33"/>
  <c r="AZ42" i="3"/>
  <c r="AZ174" i="3"/>
  <c r="AZ299" i="3"/>
  <c r="AZ492" i="3"/>
  <c r="AZ348" i="3"/>
  <c r="AZ110" i="3"/>
  <c r="D51" i="71"/>
  <c r="AZ157" i="3"/>
  <c r="AZ263" i="3"/>
  <c r="AZ291" i="3"/>
  <c r="AZ252" i="3"/>
  <c r="AZ211" i="3"/>
  <c r="AZ424" i="3"/>
  <c r="AZ166" i="3"/>
  <c r="AZ368" i="3"/>
  <c r="AZ487" i="3"/>
  <c r="AZ443" i="3"/>
  <c r="AZ533" i="3"/>
  <c r="AZ402" i="3"/>
  <c r="AB29" i="34"/>
  <c r="U29" i="34"/>
  <c r="U45" i="34"/>
  <c r="AB45" i="34"/>
  <c r="D20" i="53"/>
  <c r="B40" i="72" s="1"/>
  <c r="AZ138" i="3"/>
  <c r="AZ479" i="3"/>
  <c r="AZ103" i="3"/>
  <c r="AZ91" i="3"/>
  <c r="AZ193" i="3"/>
  <c r="AZ243" i="3"/>
  <c r="AZ189" i="3"/>
  <c r="AZ154" i="3"/>
  <c r="AZ222" i="3"/>
  <c r="AZ442" i="3"/>
  <c r="AZ426" i="3"/>
  <c r="AZ412" i="3"/>
  <c r="AZ523" i="3"/>
  <c r="AZ583" i="3"/>
  <c r="E15" i="6"/>
  <c r="E64" i="39" s="1"/>
  <c r="E29" i="6"/>
  <c r="K15" i="1" s="1"/>
  <c r="D79" i="71"/>
  <c r="C78" i="71"/>
  <c r="D78" i="71" s="1"/>
  <c r="AZ473" i="3"/>
  <c r="AZ521" i="3"/>
  <c r="W13" i="35"/>
  <c r="AC13" i="35"/>
  <c r="AA12" i="33"/>
  <c r="S12" i="33"/>
  <c r="AC45" i="34"/>
  <c r="W45" i="34"/>
  <c r="W29" i="34"/>
  <c r="AC29" i="34"/>
  <c r="AA27" i="21"/>
  <c r="S27" i="21"/>
  <c r="Q16" i="1"/>
  <c r="M6" i="1"/>
  <c r="O6" i="1" s="1"/>
  <c r="F66" i="67"/>
  <c r="P6" i="1"/>
  <c r="C13" i="12" s="1"/>
  <c r="H16" i="1"/>
  <c r="G16" i="1"/>
  <c r="F10" i="39" s="1"/>
  <c r="S10" i="39" s="1"/>
  <c r="F26" i="43"/>
  <c r="E13" i="6"/>
  <c r="E58" i="40" s="1"/>
  <c r="E12" i="6"/>
  <c r="E57" i="40" s="1"/>
  <c r="N94" i="46"/>
  <c r="E11" i="6"/>
  <c r="E60" i="39" s="1"/>
  <c r="E28" i="6"/>
  <c r="K14" i="1" s="1"/>
  <c r="K16" i="1" s="1"/>
  <c r="E14" i="6"/>
  <c r="N370" i="46"/>
  <c r="F64" i="67"/>
  <c r="F65" i="67"/>
  <c r="F68" i="67"/>
  <c r="F50" i="67"/>
  <c r="M7" i="67"/>
  <c r="J6" i="67" s="1"/>
  <c r="J18" i="67" s="1"/>
  <c r="F51" i="67"/>
  <c r="C27" i="67"/>
  <c r="M59" i="67"/>
  <c r="N59" i="67"/>
  <c r="L58" i="67"/>
  <c r="Q60" i="67" s="1"/>
  <c r="L59" i="67"/>
  <c r="Q74" i="67" s="1"/>
  <c r="Q71" i="67"/>
  <c r="F31" i="67"/>
  <c r="C6" i="67"/>
  <c r="C32" i="67" s="1"/>
  <c r="I54" i="67"/>
  <c r="L56" i="67"/>
  <c r="J53" i="67"/>
  <c r="Q52" i="67" s="1"/>
  <c r="J57" i="67"/>
  <c r="J55" i="67" s="1"/>
  <c r="J58" i="67" s="1"/>
  <c r="Q50" i="67" s="1"/>
  <c r="F71" i="67"/>
  <c r="D75" i="71"/>
  <c r="C74" i="71"/>
  <c r="D74" i="71" s="1"/>
  <c r="B19" i="71"/>
  <c r="B18" i="71" s="1"/>
  <c r="B17" i="71" s="1"/>
  <c r="B16" i="71" s="1"/>
  <c r="S20" i="71"/>
  <c r="T52" i="71"/>
  <c r="D52" i="71"/>
  <c r="AZ418" i="3"/>
  <c r="AB24" i="36"/>
  <c r="U24" i="36"/>
  <c r="AC12" i="40"/>
  <c r="W12" i="40"/>
  <c r="AB25" i="36"/>
  <c r="U25" i="36"/>
  <c r="W28" i="33"/>
  <c r="AC28" i="33"/>
  <c r="W28" i="34"/>
  <c r="AC28" i="34"/>
  <c r="AC23" i="36"/>
  <c r="W23" i="36"/>
  <c r="AA13" i="36"/>
  <c r="S13" i="36"/>
  <c r="S13" i="40"/>
  <c r="AA13" i="40"/>
  <c r="J7" i="36"/>
  <c r="E26" i="43"/>
  <c r="H26" i="43"/>
  <c r="AZ98" i="3"/>
  <c r="AC45" i="39"/>
  <c r="C26" i="71"/>
  <c r="D26" i="71" s="1"/>
  <c r="D27" i="71"/>
  <c r="D67" i="71"/>
  <c r="C66" i="71"/>
  <c r="O67" i="71"/>
  <c r="T40" i="71"/>
  <c r="D40" i="71"/>
  <c r="AZ59" i="3"/>
  <c r="AZ31" i="3"/>
  <c r="C22" i="71"/>
  <c r="D23" i="71"/>
  <c r="AZ25" i="3"/>
  <c r="AZ130" i="3"/>
  <c r="AZ244" i="3"/>
  <c r="AZ239" i="3"/>
  <c r="AZ118" i="3"/>
  <c r="AZ454" i="3"/>
  <c r="AZ425" i="3"/>
  <c r="AZ429" i="3"/>
  <c r="AB38" i="40"/>
  <c r="U38" i="40"/>
  <c r="AC9" i="36"/>
  <c r="W9" i="36"/>
  <c r="U45" i="39"/>
  <c r="AB45" i="39"/>
  <c r="U28" i="33"/>
  <c r="AB28" i="33"/>
  <c r="AA28" i="34"/>
  <c r="S28" i="34"/>
  <c r="AB23" i="36"/>
  <c r="U23" i="36"/>
  <c r="U13" i="40"/>
  <c r="AB13" i="40"/>
  <c r="AZ503" i="3"/>
  <c r="U39" i="40"/>
  <c r="AB39" i="40"/>
  <c r="J7" i="37"/>
  <c r="W7" i="37" s="1"/>
  <c r="G26" i="43"/>
  <c r="AZ112" i="3"/>
  <c r="G5" i="3"/>
  <c r="B3" i="3" s="1"/>
  <c r="E536" i="3" s="1"/>
  <c r="AZ32" i="3"/>
  <c r="AZ36" i="3"/>
  <c r="AZ142" i="3"/>
  <c r="AZ215" i="3"/>
  <c r="AZ61" i="3"/>
  <c r="AZ41" i="3"/>
  <c r="C56" i="71"/>
  <c r="D55" i="71"/>
  <c r="AZ282" i="3"/>
  <c r="AZ294" i="3"/>
  <c r="AZ415" i="3"/>
  <c r="AZ397" i="3"/>
  <c r="AZ428" i="3"/>
  <c r="AZ411" i="3"/>
  <c r="S38" i="40"/>
  <c r="AA38" i="40"/>
  <c r="AZ550" i="3"/>
  <c r="AA27" i="37"/>
  <c r="S27" i="37"/>
  <c r="AB9" i="33"/>
  <c r="U9" i="33"/>
  <c r="W13" i="37"/>
  <c r="AC13" i="37"/>
  <c r="U23" i="35"/>
  <c r="AB23" i="35"/>
  <c r="S31" i="40"/>
  <c r="AA31" i="40"/>
  <c r="AZ547" i="3"/>
  <c r="AC39" i="40"/>
  <c r="W39" i="40"/>
  <c r="AZ107" i="3"/>
  <c r="AZ89" i="3"/>
  <c r="AZ26" i="3"/>
  <c r="AZ5" i="3" s="1"/>
  <c r="AY6" i="3" s="1"/>
  <c r="AZ486" i="3"/>
  <c r="AZ27" i="3"/>
  <c r="D34" i="71"/>
  <c r="C35" i="71"/>
  <c r="AZ38" i="3"/>
  <c r="AZ137" i="3"/>
  <c r="AZ297" i="3"/>
  <c r="AZ241" i="3"/>
  <c r="AZ150" i="3"/>
  <c r="AZ208" i="3"/>
  <c r="AZ459" i="3"/>
  <c r="AZ421" i="3"/>
  <c r="AZ414" i="3"/>
  <c r="AZ432" i="3"/>
  <c r="AZ417" i="3"/>
  <c r="AB12" i="40"/>
  <c r="U12" i="40"/>
  <c r="AC40" i="37"/>
  <c r="W40" i="37"/>
  <c r="S32" i="40"/>
  <c r="AA32" i="40"/>
  <c r="U27" i="37"/>
  <c r="AB27" i="37"/>
  <c r="AC9" i="33"/>
  <c r="W9" i="33"/>
  <c r="S13" i="37"/>
  <c r="AA13" i="37"/>
  <c r="AA23" i="36"/>
  <c r="S23" i="36"/>
  <c r="AC23" i="35"/>
  <c r="W23" i="35"/>
  <c r="AC31" i="40"/>
  <c r="W31" i="40"/>
  <c r="U46" i="21"/>
  <c r="AB46" i="21"/>
  <c r="AZ513" i="3"/>
  <c r="AZ548" i="3"/>
  <c r="K1" i="73"/>
  <c r="E510" i="3"/>
  <c r="E199" i="3"/>
  <c r="E442" i="3"/>
  <c r="E95" i="3"/>
  <c r="E363" i="3"/>
  <c r="E64" i="3"/>
  <c r="E300" i="3"/>
  <c r="E23" i="3"/>
  <c r="E264" i="3"/>
  <c r="E21" i="3"/>
  <c r="AL6" i="3"/>
  <c r="E174" i="3"/>
  <c r="E86" i="3"/>
  <c r="AF6" i="3"/>
  <c r="E140" i="3"/>
  <c r="E534" i="3"/>
  <c r="E405" i="3"/>
  <c r="E497" i="3"/>
  <c r="E452" i="3"/>
  <c r="E26" i="3"/>
  <c r="E243" i="3"/>
  <c r="E412" i="3"/>
  <c r="E220" i="3"/>
  <c r="E232" i="3"/>
  <c r="E158" i="3"/>
  <c r="E83" i="3"/>
  <c r="E188" i="3"/>
  <c r="E105" i="3"/>
  <c r="E493" i="3"/>
  <c r="E427" i="3"/>
  <c r="E422" i="3"/>
  <c r="E490" i="3"/>
  <c r="J6" i="3"/>
  <c r="E401" i="3"/>
  <c r="E40" i="3"/>
  <c r="E178" i="3"/>
  <c r="E276" i="3"/>
  <c r="E333" i="3"/>
  <c r="E60" i="3"/>
  <c r="E473" i="3"/>
  <c r="E455" i="3"/>
  <c r="E170" i="3"/>
  <c r="E234" i="3"/>
  <c r="E339" i="3"/>
  <c r="AQ6" i="3"/>
  <c r="E112" i="3"/>
  <c r="E147" i="3"/>
  <c r="E364" i="3"/>
  <c r="E62" i="3"/>
  <c r="E218" i="3"/>
  <c r="E524" i="3"/>
  <c r="E141" i="3"/>
  <c r="E398" i="3"/>
  <c r="E90" i="3"/>
  <c r="E58" i="3"/>
  <c r="E65" i="3"/>
  <c r="E250" i="3"/>
  <c r="E244" i="3"/>
  <c r="E421" i="3"/>
  <c r="E520" i="3"/>
  <c r="E446" i="3"/>
  <c r="E209" i="3"/>
  <c r="E284" i="3"/>
  <c r="E149" i="3"/>
  <c r="E582" i="3"/>
  <c r="E375" i="3"/>
  <c r="E584" i="3"/>
  <c r="E373" i="3"/>
  <c r="E39" i="3"/>
  <c r="E163" i="3"/>
  <c r="Y6" i="3"/>
  <c r="E459" i="3"/>
  <c r="E87" i="3"/>
  <c r="E167" i="3"/>
  <c r="E504" i="3"/>
  <c r="E127" i="3"/>
  <c r="E122" i="3"/>
  <c r="E352" i="3"/>
  <c r="E224" i="3"/>
  <c r="E532" i="3"/>
  <c r="E438" i="3"/>
  <c r="E537" i="3"/>
  <c r="E475" i="3"/>
  <c r="E208" i="3"/>
  <c r="E14" i="3"/>
  <c r="E397" i="3"/>
  <c r="E145" i="3"/>
  <c r="E411" i="3"/>
  <c r="E432" i="3"/>
  <c r="E403" i="3"/>
  <c r="E92" i="3"/>
  <c r="E272" i="3"/>
  <c r="AM6" i="3"/>
  <c r="E319" i="3"/>
  <c r="E153" i="3"/>
  <c r="O6" i="3"/>
  <c r="E285" i="3"/>
  <c r="E390" i="3"/>
  <c r="E523" i="3"/>
  <c r="E506" i="3"/>
  <c r="E321" i="3"/>
  <c r="E298" i="3"/>
  <c r="E169" i="3"/>
  <c r="E565" i="3"/>
  <c r="E213" i="3"/>
  <c r="E302" i="3"/>
  <c r="E254" i="3"/>
  <c r="E303" i="3"/>
  <c r="E402" i="3"/>
  <c r="E280" i="3"/>
  <c r="AA6" i="3"/>
  <c r="E156" i="3"/>
  <c r="E128" i="3"/>
  <c r="E262" i="3"/>
  <c r="E177" i="3"/>
  <c r="Q6" i="3"/>
  <c r="E481" i="3"/>
  <c r="E424" i="3"/>
  <c r="E429" i="3"/>
  <c r="E496" i="3"/>
  <c r="E55" i="3"/>
  <c r="E256" i="3"/>
  <c r="E274" i="3"/>
  <c r="E580" i="3"/>
  <c r="I6" i="3"/>
  <c r="E252" i="3"/>
  <c r="E164" i="3"/>
  <c r="E448" i="3"/>
  <c r="P6" i="3"/>
  <c r="E443"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D5" i="43"/>
  <c r="H10" i="39"/>
  <c r="U10" i="39" s="1"/>
  <c r="C7" i="43"/>
  <c r="C5" i="43" s="1"/>
  <c r="D10" i="52"/>
  <c r="D125" i="9"/>
  <c r="D11" i="52" s="1"/>
  <c r="B7" i="74"/>
  <c r="C7" i="74" s="1"/>
  <c r="F67" i="39"/>
  <c r="H7" i="37"/>
  <c r="AB7" i="37" s="1"/>
  <c r="T42" i="37" s="1"/>
  <c r="G42" i="37" s="1"/>
  <c r="H7" i="33"/>
  <c r="J7" i="33"/>
  <c r="D65" i="40"/>
  <c r="E63" i="40"/>
  <c r="F48" i="35"/>
  <c r="AA7" i="36"/>
  <c r="R36" i="36" s="1"/>
  <c r="AC7" i="37"/>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F27" i="69"/>
  <c r="C16" i="67"/>
  <c r="U7" i="36" l="1"/>
  <c r="D44" i="71"/>
  <c r="T44" i="71"/>
  <c r="C47" i="69"/>
  <c r="D45" i="69" s="1"/>
  <c r="C29" i="69"/>
  <c r="D27" i="69" s="1"/>
  <c r="F45" i="69"/>
  <c r="E435" i="3"/>
  <c r="E342" i="3"/>
  <c r="E115" i="3"/>
  <c r="E408" i="3"/>
  <c r="E287" i="3"/>
  <c r="E18" i="3"/>
  <c r="E233" i="3"/>
  <c r="E76" i="3"/>
  <c r="I3" i="6"/>
  <c r="J5" i="67"/>
  <c r="J24" i="67" s="1"/>
  <c r="F1" i="67"/>
  <c r="AA10" i="39"/>
  <c r="H10" i="40"/>
  <c r="AB10" i="40" s="1"/>
  <c r="J10" i="40"/>
  <c r="AC10" i="40" s="1"/>
  <c r="J10" i="39"/>
  <c r="W10" i="39" s="1"/>
  <c r="F10" i="40"/>
  <c r="S10" i="40" s="1"/>
  <c r="E574" i="3"/>
  <c r="E501" i="3"/>
  <c r="E317" i="3"/>
  <c r="E546" i="3"/>
  <c r="E548" i="3"/>
  <c r="E207" i="3"/>
  <c r="E257" i="3"/>
  <c r="E471" i="3"/>
  <c r="E474" i="3"/>
  <c r="E306" i="3"/>
  <c r="E82" i="3"/>
  <c r="E187" i="3"/>
  <c r="E488" i="3"/>
  <c r="E66" i="3"/>
  <c r="E374" i="3"/>
  <c r="E47" i="3"/>
  <c r="E464" i="3"/>
  <c r="E48" i="3"/>
  <c r="E57" i="3"/>
  <c r="E312" i="3"/>
  <c r="E24" i="3"/>
  <c r="E155" i="3"/>
  <c r="E552" i="3"/>
  <c r="E365" i="3"/>
  <c r="E50" i="3"/>
  <c r="E123" i="3"/>
  <c r="E392" i="3"/>
  <c r="E137" i="3"/>
  <c r="E15" i="3"/>
  <c r="L6" i="3"/>
  <c r="E202" i="3"/>
  <c r="E463" i="3"/>
  <c r="AH6" i="3"/>
  <c r="E486" i="3"/>
  <c r="E393" i="3"/>
  <c r="E16" i="3"/>
  <c r="E370" i="3"/>
  <c r="E324" i="3"/>
  <c r="E428" i="3"/>
  <c r="E104" i="3"/>
  <c r="E13" i="3"/>
  <c r="E512" i="3"/>
  <c r="E197" i="3"/>
  <c r="E102" i="3"/>
  <c r="E522" i="3"/>
  <c r="E75" i="3"/>
  <c r="E309" i="3"/>
  <c r="E144" i="3"/>
  <c r="E103" i="3"/>
  <c r="E389" i="3"/>
  <c r="E56" i="3"/>
  <c r="E541" i="3"/>
  <c r="E539" i="3"/>
  <c r="E575" i="3"/>
  <c r="E449" i="3"/>
  <c r="E417" i="3"/>
  <c r="E241" i="3"/>
  <c r="E409" i="3"/>
  <c r="E267" i="3"/>
  <c r="E67" i="3"/>
  <c r="E63" i="3"/>
  <c r="E198" i="3"/>
  <c r="E482" i="3"/>
  <c r="E235" i="3"/>
  <c r="E251" i="3"/>
  <c r="E308" i="3"/>
  <c r="E173" i="3"/>
  <c r="E469"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353" i="3"/>
  <c r="E238" i="3"/>
  <c r="E120" i="3"/>
  <c r="E437" i="3"/>
  <c r="AE6" i="3"/>
  <c r="E73" i="3"/>
  <c r="E394" i="3"/>
  <c r="E236" i="3"/>
  <c r="AG6" i="3"/>
  <c r="E558" i="3"/>
  <c r="E576" i="3"/>
  <c r="E32" i="3"/>
  <c r="E203" i="3"/>
  <c r="E344" i="3"/>
  <c r="E330" i="3"/>
  <c r="E434" i="3"/>
  <c r="AN6" i="3"/>
  <c r="E221" i="3"/>
  <c r="E304" i="3"/>
  <c r="E418" i="3"/>
  <c r="E97" i="3"/>
  <c r="E328" i="3"/>
  <c r="E29" i="3"/>
  <c r="E126" i="3"/>
  <c r="E547" i="3"/>
  <c r="E379" i="3"/>
  <c r="E93" i="3"/>
  <c r="E168" i="3"/>
  <c r="E288" i="3"/>
  <c r="E313" i="3"/>
  <c r="E136" i="3"/>
  <c r="E98" i="3"/>
  <c r="E154" i="3"/>
  <c r="AD6" i="3"/>
  <c r="E259" i="3"/>
  <c r="E341" i="3"/>
  <c r="E297" i="3"/>
  <c r="E19" i="3"/>
  <c r="E138" i="3"/>
  <c r="E500" i="3"/>
  <c r="E51" i="3"/>
  <c r="E521" i="3"/>
  <c r="E460" i="3"/>
  <c r="E101" i="3"/>
  <c r="E176" i="3"/>
  <c r="E340" i="3"/>
  <c r="E52" i="3"/>
  <c r="E299" i="3"/>
  <c r="E38" i="3"/>
  <c r="E43" i="3"/>
  <c r="E346" i="3"/>
  <c r="E108" i="3"/>
  <c r="E498" i="3"/>
  <c r="E440" i="3"/>
  <c r="E543" i="3"/>
  <c r="E223" i="3"/>
  <c r="E326" i="3"/>
  <c r="E49" i="3"/>
  <c r="E78" i="3"/>
  <c r="E225" i="3"/>
  <c r="E420" i="3"/>
  <c r="E360" i="3"/>
  <c r="T6" i="3"/>
  <c r="E22" i="3"/>
  <c r="E34" i="3"/>
  <c r="E129" i="3"/>
  <c r="E332" i="3"/>
  <c r="E381" i="3"/>
  <c r="E310" i="3"/>
  <c r="E425" i="3"/>
  <c r="E192" i="3"/>
  <c r="E554" i="3"/>
  <c r="R6" i="3"/>
  <c r="E62" i="39"/>
  <c r="C49" i="67"/>
  <c r="Q73" i="67"/>
  <c r="D26" i="43"/>
  <c r="C25" i="43" s="1"/>
  <c r="C33" i="43" s="1"/>
  <c r="C6" i="69" s="1"/>
  <c r="C7" i="69" s="1"/>
  <c r="M14" i="1"/>
  <c r="M16" i="1" s="1"/>
  <c r="Q61" i="67"/>
  <c r="E3" i="6"/>
  <c r="E63" i="39"/>
  <c r="E59" i="40"/>
  <c r="F59" i="67"/>
  <c r="O65" i="71"/>
  <c r="D66" i="71"/>
  <c r="O66" i="71"/>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C21" i="71"/>
  <c r="D22" i="71"/>
  <c r="E391" i="3"/>
  <c r="E494" i="3"/>
  <c r="E283" i="3"/>
  <c r="E68" i="3"/>
  <c r="E184" i="3"/>
  <c r="E84" i="3"/>
  <c r="E371" i="3"/>
  <c r="E160" i="3"/>
  <c r="E467" i="3"/>
  <c r="E59" i="3"/>
  <c r="E349" i="3"/>
  <c r="E258" i="3"/>
  <c r="E37" i="3"/>
  <c r="E491" i="3"/>
  <c r="AP6" i="3"/>
  <c r="E430" i="3"/>
  <c r="E502" i="3"/>
  <c r="E286" i="3"/>
  <c r="C36" i="71"/>
  <c r="D35"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M27" i="15"/>
  <c r="F41" i="15"/>
  <c r="AE6" i="1"/>
  <c r="F25" i="12" l="1"/>
  <c r="AC6" i="3"/>
  <c r="E6" i="3" s="1"/>
  <c r="C48" i="67"/>
  <c r="C66" i="67" s="1"/>
  <c r="AC10" i="39"/>
  <c r="E65" i="39"/>
  <c r="F22" i="68"/>
  <c r="C44" i="68" s="1"/>
  <c r="D41" i="68" s="1"/>
  <c r="F22" i="11"/>
  <c r="C23" i="11" s="1"/>
  <c r="F24" i="67"/>
  <c r="C24" i="67" s="1"/>
  <c r="F24" i="15"/>
  <c r="C24" i="15" s="1"/>
  <c r="F22" i="69"/>
  <c r="F41" i="69" s="1"/>
  <c r="D116" i="43"/>
  <c r="D36" i="71"/>
  <c r="T36" i="7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D10" i="68"/>
  <c r="F41" i="67"/>
  <c r="D10" i="69"/>
  <c r="C14" i="67"/>
  <c r="C17" i="67"/>
  <c r="C17" i="15"/>
  <c r="C34" i="69"/>
  <c r="C44" i="11" l="1"/>
  <c r="D41" i="11" s="1"/>
  <c r="H22" i="6"/>
  <c r="H24" i="6"/>
  <c r="F69" i="67"/>
  <c r="C26" i="11"/>
  <c r="D22" i="11" s="1"/>
  <c r="C60" i="67"/>
  <c r="C25" i="11"/>
  <c r="C24" i="11"/>
  <c r="C22" i="11" s="1"/>
  <c r="C26" i="68"/>
  <c r="D22" i="68" s="1"/>
  <c r="F41" i="68"/>
  <c r="H21" i="6"/>
  <c r="D30" i="6"/>
  <c r="H25" i="6"/>
  <c r="R25" i="6" s="1"/>
  <c r="R12" i="1" s="1"/>
  <c r="C44" i="69"/>
  <c r="D41" i="69" s="1"/>
  <c r="C26" i="69"/>
  <c r="D22" i="69"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8" i="69" l="1"/>
  <c r="C5" i="69" s="1"/>
  <c r="C23" i="69" s="1"/>
  <c r="B29" i="1"/>
  <c r="C31" i="1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27" i="12" s="1"/>
  <c r="C25" i="12"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C30" i="12" l="1"/>
  <c r="C28" i="12" s="1"/>
  <c r="C32" i="12"/>
  <c r="B2" i="12" s="1"/>
  <c r="B3" i="12"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20" i="9"/>
  <c r="C103" i="9" l="1"/>
  <c r="Q69" i="67"/>
  <c r="Q68" i="67" s="1"/>
  <c r="H38"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19" i="9"/>
  <c r="D2" i="37"/>
  <c r="D2" i="36"/>
  <c r="D2" i="35"/>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D20" i="9"/>
  <c r="AO6" i="1"/>
  <c r="AO9" i="1"/>
  <c r="AO7" i="1"/>
  <c r="AO10" i="1"/>
  <c r="AO11"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G118" i="9"/>
  <c r="G4" i="52" s="1"/>
  <c r="B52" i="72" s="1"/>
  <c r="I118" i="9"/>
  <c r="I4" i="52" l="1"/>
  <c r="H118" i="9"/>
  <c r="E118" i="9"/>
  <c r="D118" i="9" s="1"/>
  <c r="D4" i="52" s="1"/>
  <c r="B47" i="72" s="1"/>
  <c r="C105" i="9"/>
  <c r="H102" i="9"/>
  <c r="D7" i="53" s="1"/>
  <c r="B21" i="72" s="1"/>
  <c r="F118" i="9"/>
  <c r="E4" i="52" l="1"/>
  <c r="B48" i="72" s="1"/>
  <c r="D119" i="9"/>
  <c r="D5" i="52" s="1"/>
  <c r="B49" i="72" s="1"/>
  <c r="H4" i="52"/>
  <c r="H101" i="9"/>
  <c r="H119" i="9"/>
  <c r="H5" i="52" s="1"/>
  <c r="C104" i="9"/>
  <c r="F119" i="9"/>
  <c r="F5" i="52" s="1"/>
  <c r="B53" i="72" s="1"/>
  <c r="F4" i="52"/>
  <c r="B51" i="72" s="1"/>
  <c r="D5" i="53" l="1"/>
  <c r="D45" i="9"/>
  <c r="D14" i="74"/>
  <c r="M48" i="9"/>
  <c r="H107" i="9"/>
  <c r="E14" i="74" l="1"/>
  <c r="F14" i="74"/>
  <c r="B5" i="74"/>
  <c r="D53" i="9"/>
  <c r="C72" i="9"/>
  <c r="C78" i="9"/>
  <c r="C73" i="9" s="1"/>
  <c r="D55" i="9"/>
  <c r="M53" i="9" s="1"/>
  <c r="C85" i="9"/>
  <c r="C64" i="9"/>
  <c r="C63" i="9" s="1"/>
  <c r="C67" i="9" s="1"/>
  <c r="D52" i="9"/>
  <c r="C93" i="9"/>
  <c r="C86" i="9" s="1"/>
  <c r="M49" i="9"/>
  <c r="H108" i="9"/>
  <c r="D13" i="53"/>
  <c r="D122" i="9"/>
  <c r="B20" i="72"/>
  <c r="D6" i="53"/>
  <c r="B22" i="72" s="1"/>
  <c r="C95" i="9" l="1"/>
  <c r="L65" i="9"/>
  <c r="M65" i="9" s="1"/>
  <c r="L66" i="9"/>
  <c r="M66" i="9" s="1"/>
  <c r="L67" i="9"/>
  <c r="M67" i="9" s="1"/>
  <c r="L68" i="9"/>
  <c r="M68" i="9" s="1"/>
  <c r="L63" i="9"/>
  <c r="M63" i="9" s="1"/>
  <c r="L64" i="9"/>
  <c r="M64" i="9" s="1"/>
  <c r="D123" i="9"/>
  <c r="D9" i="52" s="1"/>
  <c r="D8" i="52"/>
  <c r="D5" i="74"/>
  <c r="C5" i="74"/>
  <c r="C96" i="9"/>
  <c r="E96" i="9" s="1"/>
  <c r="E97" i="9" s="1"/>
  <c r="D14" i="53"/>
  <c r="B32" i="72" s="1"/>
  <c r="B30" i="72"/>
  <c r="D15" i="53"/>
  <c r="B31" i="72" s="1"/>
  <c r="C6" i="74"/>
  <c r="D59" i="9"/>
  <c r="M55" i="9" s="1"/>
  <c r="C68" i="9"/>
  <c r="D54" i="9" s="1"/>
  <c r="C79" i="9"/>
  <c r="C97" i="9" l="1"/>
  <c r="D58" i="9" s="1"/>
  <c r="D56" i="9" s="1"/>
  <c r="M54" i="9" s="1"/>
  <c r="N57" i="9"/>
  <c r="P57" i="9" s="1"/>
  <c r="M69" i="9"/>
  <c r="N69" i="9" s="1"/>
  <c r="C80" i="9"/>
  <c r="E80" i="9" s="1"/>
  <c r="E81" i="9" s="1"/>
  <c r="N59" i="9" l="1"/>
  <c r="N58" i="9"/>
  <c r="N60" i="9"/>
  <c r="N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0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0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color indexed="81"/>
            <rFont val="宋体"/>
            <family val="3"/>
            <charset val="134"/>
          </rPr>
          <t xml:space="preserve">需在此处填写剩余土地年限
</t>
        </r>
      </text>
    </comment>
    <comment ref="C111"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0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<sst xmlns="http://schemas.openxmlformats.org/spreadsheetml/2006/main" count="7903" uniqueCount="3493">
  <si>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</si>
  <si>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</si>
  <si>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</si>
  <si>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</si>
  <si>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</si>
  <si>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</si>
  <si>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</si>
  <si>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</si>
  <si>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</si>
  <si>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</si>
  <si>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</si>
  <si>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</si>
  <si>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</si>
  <si>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</si>
  <si>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</si>
  <si>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</si>
  <si>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</si>
  <si>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</si>
  <si>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</si>
  <si>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</si>
  <si>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</si>
  <si>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</si>
  <si>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</si>
  <si>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</si>
  <si>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</si>
  <si>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</si>
  <si>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</si>
  <si>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</si>
  <si>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</si>
  <si>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</si>
  <si>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</si>
  <si>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</si>
  <si>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</si>
  <si>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</si>
  <si>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</si>
  <si>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</si>
  <si>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</si>
  <si>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</si>
  <si>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</si>
  <si>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</si>
  <si>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</si>
  <si>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</si>
  <si>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</si>
  <si>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</si>
  <si>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</si>
  <si>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</si>
  <si>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</si>
  <si>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</si>
  <si>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</si>
  <si>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</si>
  <si>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</si>
  <si>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</si>
  <si>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</si>
  <si>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</si>
  <si>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</si>
  <si>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</si>
  <si>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</si>
  <si>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</si>
  <si>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</si>
  <si>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</si>
  <si>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</si>
  <si>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</si>
  <si>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</si>
  <si>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</si>
  <si>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</si>
  <si>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</si>
  <si>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</si>
  <si>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</si>
  <si>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</si>
  <si>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</si>
  <si>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</si>
  <si>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</si>
  <si>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</si>
  <si>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</si>
  <si>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</si>
  <si>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</si>
  <si>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</si>
  <si>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</si>
  <si>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</si>
  <si>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</si>
  <si>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</si>
  <si>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</si>
  <si>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</si>
  <si>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</si>
  <si>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</si>
  <si>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</si>
  <si>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</si>
  <si>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</si>
  <si>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</si>
  <si>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</si>
  <si>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</si>
  <si>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</si>
  <si>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</si>
  <si>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</si>
  <si>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</si>
  <si>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</si>
  <si>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</si>
  <si>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</si>
  <si>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</si>
  <si>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</si>
  <si>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</si>
  <si>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</si>
  <si>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</si>
  <si>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</si>
  <si>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</si>
  <si>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</si>
  <si>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</si>
  <si>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</si>
  <si>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</si>
  <si>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</si>
  <si>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</si>
  <si>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</si>
  <si>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</si>
  <si>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</si>
  <si>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</si>
  <si>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</si>
  <si>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</si>
  <si>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</si>
  <si>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</si>
  <si>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</si>
  <si>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</si>
  <si>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</si>
  <si>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</si>
  <si>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</si>
  <si>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</si>
  <si>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</si>
  <si>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</si>
  <si>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</si>
  <si>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</si>
  <si>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</si>
  <si>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</si>
  <si>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</si>
  <si>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</si>
  <si>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</si>
  <si>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</si>
  <si>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</si>
  <si>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</si>
  <si>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</si>
  <si>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</si>
  <si>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</si>
  <si>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</si>
  <si>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</si>
  <si>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</si>
  <si>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</si>
  <si>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</si>
  <si>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</si>
  <si>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</si>
  <si>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</si>
  <si>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</si>
  <si>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</si>
  <si>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</si>
  <si>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</si>
  <si>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</si>
  <si>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</si>
  <si>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</si>
  <si>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</si>
  <si>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</si>
  <si>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</si>
  <si>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</si>
  <si>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</si>
  <si>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</si>
  <si>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</si>
  <si>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</si>
  <si>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</si>
  <si>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</si>
  <si>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</si>
  <si>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</si>
  <si>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</si>
  <si>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</si>
  <si>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</si>
  <si>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</si>
  <si>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</si>
  <si>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</si>
  <si>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</si>
  <si>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</si>
  <si>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</si>
  <si>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</si>
  <si>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</si>
  <si>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</si>
  <si>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</si>
  <si>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</si>
  <si>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</si>
  <si>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</si>
  <si>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</si>
  <si>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</si>
  <si>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</si>
  <si>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</si>
  <si>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</si>
  <si>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</si>
  <si>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</si>
  <si>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</si>
  <si>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</si>
  <si>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</si>
  <si>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</si>
  <si>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</si>
  <si>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</si>
  <si>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</si>
  <si>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</si>
  <si>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</si>
  <si>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</si>
  <si>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</si>
  <si>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</si>
  <si>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</si>
  <si>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</si>
  <si>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</si>
  <si>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</si>
  <si>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</si>
  <si>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</si>
  <si>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</si>
  <si>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</si>
  <si>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</si>
  <si>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</si>
  <si>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</si>
  <si>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</si>
  <si>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</si>
  <si>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</si>
  <si>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</si>
  <si>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</si>
  <si>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</si>
  <si>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</si>
  <si>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</si>
  <si>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</si>
  <si>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</si>
  <si>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</si>
  <si>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</si>
  <si>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</si>
  <si>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</si>
  <si>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</si>
  <si>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</si>
  <si>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</si>
  <si>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</si>
  <si>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</si>
  <si>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</si>
  <si>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</si>
  <si>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</si>
  <si>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</si>
  <si>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</si>
  <si>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</si>
  <si>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</si>
  <si>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</si>
  <si>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</si>
  <si>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</si>
  <si>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</si>
  <si>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</si>
  <si>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</si>
  <si>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</si>
  <si>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</si>
  <si>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</si>
  <si>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</si>
  <si>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</si>
  <si>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</si>
  <si>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</si>
  <si>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</si>
  <si>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</si>
  <si>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</si>
  <si>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</si>
  <si>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</si>
  <si>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</si>
  <si>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</si>
  <si>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</si>
  <si>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</si>
  <si>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</si>
  <si>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</si>
  <si>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</si>
  <si>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</si>
  <si>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</si>
  <si>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</si>
  <si>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</si>
  <si>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</si>
  <si>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</si>
  <si>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</si>
  <si>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</si>
  <si>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</si>
  <si>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</si>
  <si>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</si>
  <si>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</si>
  <si>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</si>
  <si>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</si>
  <si>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</si>
  <si>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</si>
  <si>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</si>
  <si>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</si>
  <si>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</si>
  <si>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</si>
  <si>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</si>
  <si>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</si>
  <si>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</si>
  <si>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</si>
  <si>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</si>
  <si>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</si>
  <si>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</si>
  <si>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</si>
  <si>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</si>
  <si>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</si>
  <si>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</si>
  <si>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</si>
  <si>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</si>
  <si>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</si>
  <si>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</si>
  <si>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</si>
  <si>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</si>
  <si>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</si>
  <si>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</si>
  <si>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</si>
  <si>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</si>
  <si>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</si>
  <si>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</si>
  <si>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</si>
  <si>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</si>
  <si>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</si>
  <si>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</si>
  <si>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</si>
  <si>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</si>
  <si>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</si>
  <si>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</si>
  <si>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</si>
  <si>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</si>
  <si>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</si>
  <si>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</si>
  <si>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</si>
  <si>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</si>
  <si>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</si>
  <si>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</si>
  <si>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</si>
  <si>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</si>
  <si>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</si>
  <si>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</si>
  <si>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</si>
  <si>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</si>
  <si>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</si>
  <si>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</si>
  <si>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</si>
  <si>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</si>
  <si>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</si>
  <si>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</si>
  <si>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</si>
  <si>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</si>
  <si>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</si>
  <si>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</si>
  <si>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</si>
  <si>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</si>
  <si>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</si>
  <si>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</si>
  <si>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</si>
  <si>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</si>
  <si>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</si>
  <si>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</si>
  <si>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</si>
  <si>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</si>
  <si>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</si>
  <si>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</si>
  <si>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</si>
  <si>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</si>
  <si>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</si>
  <si>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</si>
  <si>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</si>
  <si>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</si>
  <si>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</si>
  <si>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</si>
  <si>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</si>
  <si>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</si>
  <si>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</si>
  <si>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</si>
  <si>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</si>
  <si>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</si>
  <si>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</si>
  <si>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</si>
  <si>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</si>
  <si>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</si>
  <si>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</si>
  <si>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</si>
  <si>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</si>
  <si>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</si>
  <si>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</si>
  <si>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</si>
  <si>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</si>
  <si>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</si>
  <si>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</si>
  <si>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</si>
  <si>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</si>
  <si>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</si>
  <si>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</si>
  <si>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</si>
  <si>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</si>
  <si>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</si>
  <si>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</si>
  <si>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</si>
  <si>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</si>
  <si>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</si>
  <si>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</si>
  <si>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</si>
  <si>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</si>
  <si>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</si>
  <si>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</si>
  <si>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</si>
  <si>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</si>
  <si>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</si>
  <si>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</si>
  <si>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</si>
  <si>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</si>
  <si>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</si>
  <si>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</si>
  <si>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</si>
  <si>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</si>
  <si>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</si>
  <si>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</si>
  <si>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</si>
  <si>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</si>
  <si>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</si>
  <si>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</si>
  <si>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</si>
  <si>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</si>
  <si>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</si>
  <si>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</si>
  <si>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</si>
  <si>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</si>
  <si>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</si>
  <si>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</si>
  <si>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</si>
  <si>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</si>
  <si>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</si>
  <si>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</si>
  <si>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</si>
  <si>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</si>
  <si>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</si>
  <si>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</si>
  <si>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</si>
  <si>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</si>
  <si>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</si>
  <si>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</si>
  <si>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</si>
  <si>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</si>
  <si>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</si>
  <si>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</si>
  <si>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</si>
  <si>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</si>
  <si>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</si>
  <si>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</si>
  <si>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</si>
  <si>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</si>
  <si>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</si>
  <si>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</si>
  <si>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</si>
  <si>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</si>
  <si>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</si>
  <si>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</si>
  <si>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</si>
  <si>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</si>
  <si>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</si>
  <si>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</si>
  <si>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</si>
  <si>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</si>
  <si>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</si>
  <si>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</si>
  <si>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</si>
  <si>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</si>
  <si>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</si>
  <si>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</si>
  <si>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</si>
  <si>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</si>
  <si>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</si>
  <si>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</si>
  <si>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</si>
  <si>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</si>
  <si>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</si>
  <si>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</si>
  <si>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</si>
  <si>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</si>
  <si>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</si>
  <si>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</si>
  <si>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</si>
  <si>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</si>
  <si>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</si>
  <si>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</si>
  <si>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</si>
  <si>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</si>
  <si>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</si>
  <si>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</si>
  <si>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</si>
  <si>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</si>
  <si>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</si>
  <si>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</si>
  <si>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</si>
  <si>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</si>
  <si>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</si>
  <si>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</si>
  <si>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</si>
  <si>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</si>
  <si>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</si>
  <si>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</si>
  <si>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</si>
  <si>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</si>
  <si>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</si>
  <si>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</si>
  <si>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</si>
  <si>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</si>
  <si>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</si>
  <si>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</si>
  <si>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</si>
  <si>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</si>
  <si>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</si>
  <si>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</si>
  <si>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</si>
  <si>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</si>
  <si>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</si>
  <si>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</si>
  <si>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</si>
  <si>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</si>
  <si>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</si>
  <si>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</si>
  <si>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</si>
  <si>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</si>
  <si>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</si>
  <si>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</si>
  <si>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</si>
  <si>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</si>
  <si>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</si>
  <si>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</si>
  <si>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</si>
  <si>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</si>
  <si>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</si>
  <si>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</si>
  <si>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</si>
  <si>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</si>
  <si>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</si>
  <si>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</si>
  <si>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</si>
  <si>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</si>
  <si>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</si>
  <si>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</si>
  <si>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</si>
  <si>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</si>
  <si>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</si>
  <si>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</si>
  <si>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</si>
  <si>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</si>
  <si>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</si>
  <si>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</si>
  <si>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</si>
  <si>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</si>
  <si>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</si>
  <si>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</si>
  <si>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</si>
  <si>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</si>
  <si>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</si>
  <si>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</si>
  <si>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</si>
  <si>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</si>
  <si>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</si>
  <si>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</si>
  <si>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</si>
  <si>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</si>
  <si>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</si>
  <si>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</si>
  <si>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</si>
  <si>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</si>
  <si>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</si>
  <si>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</si>
  <si>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</si>
  <si>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</si>
  <si>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</si>
  <si>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</si>
  <si>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</si>
  <si>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</si>
  <si>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</si>
  <si>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</si>
  <si>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</si>
  <si>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</si>
  <si>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</si>
  <si>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</si>
  <si>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</si>
  <si>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</si>
  <si>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</si>
  <si>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</si>
  <si>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</si>
  <si>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</si>
  <si>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</si>
  <si>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</si>
  <si>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</si>
  <si>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</si>
  <si>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</si>
  <si>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</si>
  <si>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</si>
  <si>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</si>
  <si>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</si>
  <si>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</si>
  <si>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</si>
  <si>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</si>
  <si>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</si>
  <si>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</si>
  <si>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</si>
  <si>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</si>
  <si>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</si>
  <si>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</si>
  <si>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</si>
  <si>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</si>
  <si>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</si>
  <si>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</si>
  <si>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</si>
  <si>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</si>
  <si>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</si>
  <si>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</si>
  <si>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</si>
  <si>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</si>
  <si>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</si>
  <si>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</si>
  <si>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</si>
  <si>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</si>
  <si>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</si>
  <si>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</si>
  <si>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</si>
  <si>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</si>
  <si>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</si>
  <si>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</si>
  <si>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</si>
  <si>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</si>
  <si>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</si>
  <si>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</si>
  <si>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</si>
  <si>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</si>
  <si>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</si>
  <si>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</si>
  <si>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</si>
  <si>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</si>
  <si>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</si>
  <si>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</si>
  <si>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</si>
  <si>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</si>
  <si>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</si>
  <si>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</si>
  <si>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</si>
  <si>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</si>
  <si>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</si>
  <si>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</si>
  <si>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</si>
  <si>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</si>
  <si>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</si>
  <si>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</si>
  <si>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</si>
  <si>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</si>
  <si>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</si>
  <si>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</si>
  <si>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</si>
  <si>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</si>
  <si>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</si>
  <si>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</si>
  <si>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</si>
  <si>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</si>
  <si>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</si>
  <si>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</si>
  <si>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</si>
  <si>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</si>
  <si>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</si>
  <si>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</si>
  <si>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</si>
  <si>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</si>
  <si>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</si>
  <si>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</si>
  <si>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</si>
  <si>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</si>
  <si>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</si>
  <si>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</si>
  <si>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</si>
  <si>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</si>
  <si>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</si>
  <si>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</si>
  <si>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</si>
  <si>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</si>
  <si>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</si>
  <si>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</si>
  <si>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</si>
  <si>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</si>
  <si>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</si>
  <si>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</si>
  <si>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</si>
  <si>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</si>
  <si>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</si>
  <si>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</si>
  <si>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</si>
  <si>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</si>
  <si>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</si>
  <si>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</si>
  <si>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</si>
  <si>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</si>
  <si>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</si>
  <si>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</si>
  <si>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</si>
  <si>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</si>
  <si>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</si>
  <si>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</si>
  <si>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</si>
  <si>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</si>
  <si>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</si>
  <si>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</si>
  <si>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</si>
  <si>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</si>
  <si>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</si>
  <si>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</si>
  <si>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</si>
  <si>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</si>
  <si>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</si>
  <si>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</si>
  <si>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</si>
  <si>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</si>
  <si>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</si>
  <si>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</si>
  <si>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</si>
  <si>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</si>
  <si>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</si>
  <si>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</si>
  <si>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</si>
  <si>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</si>
  <si>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</si>
  <si>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</si>
  <si>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</si>
  <si>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</si>
  <si>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</si>
  <si>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</si>
  <si>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</si>
  <si>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</si>
  <si>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</si>
  <si>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</si>
  <si>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</si>
  <si>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</si>
  <si>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</si>
  <si>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</si>
  <si>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</si>
  <si>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</si>
  <si>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</si>
  <si>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</si>
  <si>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</si>
  <si>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</si>
  <si>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</si>
  <si>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</si>
  <si>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</si>
  <si>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</si>
  <si>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</si>
  <si>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</si>
  <si>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</si>
  <si>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</si>
  <si>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</si>
  <si>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</si>
  <si>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</si>
  <si>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</si>
  <si>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</si>
  <si>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</si>
  <si>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</si>
  <si>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</si>
  <si>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</si>
  <si>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</si>
  <si>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</si>
  <si>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</si>
  <si>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</si>
  <si>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</si>
  <si>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</si>
  <si>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</si>
  <si>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</si>
  <si>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</si>
  <si>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</si>
  <si>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</si>
  <si>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</si>
  <si>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</si>
  <si>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</si>
  <si>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</si>
  <si>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</si>
  <si>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</si>
  <si>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</si>
  <si>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</si>
  <si>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</si>
  <si>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</si>
  <si>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</si>
  <si>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</si>
  <si>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</si>
  <si>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</si>
  <si>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</si>
  <si>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</si>
  <si>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</si>
  <si>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</si>
  <si>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</si>
  <si>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</si>
  <si>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</si>
  <si>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</si>
  <si>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</si>
  <si>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</si>
  <si>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</si>
  <si>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</si>
  <si>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</si>
  <si>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</si>
  <si>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</si>
  <si>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</si>
  <si>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</si>
  <si>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</si>
  <si>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</si>
  <si>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</si>
  <si>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</si>
  <si>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</si>
  <si>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</si>
  <si>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</si>
  <si>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</si>
  <si>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</si>
  <si>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</si>
  <si>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</si>
  <si>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</si>
  <si>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</si>
  <si>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</si>
  <si>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</si>
  <si>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</si>
  <si>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</si>
  <si>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</si>
  <si>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</si>
  <si>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</si>
  <si>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</si>
  <si>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</si>
  <si>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</si>
  <si>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</si>
  <si>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</si>
  <si>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</si>
  <si>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</si>
  <si>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</si>
  <si>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</si>
  <si>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</si>
  <si>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</si>
  <si>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</si>
  <si>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</si>
  <si>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</si>
  <si>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</si>
  <si>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</si>
  <si>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</si>
  <si>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</si>
  <si>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</si>
  <si>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</si>
  <si>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</si>
  <si>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</si>
  <si>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</si>
  <si>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</si>
  <si>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</si>
  <si>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</si>
  <si>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</si>
  <si>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</si>
  <si>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</si>
  <si>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</si>
  <si>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</si>
  <si>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</si>
  <si>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</si>
  <si>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</si>
  <si>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</si>
  <si>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</si>
  <si>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</si>
  <si>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</si>
  <si>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</si>
  <si>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</si>
  <si>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</si>
  <si>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</si>
  <si>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</si>
  <si>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</si>
  <si>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</si>
  <si>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</si>
  <si>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</si>
  <si>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</si>
  <si>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</si>
  <si>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</si>
  <si>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</si>
  <si>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</si>
  <si>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</si>
  <si>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</si>
  <si>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</si>
  <si>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</si>
  <si>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</si>
  <si>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</si>
  <si>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</si>
  <si>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</si>
  <si>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</si>
  <si>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</si>
  <si>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</si>
  <si>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</si>
  <si>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</si>
  <si>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</si>
  <si>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</si>
  <si>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</si>
  <si>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</si>
  <si>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</si>
  <si>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</si>
  <si>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</si>
  <si>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</si>
  <si>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</si>
  <si>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</si>
  <si>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</si>
  <si>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</si>
  <si>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</si>
  <si>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</si>
  <si>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</si>
  <si>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</si>
  <si>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</si>
  <si>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</si>
  <si>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</si>
  <si>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</si>
  <si>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</si>
  <si>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</si>
  <si>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</si>
  <si>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</si>
  <si>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</si>
  <si>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</si>
  <si>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</si>
  <si>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</si>
  <si>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</si>
  <si>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</si>
  <si>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</si>
  <si>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</si>
  <si>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</si>
  <si>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</si>
  <si>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</si>
  <si>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</si>
  <si>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</si>
  <si>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</si>
  <si>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</si>
  <si>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</si>
  <si>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</si>
  <si>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</si>
  <si>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</si>
  <si>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</si>
  <si>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</si>
  <si>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</si>
  <si>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</si>
  <si>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</si>
  <si>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</si>
  <si>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</si>
  <si>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</si>
  <si>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</si>
  <si>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</si>
  <si>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</si>
  <si>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</si>
  <si>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</si>
  <si>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</si>
  <si>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</si>
  <si>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</si>
  <si>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</si>
  <si>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</si>
  <si>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</si>
  <si>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</si>
  <si>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</si>
  <si>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</si>
  <si>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</si>
  <si>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</si>
  <si>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</si>
  <si>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</si>
  <si>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</si>
  <si>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</si>
  <si>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</si>
  <si>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</si>
  <si>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</si>
  <si>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</si>
  <si>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</si>
  <si>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</si>
  <si>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</si>
  <si>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</si>
  <si>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</si>
  <si>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</si>
  <si>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</si>
  <si>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</si>
  <si>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</si>
  <si>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</si>
  <si>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</si>
  <si>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</si>
  <si>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</si>
  <si>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</si>
  <si>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</si>
  <si>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</si>
  <si>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</si>
  <si>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</si>
  <si>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</si>
  <si>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</si>
  <si>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</si>
  <si>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</si>
  <si>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</si>
  <si>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</si>
  <si>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</si>
  <si>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</si>
  <si>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</si>
  <si>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</si>
  <si>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</si>
  <si>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</si>
  <si>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</si>
  <si>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</si>
  <si>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</si>
  <si>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</si>
  <si>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</si>
  <si>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</si>
  <si>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</si>
  <si>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</si>
  <si>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</si>
  <si>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</si>
  <si>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</si>
  <si>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</si>
  <si>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</si>
  <si>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</si>
  <si>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</si>
  <si>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</si>
  <si>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</si>
  <si>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</si>
  <si>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</si>
  <si>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</si>
  <si>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</si>
  <si>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</si>
  <si>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</si>
  <si>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</si>
  <si>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</si>
  <si>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</si>
  <si>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</si>
  <si>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</si>
  <si>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</si>
  <si>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</si>
  <si>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</si>
  <si>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</si>
  <si>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</si>
  <si>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</si>
  <si>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</si>
  <si>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</si>
  <si>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</si>
  <si>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</si>
  <si>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</si>
  <si>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</si>
  <si>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</si>
  <si>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</si>
  <si>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</si>
  <si>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</si>
  <si>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</si>
  <si>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</si>
  <si>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</si>
  <si>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</si>
  <si>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</si>
  <si>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</si>
  <si>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</si>
  <si>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</si>
  <si>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</si>
  <si>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</si>
  <si>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</si>
  <si>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</si>
  <si>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</si>
  <si>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</si>
  <si>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</si>
  <si>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</si>
  <si>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</si>
  <si>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</si>
  <si>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</si>
  <si>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</si>
  <si>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</si>
  <si>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</si>
  <si>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</si>
  <si>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</si>
  <si>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</si>
  <si>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</si>
  <si>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</si>
  <si>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</si>
  <si>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</si>
  <si>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</si>
  <si>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</si>
  <si>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</si>
  <si>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</si>
  <si>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</si>
  <si>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</si>
  <si>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</si>
  <si>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</si>
  <si>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</si>
  <si>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</si>
  <si>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</si>
  <si>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</si>
  <si>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</si>
  <si>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</si>
  <si>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</si>
  <si>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</si>
  <si>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</si>
  <si>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</si>
  <si>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</si>
  <si>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</si>
  <si>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</si>
  <si>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</si>
  <si>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</si>
  <si>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</si>
  <si>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</si>
  <si>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</si>
  <si>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</si>
  <si>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</si>
  <si>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</si>
  <si>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</si>
  <si>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</si>
  <si>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</si>
  <si>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</si>
  <si>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</si>
  <si>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</si>
  <si>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</si>
  <si>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</si>
  <si>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</si>
  <si>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</si>
  <si>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</si>
  <si>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</si>
  <si>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</si>
  <si>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</si>
  <si>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</si>
  <si>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</si>
  <si>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</si>
  <si>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</si>
  <si>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</si>
  <si>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</si>
  <si>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</si>
  <si>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</si>
  <si>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</si>
  <si>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</si>
  <si>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</si>
  <si>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</si>
  <si>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</si>
  <si>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</si>
  <si>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</si>
  <si>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</si>
  <si>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</si>
  <si>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</si>
  <si>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</si>
  <si>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</si>
  <si>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</si>
  <si>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</si>
  <si>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</si>
  <si>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</si>
  <si>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</si>
  <si>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</si>
  <si>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</si>
  <si>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</si>
  <si>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</si>
  <si>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</si>
  <si>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</si>
  <si>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</si>
  <si>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</si>
  <si>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</si>
  <si>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</si>
  <si>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</si>
  <si>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</si>
  <si>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</si>
  <si>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</si>
  <si>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</si>
  <si>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</si>
  <si>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</si>
  <si>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</si>
  <si>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</si>
  <si>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</si>
  <si>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</si>
  <si>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</si>
  <si>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</si>
  <si>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</si>
  <si>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</si>
  <si>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</si>
  <si>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</si>
  <si>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</si>
  <si>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</si>
  <si>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</si>
  <si>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</si>
  <si>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</si>
  <si>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</si>
  <si>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</si>
  <si>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</si>
  <si>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</si>
  <si>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</si>
  <si>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</si>
  <si>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</si>
  <si>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</si>
  <si>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</si>
  <si>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</si>
  <si>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</si>
  <si>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</si>
  <si>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</si>
  <si>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</si>
  <si>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</si>
  <si>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</si>
  <si>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</si>
  <si>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</si>
  <si>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</si>
  <si>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</si>
  <si>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</si>
  <si>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</si>
  <si>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</si>
  <si>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</si>
  <si>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</si>
  <si>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</si>
  <si>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</si>
  <si>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</si>
  <si>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</si>
  <si>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</si>
  <si>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</si>
  <si>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</si>
  <si>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</si>
  <si>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</si>
  <si>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</si>
  <si>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</si>
  <si>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</si>
  <si>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</si>
  <si>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</si>
  <si>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</si>
  <si>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</si>
  <si>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</si>
  <si>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</si>
  <si>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</si>
  <si>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</si>
  <si>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</si>
  <si>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</si>
  <si>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</si>
  <si>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</si>
  <si>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</si>
  <si>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</si>
  <si>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</si>
  <si>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</si>
  <si>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</si>
  <si>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</si>
  <si>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</si>
  <si>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</si>
  <si>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</si>
  <si>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</si>
  <si>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</si>
  <si>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</si>
  <si>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</si>
  <si>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</si>
  <si>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</si>
  <si>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</si>
  <si>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</si>
  <si>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</si>
  <si>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</si>
  <si>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</si>
  <si>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</si>
  <si>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</si>
  <si>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</si>
  <si>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</si>
  <si>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</si>
  <si>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</si>
  <si>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</si>
  <si>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</si>
  <si>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</si>
  <si>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</si>
  <si>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</si>
  <si>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</si>
  <si>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</si>
  <si>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</si>
  <si>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</si>
  <si>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</si>
  <si>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</si>
  <si>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</si>
  <si>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</si>
  <si>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</si>
  <si>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</si>
  <si>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</si>
  <si>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</si>
  <si>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</si>
  <si>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</si>
  <si>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</si>
  <si>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</si>
  <si>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</si>
  <si>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</si>
  <si>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</si>
  <si>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</si>
  <si>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</si>
  <si>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</si>
  <si>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</si>
  <si>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</si>
  <si>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</si>
  <si>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</si>
  <si>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</si>
  <si>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</si>
  <si>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</si>
  <si>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</si>
  <si>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</si>
  <si>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</si>
  <si>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</si>
  <si>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</si>
  <si>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</si>
  <si>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</si>
  <si>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</si>
  <si>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</si>
  <si>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</si>
  <si>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</si>
  <si>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</si>
  <si>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</si>
  <si>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</si>
  <si>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</si>
  <si>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</si>
  <si>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</si>
  <si>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</si>
  <si>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</si>
  <si>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</si>
  <si>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</si>
  <si>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</si>
  <si>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</si>
  <si>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</si>
  <si>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</si>
  <si>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</si>
  <si>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</si>
  <si>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</si>
  <si>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</si>
  <si>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</si>
  <si>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</si>
  <si>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</si>
  <si>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</si>
  <si>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</si>
  <si>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</si>
  <si>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</si>
  <si>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</si>
  <si>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</si>
  <si>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</si>
  <si>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</si>
  <si>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</si>
  <si>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</si>
  <si>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</si>
  <si>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</si>
  <si>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</si>
  <si>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</si>
  <si>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</si>
  <si>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</si>
  <si>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</si>
  <si>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</si>
  <si>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</si>
  <si>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</si>
  <si>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</si>
  <si>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</si>
  <si>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</si>
  <si>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</si>
  <si>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</si>
  <si>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</si>
  <si>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</si>
  <si>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</si>
  <si>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</si>
  <si>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</si>
  <si>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</si>
  <si>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</si>
  <si>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</si>
  <si>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</si>
  <si>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</si>
  <si>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</si>
  <si>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</si>
  <si>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</si>
  <si>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</si>
  <si>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</si>
  <si>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</si>
  <si>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</si>
  <si>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</si>
  <si>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</si>
  <si>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</si>
  <si>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</si>
  <si>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</si>
  <si>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</si>
  <si>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</si>
  <si>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</si>
  <si>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</si>
  <si>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</si>
  <si>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</si>
  <si>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</si>
  <si>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</si>
  <si>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</si>
  <si>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</si>
  <si>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</si>
  <si>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</si>
  <si>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</si>
  <si>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</si>
  <si>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</si>
  <si>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</si>
  <si>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</si>
  <si>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</si>
  <si>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</si>
  <si>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</si>
  <si>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</si>
  <si>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</si>
  <si>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</si>
  <si>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</si>
  <si>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</si>
  <si>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</si>
  <si>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</si>
  <si>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</si>
  <si>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</si>
  <si>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</si>
  <si>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</si>
  <si>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</si>
  <si>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</si>
  <si>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</si>
  <si>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</si>
  <si>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</si>
  <si>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</si>
  <si>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</si>
  <si>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</si>
  <si>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</si>
  <si>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</si>
  <si>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</si>
  <si>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</si>
  <si>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</si>
  <si>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</si>
  <si>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</si>
  <si>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</si>
  <si>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</si>
  <si>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</si>
  <si>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</si>
  <si>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</si>
  <si>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</si>
  <si>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</si>
  <si>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</si>
  <si>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</si>
  <si>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</si>
  <si>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</si>
  <si>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</si>
  <si>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</si>
  <si>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</si>
  <si>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</si>
  <si>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</si>
  <si>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</si>
  <si>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</si>
  <si>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</si>
  <si>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</si>
  <si>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</si>
  <si>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</si>
  <si>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</si>
  <si>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</si>
  <si>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</si>
  <si>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</si>
  <si>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</si>
  <si>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</si>
  <si>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</si>
  <si>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</si>
  <si>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</si>
  <si>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</si>
  <si>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</si>
  <si>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</si>
  <si>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</si>
  <si>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</si>
  <si>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</si>
  <si>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</si>
  <si>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</si>
  <si>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</si>
  <si>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</si>
  <si>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</si>
  <si>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</si>
  <si>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</si>
  <si>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</si>
  <si>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</si>
  <si>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</si>
  <si>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</si>
  <si>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</si>
  <si>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</si>
  <si>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</si>
  <si>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</si>
  <si>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</si>
  <si>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</si>
  <si>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</si>
  <si>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</si>
  <si>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</si>
  <si>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</si>
  <si>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</si>
  <si>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</si>
  <si>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</si>
  <si>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</si>
  <si>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</si>
  <si>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</si>
  <si>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</si>
  <si>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</si>
  <si>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</si>
  <si>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</si>
  <si>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</si>
  <si>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</si>
  <si>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</si>
  <si>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</si>
  <si>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</si>
  <si>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</si>
  <si>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</si>
  <si>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</si>
  <si>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</si>
  <si>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</si>
  <si>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</si>
  <si>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</si>
  <si>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</si>
  <si>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</si>
  <si>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</si>
  <si>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</si>
  <si>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</si>
  <si>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</si>
  <si>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</si>
  <si>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</si>
  <si>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</si>
  <si>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</si>
  <si>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</si>
  <si>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</si>
  <si>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</si>
  <si>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</si>
  <si>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</si>
  <si>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</si>
  <si>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</si>
  <si>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</si>
  <si>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</si>
  <si>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</si>
  <si>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</si>
  <si>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</si>
  <si>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</si>
  <si>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</si>
  <si>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</si>
  <si>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</si>
  <si>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</si>
  <si>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</si>
  <si>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</si>
  <si>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</si>
  <si>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</si>
  <si>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</si>
  <si>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</si>
  <si>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</si>
  <si>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</si>
  <si>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</si>
  <si>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</si>
  <si>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</si>
  <si>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</si>
  <si>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</si>
  <si>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</si>
  <si>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</si>
  <si>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</si>
  <si>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</si>
  <si>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</si>
  <si>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</si>
  <si>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</si>
  <si>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</si>
  <si>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</si>
  <si>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</si>
  <si>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</si>
  <si>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</si>
  <si>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</si>
  <si>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</si>
  <si>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</si>
  <si>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</si>
  <si>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</si>
  <si>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</si>
  <si>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</si>
  <si>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</si>
  <si>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</si>
  <si>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</si>
  <si>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</si>
  <si>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</si>
  <si>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</si>
  <si>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</si>
  <si>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</si>
  <si>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</si>
  <si>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</si>
  <si>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</si>
  <si>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</si>
  <si>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</si>
  <si>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</si>
  <si>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</si>
  <si>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</si>
  <si>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</si>
  <si>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</si>
  <si>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</si>
  <si>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</si>
  <si>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</si>
  <si>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</si>
  <si>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</si>
  <si>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</si>
  <si>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</si>
  <si>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</si>
  <si>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</si>
  <si>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</si>
  <si>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</si>
  <si>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</si>
  <si>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</si>
  <si>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</si>
  <si>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</si>
  <si>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</si>
  <si>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</si>
  <si>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</si>
  <si>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</si>
  <si>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</si>
  <si>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</si>
  <si>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</si>
  <si>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</si>
  <si>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</si>
  <si>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</si>
  <si>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</si>
  <si>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</si>
  <si>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</si>
  <si>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</si>
  <si>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</si>
  <si>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</si>
  <si>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</si>
  <si>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</si>
  <si>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</si>
  <si>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</si>
  <si>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</si>
  <si>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</si>
  <si>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</si>
  <si>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</si>
  <si>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</si>
  <si>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</si>
  <si>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</si>
  <si>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</si>
  <si>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</si>
  <si>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</si>
  <si>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</si>
  <si>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</si>
  <si>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</si>
  <si>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</si>
  <si>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</si>
  <si>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</si>
  <si>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</si>
  <si>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</si>
  <si>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</si>
  <si>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</si>
  <si>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</si>
  <si>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</si>
  <si>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</si>
  <si>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</si>
  <si>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</si>
  <si>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</si>
  <si>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</si>
  <si>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</si>
  <si>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</si>
  <si>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</si>
  <si>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</si>
  <si>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</si>
  <si>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</si>
  <si>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</si>
  <si>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</si>
  <si>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</si>
  <si>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</si>
  <si>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</si>
  <si>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</si>
  <si>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</si>
  <si>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</si>
  <si>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</si>
  <si>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</si>
  <si>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</si>
  <si>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</si>
  <si>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</si>
  <si>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</si>
  <si>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</si>
  <si>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</si>
  <si>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</si>
  <si>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</si>
  <si>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</si>
  <si>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</si>
  <si>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</si>
  <si>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</si>
  <si>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</si>
  <si>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</si>
  <si>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</si>
  <si>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</si>
  <si>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</si>
  <si>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</si>
  <si>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</si>
  <si>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</si>
  <si>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</si>
  <si>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</si>
  <si>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</si>
  <si>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</si>
  <si>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</si>
  <si>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</si>
  <si>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</si>
  <si>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</si>
  <si>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</si>
  <si>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</si>
  <si>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</si>
  <si>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</si>
  <si>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</si>
  <si>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</si>
  <si>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</si>
  <si>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</si>
  <si>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</si>
  <si>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</si>
  <si>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</si>
  <si>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</si>
  <si>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</si>
  <si>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</si>
  <si>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</si>
  <si>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</si>
  <si>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</si>
  <si>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</si>
  <si>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</si>
  <si>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</si>
  <si>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</si>
  <si>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</si>
  <si>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</si>
  <si>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</si>
  <si>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</si>
  <si>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</si>
  <si>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</si>
  <si>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</si>
  <si>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</si>
  <si>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</si>
  <si>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</si>
  <si>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</si>
  <si>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</si>
  <si>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</si>
  <si>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</si>
  <si>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</si>
  <si>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</si>
  <si>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</si>
  <si>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</si>
  <si>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</si>
  <si>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</si>
  <si>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</si>
  <si>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</si>
  <si>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</si>
  <si>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</si>
  <si>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</si>
  <si>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</si>
  <si>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</si>
  <si>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</si>
  <si>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</si>
  <si>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</si>
  <si>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</si>
  <si>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</si>
  <si>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</si>
  <si>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</si>
  <si>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</si>
  <si>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</si>
  <si>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</si>
  <si>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</si>
  <si>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</si>
  <si>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</si>
  <si>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</si>
  <si>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</si>
  <si>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</si>
  <si>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</si>
  <si>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</si>
  <si>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</si>
  <si>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</si>
  <si>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</si>
  <si>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</si>
  <si>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</si>
  <si>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</si>
  <si>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</si>
  <si>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</si>
  <si>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</si>
  <si>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</si>
  <si>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</si>
  <si>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</si>
  <si>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</si>
  <si>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</si>
  <si>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</si>
  <si>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</si>
  <si>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</si>
  <si>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</si>
  <si>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</si>
  <si>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</si>
  <si>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</si>
  <si>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</si>
  <si>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</si>
  <si>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</si>
  <si>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</si>
  <si>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</si>
  <si>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</si>
  <si>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</si>
  <si>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</si>
  <si>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</si>
  <si>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</si>
  <si>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</si>
  <si>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</si>
  <si>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</si>
  <si>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</si>
  <si>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</si>
  <si>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</si>
  <si>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</si>
  <si>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</si>
  <si>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</si>
  <si>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</si>
  <si>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</si>
  <si>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</si>
  <si>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</si>
  <si>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</si>
  <si>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</si>
  <si>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</si>
  <si>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</si>
  <si>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</si>
  <si>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</si>
  <si>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</si>
  <si>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</si>
  <si>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</si>
  <si>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</si>
  <si>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</si>
  <si>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</si>
  <si>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</si>
  <si>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</si>
  <si>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</si>
  <si>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</si>
  <si>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</si>
  <si>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</si>
  <si>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</si>
  <si>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</si>
  <si>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</si>
  <si>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</si>
  <si>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</si>
  <si>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</si>
  <si>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</si>
  <si>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</si>
  <si>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</si>
  <si>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</si>
  <si>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</si>
  <si>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</si>
  <si>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</si>
  <si>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</si>
  <si>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</si>
  <si>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</si>
  <si>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</si>
  <si>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</si>
  <si>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</si>
  <si>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</si>
  <si>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</si>
  <si>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</si>
  <si>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</si>
  <si>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</si>
  <si>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</si>
  <si>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</si>
  <si>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</si>
  <si>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</si>
  <si>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</si>
  <si>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</si>
  <si>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</si>
  <si>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</si>
  <si>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</si>
  <si>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</si>
  <si>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</si>
  <si>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</si>
  <si>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</si>
  <si>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</si>
  <si>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</si>
  <si>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</si>
  <si>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</si>
  <si>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</si>
  <si>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</si>
  <si>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</si>
  <si>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</si>
  <si>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</si>
  <si>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</si>
  <si>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</si>
  <si>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</si>
  <si>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</si>
  <si>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</si>
  <si>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</si>
  <si>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</si>
  <si>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</si>
  <si>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</si>
  <si>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</si>
  <si>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</si>
  <si>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</si>
  <si>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</si>
  <si>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</si>
  <si>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</si>
  <si>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</si>
  <si>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</si>
  <si>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</si>
  <si>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</si>
  <si>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</si>
  <si>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</si>
  <si>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</si>
  <si>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</si>
  <si>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</si>
  <si>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</si>
  <si>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</si>
  <si>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</si>
  <si>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</si>
  <si>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</si>
  <si>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</si>
  <si>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</si>
  <si>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</si>
  <si>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</si>
  <si>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</si>
  <si>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</si>
  <si>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</si>
  <si>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</si>
  <si>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</si>
  <si>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</si>
  <si>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</si>
  <si>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</si>
  <si>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</si>
  <si>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</si>
  <si>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</si>
  <si>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</si>
  <si>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</si>
  <si>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</si>
  <si>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</si>
  <si>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</si>
  <si>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</si>
  <si>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</si>
  <si>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</si>
  <si>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</si>
  <si>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</si>
  <si>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</si>
  <si>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</si>
  <si>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</si>
  <si>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</si>
  <si>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</si>
  <si>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</si>
  <si>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</si>
  <si>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</si>
  <si>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</si>
  <si>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</si>
  <si>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</si>
  <si>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</si>
  <si>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</si>
  <si>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</si>
  <si>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</si>
  <si>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</si>
  <si>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</si>
  <si>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</si>
  <si>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</si>
  <si>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</si>
  <si>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</si>
  <si>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</si>
  <si>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</si>
  <si>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</si>
  <si>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</si>
  <si>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</si>
  <si>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</si>
  <si>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</si>
  <si>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</si>
  <si>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</si>
  <si>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</si>
  <si>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</si>
  <si>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</si>
  <si>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</si>
  <si>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</si>
  <si>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</si>
  <si>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</si>
  <si>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</si>
  <si>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</si>
  <si>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</si>
  <si>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</si>
  <si>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</si>
  <si>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</si>
  <si>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</si>
  <si>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</si>
  <si>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</si>
  <si>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</si>
  <si>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</si>
  <si>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</si>
  <si>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</si>
  <si>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</si>
  <si>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</si>
  <si>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</si>
  <si>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</si>
  <si>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</si>
  <si>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</si>
  <si>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</si>
  <si>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</si>
  <si>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</si>
  <si>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</si>
  <si>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</si>
  <si>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</si>
  <si>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</si>
  <si>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</si>
  <si>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</si>
  <si>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</si>
  <si>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</si>
  <si>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</si>
  <si>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</si>
  <si>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</si>
  <si>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</si>
  <si>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</si>
  <si>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</si>
  <si>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</si>
  <si>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</si>
  <si>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</si>
  <si>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</si>
  <si>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</si>
  <si>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</si>
  <si>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</si>
  <si>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</si>
  <si>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</si>
  <si>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</si>
  <si>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</si>
  <si>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</si>
  <si>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</si>
  <si>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</si>
  <si>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</si>
  <si>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</si>
  <si>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</si>
  <si>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</si>
  <si>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</si>
  <si>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</si>
  <si>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</si>
  <si>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</si>
  <si>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</si>
  <si>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</si>
  <si>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</si>
  <si>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</si>
  <si>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</si>
  <si>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</si>
  <si>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</si>
  <si>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</si>
  <si>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</si>
  <si>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</si>
  <si>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</si>
  <si>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</si>
  <si>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</si>
  <si>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</si>
  <si>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</si>
  <si>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</si>
  <si>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</si>
  <si>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</si>
  <si>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</si>
  <si>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</si>
  <si>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</si>
  <si>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</si>
  <si>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</si>
  <si>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</si>
  <si>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</si>
  <si>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</si>
  <si>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</si>
  <si>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</si>
  <si>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</si>
  <si>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</si>
  <si>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</si>
  <si>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</si>
  <si>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</si>
  <si>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</si>
  <si>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</si>
  <si>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</si>
  <si>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</si>
  <si>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</si>
  <si>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</si>
  <si>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</si>
  <si>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</si>
  <si>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</si>
  <si>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</si>
  <si>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</si>
  <si>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</si>
  <si>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</si>
  <si>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</si>
  <si>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</si>
  <si>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</si>
  <si>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</si>
  <si>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</si>
  <si>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</si>
  <si>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</si>
  <si>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</si>
  <si>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</si>
  <si>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</si>
  <si>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</si>
  <si>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</si>
  <si>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</si>
  <si>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</si>
  <si>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</si>
  <si>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</si>
  <si>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</si>
  <si>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</si>
  <si>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</si>
  <si>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</si>
  <si>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</si>
  <si>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</si>
  <si>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</si>
  <si>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</si>
  <si>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</si>
  <si>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</si>
  <si>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</si>
  <si>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</si>
  <si>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</si>
  <si>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</si>
  <si>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</si>
  <si>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</si>
  <si>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</si>
  <si>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</si>
  <si>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</si>
  <si>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</si>
  <si>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</si>
  <si>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</si>
  <si>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</si>
  <si>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</si>
  <si>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</si>
  <si>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</si>
  <si>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</si>
  <si>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</si>
  <si>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</si>
  <si>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</si>
  <si>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</si>
  <si>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</si>
  <si>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</si>
  <si>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</si>
  <si>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</si>
  <si>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</si>
  <si>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</si>
  <si>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</si>
  <si>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</si>
  <si>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</si>
  <si>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</si>
  <si>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</si>
  <si>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</si>
  <si>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</si>
  <si>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</si>
  <si>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</si>
  <si>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</si>
  <si>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</si>
  <si>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</si>
  <si>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</si>
  <si>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</si>
  <si>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</si>
  <si>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</si>
  <si>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</si>
  <si>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</si>
  <si>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</si>
  <si>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</si>
  <si>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</si>
  <si>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</si>
  <si>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</si>
  <si>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</si>
  <si>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</si>
  <si>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</si>
  <si>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</si>
  <si>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</si>
  <si>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</si>
  <si>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</si>
  <si>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</si>
  <si>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</si>
  <si>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</si>
  <si>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</si>
  <si>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</si>
  <si>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</si>
  <si>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</si>
  <si>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</si>
  <si>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</si>
  <si>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</si>
  <si>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</si>
  <si>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</si>
  <si>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</si>
  <si>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</si>
  <si>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</si>
  <si>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</si>
  <si>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</si>
  <si>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</si>
  <si>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</si>
  <si>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</si>
  <si>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</si>
  <si>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</si>
  <si>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</si>
  <si>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</si>
  <si>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</si>
  <si>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</si>
  <si>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</si>
  <si>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</si>
  <si>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</si>
  <si>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</si>
  <si>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</si>
  <si>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</si>
  <si>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</si>
  <si>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</si>
  <si>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</si>
  <si>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</si>
  <si>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</si>
  <si>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</si>
  <si>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</si>
  <si>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</si>
  <si>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</si>
  <si>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</si>
  <si>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</si>
  <si>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</si>
  <si>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</si>
  <si>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</si>
  <si>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</si>
  <si>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</si>
  <si>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</si>
  <si>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</si>
  <si>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</si>
  <si>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</si>
  <si>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</si>
  <si>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</si>
  <si>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</si>
  <si>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</si>
  <si>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</si>
  <si>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</si>
  <si>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</si>
  <si>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</si>
  <si>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</si>
  <si>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</si>
  <si>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</si>
  <si>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</si>
  <si>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</si>
  <si>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</si>
  <si>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</si>
  <si>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</si>
  <si>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</si>
  <si>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</si>
  <si>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</si>
  <si>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</si>
  <si>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</si>
  <si>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</si>
  <si>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</si>
  <si>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</si>
  <si>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</si>
  <si>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</si>
  <si>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</si>
  <si>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</si>
  <si>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</si>
  <si>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</si>
  <si>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</si>
  <si>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</si>
  <si>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</si>
  <si>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</si>
  <si>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</si>
  <si>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</si>
  <si>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</si>
  <si>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</si>
  <si>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</si>
  <si>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</si>
  <si>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</si>
  <si>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</si>
  <si>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</si>
  <si>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</si>
  <si>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</si>
  <si>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</si>
  <si>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</si>
  <si>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</si>
  <si>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</si>
  <si>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</si>
  <si>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</si>
  <si>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</si>
  <si>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</si>
  <si>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</si>
  <si>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</si>
  <si>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</si>
  <si>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</si>
  <si>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</si>
  <si>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</si>
  <si>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</si>
  <si>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</si>
  <si>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</si>
  <si>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</si>
  <si>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</si>
  <si>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</si>
  <si>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</si>
  <si>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</si>
  <si>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</si>
  <si>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</si>
  <si>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</si>
  <si>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</si>
  <si>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</si>
  <si>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</si>
  <si>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</si>
  <si>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</si>
  <si>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</si>
  <si>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</si>
  <si>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</si>
  <si>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</si>
  <si>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</si>
  <si>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</si>
  <si>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</si>
  <si>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</si>
  <si>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</si>
  <si>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</si>
  <si>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</si>
  <si>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</si>
  <si>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</si>
  <si>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</si>
  <si>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</si>
  <si>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</si>
  <si>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</si>
  <si>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</si>
  <si>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</si>
  <si>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</si>
  <si>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</si>
  <si>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</si>
  <si>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</si>
  <si>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</si>
  <si>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</si>
  <si>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</si>
  <si>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</si>
  <si>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</si>
  <si>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</si>
  <si>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</si>
  <si>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</si>
  <si>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</si>
  <si>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</si>
  <si>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</si>
  <si>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</si>
  <si>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</si>
  <si>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</si>
  <si>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</si>
  <si>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</si>
  <si>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</si>
  <si>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</si>
  <si>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</si>
  <si>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</si>
  <si>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</si>
  <si>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</si>
  <si>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</si>
  <si>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</si>
  <si>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</si>
  <si>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</si>
  <si>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</si>
  <si>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</si>
  <si>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</si>
  <si>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</si>
  <si>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</si>
  <si>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</si>
  <si>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</si>
  <si>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</si>
  <si>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</si>
  <si>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</si>
  <si>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</si>
  <si>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</si>
  <si>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</si>
  <si>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</si>
  <si>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</si>
  <si>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</si>
  <si>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</si>
  <si>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</si>
  <si>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</si>
  <si>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</si>
  <si>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</si>
  <si>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</si>
  <si>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</si>
  <si>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</si>
  <si>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</si>
  <si>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</si>
  <si>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</si>
  <si>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</si>
  <si>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</si>
  <si>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</si>
  <si>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</si>
  <si>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</si>
  <si>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</si>
  <si>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</si>
  <si>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</si>
  <si>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</si>
  <si>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</si>
  <si>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</si>
  <si>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</si>
  <si>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</si>
  <si>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</si>
  <si>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</si>
  <si>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</si>
  <si>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</si>
  <si>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</si>
  <si>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</si>
  <si>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</si>
  <si>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</si>
  <si>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</si>
  <si>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</si>
  <si>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</si>
  <si>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</si>
  <si>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</si>
  <si>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</si>
  <si>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</si>
  <si>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</si>
  <si>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</si>
  <si>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</si>
  <si>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</si>
  <si>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</si>
  <si>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</si>
  <si>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</si>
  <si>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</si>
  <si>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</si>
  <si>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</si>
  <si>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</si>
  <si>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</si>
  <si>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</si>
  <si>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</si>
  <si>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</si>
  <si>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</si>
  <si>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</si>
  <si>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</si>
  <si>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</si>
  <si>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</si>
  <si>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</si>
  <si>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</si>
  <si>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</si>
  <si>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</si>
  <si>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</si>
  <si>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</si>
  <si>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</si>
  <si>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</si>
  <si>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</si>
  <si>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</si>
  <si>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</si>
  <si>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</si>
  <si>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</si>
  <si>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</si>
  <si>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</si>
  <si>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</si>
  <si>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</si>
  <si>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</si>
  <si>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</si>
  <si>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</si>
  <si>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</si>
  <si>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</si>
  <si>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</si>
  <si>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</si>
  <si>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</si>
  <si>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</si>
  <si>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</si>
  <si>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</si>
  <si>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</si>
  <si>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</si>
  <si>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</si>
  <si>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</si>
  <si>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</si>
  <si>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</si>
  <si>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</si>
  <si>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</si>
  <si>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</si>
  <si>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</si>
  <si>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</si>
  <si>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</si>
  <si>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</si>
  <si>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</si>
  <si>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</si>
  <si>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</si>
  <si>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</si>
  <si>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</si>
  <si>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</si>
  <si>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</si>
  <si>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</si>
  <si>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</si>
  <si>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</si>
  <si>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</si>
  <si>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</si>
  <si>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</si>
  <si>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</si>
  <si>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</si>
  <si>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</si>
  <si>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</si>
  <si>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</si>
  <si>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</si>
  <si>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</si>
  <si>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</si>
  <si>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</si>
  <si>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</si>
  <si>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</si>
  <si>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</si>
  <si>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</si>
  <si>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</si>
  <si>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</si>
  <si>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</si>
  <si>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</si>
  <si>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</si>
  <si>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</si>
  <si>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</si>
  <si>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</si>
  <si>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</si>
  <si>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</si>
  <si>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</si>
  <si>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</si>
  <si>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</si>
  <si>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</si>
  <si>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</si>
  <si>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</si>
  <si>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</si>
  <si>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</si>
  <si>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</si>
  <si>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</si>
  <si>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</si>
  <si>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</si>
  <si>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</si>
  <si>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</si>
  <si>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</si>
  <si>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</si>
  <si>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</si>
  <si>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</si>
  <si>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</si>
  <si>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</si>
  <si>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</si>
  <si>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</si>
  <si>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</si>
  <si>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</si>
  <si>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</si>
  <si>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</si>
  <si>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</si>
  <si>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</si>
  <si>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</si>
  <si>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</si>
  <si>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</si>
  <si>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</si>
  <si>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</si>
  <si>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</si>
  <si>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</si>
  <si>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</si>
  <si>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</si>
  <si>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</si>
  <si>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</si>
  <si>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</si>
  <si>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</si>
  <si>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</si>
  <si>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</si>
  <si>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</si>
  <si>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</si>
  <si>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</si>
  <si>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</si>
  <si>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</si>
  <si>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</si>
  <si>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</si>
  <si>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</si>
  <si>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</si>
  <si>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</si>
  <si>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</si>
  <si>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</si>
  <si>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</si>
  <si>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</si>
  <si>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</si>
  <si>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</si>
  <si>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</si>
  <si>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</si>
  <si>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</si>
  <si>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</si>
  <si>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</si>
  <si>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</si>
  <si>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</si>
  <si>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</si>
  <si>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</si>
  <si>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</si>
  <si>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</si>
  <si>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</si>
  <si>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</si>
  <si>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</si>
  <si>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</si>
  <si>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</si>
  <si>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</si>
  <si>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</si>
  <si>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</si>
  <si>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</si>
  <si>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</si>
  <si>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</si>
  <si>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</si>
  <si>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</si>
  <si>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</si>
  <si>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</si>
  <si>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</si>
  <si>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</si>
  <si>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</si>
  <si>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</si>
  <si>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</si>
  <si>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</si>
  <si>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</si>
  <si>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</si>
  <si>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</si>
  <si>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</si>
  <si>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</si>
  <si>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</si>
  <si>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</si>
  <si>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</si>
  <si>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</si>
  <si>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</si>
  <si>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</si>
  <si>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</si>
  <si>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</si>
  <si>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</si>
  <si>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</si>
  <si>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</si>
  <si>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</si>
  <si>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</si>
  <si>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</si>
  <si>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</si>
  <si>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</si>
  <si>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</si>
  <si>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</si>
  <si>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</si>
  <si>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</si>
  <si>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</si>
  <si>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</si>
  <si>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</si>
  <si>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</si>
  <si>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</si>
  <si>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</si>
  <si>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</si>
  <si>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</si>
  <si>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</si>
  <si>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</si>
  <si>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</si>
  <si>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</si>
  <si>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</si>
  <si>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</si>
  <si>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</si>
  <si>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</si>
  <si>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</si>
  <si>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</si>
  <si>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</si>
  <si>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</si>
  <si>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</si>
  <si>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</si>
  <si>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</si>
  <si>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</si>
  <si>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</si>
  <si>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</si>
  <si>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</si>
  <si>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</si>
  <si>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</si>
  <si>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</si>
  <si>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</si>
  <si>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</si>
  <si>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</si>
  <si>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</si>
  <si>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</si>
  <si>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</si>
  <si>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</si>
  <si>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</si>
  <si>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</si>
  <si>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</si>
  <si>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</si>
  <si>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</si>
  <si>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</si>
  <si>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</si>
  <si>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</si>
  <si>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</si>
  <si>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</si>
  <si>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</si>
  <si>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</si>
  <si>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</si>
  <si>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</si>
  <si>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</si>
  <si>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</si>
  <si>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</si>
  <si>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</si>
  <si>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</si>
  <si>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</si>
  <si>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</si>
  <si>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</si>
  <si>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</si>
  <si>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</si>
  <si>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</si>
  <si>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</si>
  <si>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</si>
  <si>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</si>
  <si>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</si>
  <si>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</si>
  <si>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</si>
  <si>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</si>
  <si>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</si>
  <si>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</si>
  <si>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</si>
  <si>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</si>
  <si>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</si>
  <si>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</si>
  <si>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</si>
  <si>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</si>
  <si>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</si>
  <si>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</si>
  <si>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</si>
  <si>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</si>
  <si>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</si>
  <si>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</si>
  <si>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</si>
  <si>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</si>
  <si>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</si>
  <si>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</si>
  <si>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</si>
  <si>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</si>
  <si>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</si>
  <si>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</si>
  <si>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</si>
  <si>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</si>
  <si>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</si>
  <si>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</si>
  <si>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</si>
  <si>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</si>
  <si>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</si>
  <si>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</si>
  <si>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</si>
  <si>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</si>
  <si>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</si>
  <si>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</si>
  <si>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</si>
  <si>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</si>
  <si>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</si>
  <si>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</si>
  <si>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</si>
  <si>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</si>
  <si>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</si>
  <si>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</si>
  <si>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</si>
  <si>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</si>
  <si>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</si>
  <si>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</si>
  <si>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</si>
  <si>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</si>
  <si>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</si>
  <si>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</si>
  <si>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</si>
  <si>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</si>
  <si>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</si>
  <si>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</si>
  <si>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</si>
  <si>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</si>
  <si>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</si>
  <si>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</si>
  <si>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</si>
  <si>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</si>
  <si>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</si>
  <si>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</si>
  <si>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</si>
  <si>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</si>
  <si>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</si>
  <si>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</si>
  <si>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</si>
  <si>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</si>
  <si>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</si>
  <si>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</si>
  <si>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</si>
  <si>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</si>
  <si>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</si>
  <si>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</si>
  <si>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</si>
  <si>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</si>
  <si>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</si>
  <si>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</si>
  <si>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</si>
  <si>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</si>
  <si>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</si>
  <si>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</si>
  <si>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</si>
  <si>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</si>
  <si>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</si>
  <si>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</si>
  <si>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</si>
  <si>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</si>
  <si>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</si>
  <si>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</si>
  <si>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</si>
  <si>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</si>
  <si>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</si>
  <si>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</si>
  <si>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</si>
  <si>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</si>
  <si>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</si>
  <si>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</si>
  <si>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</si>
  <si>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</si>
  <si>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</si>
  <si>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</si>
  <si>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</si>
  <si>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</si>
  <si>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</si>
  <si>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</si>
  <si>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</si>
  <si>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</si>
  <si>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</si>
  <si>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</si>
  <si>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</si>
  <si>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</si>
  <si>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</si>
  <si>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</si>
  <si>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</si>
  <si>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</si>
  <si>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</si>
  <si>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</si>
  <si>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</si>
  <si>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</si>
  <si>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</si>
  <si>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</si>
  <si>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</si>
  <si>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</si>
  <si>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</si>
  <si>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</si>
  <si>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</si>
  <si>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</si>
  <si>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</si>
  <si>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</si>
  <si>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</si>
  <si>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</si>
  <si>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</si>
  <si>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</si>
  <si>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</si>
  <si>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</si>
  <si>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</si>
  <si>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</si>
  <si>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</si>
  <si>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</si>
  <si>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</si>
  <si>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</si>
  <si>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</si>
  <si>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</si>
  <si>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</si>
  <si>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</si>
  <si>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</si>
  <si>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</si>
  <si>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</si>
  <si>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</si>
  <si>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</si>
  <si>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</si>
  <si>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</si>
  <si>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</si>
  <si>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</si>
  <si>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</si>
  <si>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</si>
  <si>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</si>
  <si>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</si>
  <si>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</si>
  <si>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</si>
  <si>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</si>
  <si>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</si>
  <si>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</si>
  <si>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</si>
  <si>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</si>
  <si>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</si>
  <si>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</si>
  <si>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</si>
  <si>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</si>
  <si>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</si>
  <si>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</si>
  <si>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</si>
  <si>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</si>
  <si>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</si>
  <si>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</si>
  <si>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</si>
  <si>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</si>
  <si>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</si>
  <si>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</si>
  <si>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</si>
  <si>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</si>
  <si>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</si>
  <si>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</si>
  <si>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</si>
  <si>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</si>
  <si>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</si>
  <si>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</si>
  <si>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</si>
  <si>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</si>
  <si>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</si>
  <si>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</si>
  <si>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</si>
  <si>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</si>
  <si>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</si>
  <si>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</si>
  <si>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</si>
  <si>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</si>
  <si>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</si>
  <si>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</si>
  <si>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</si>
  <si>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</si>
  <si>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</si>
  <si>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</si>
  <si>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</si>
  <si>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</si>
  <si>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</si>
  <si>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</si>
  <si>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</si>
  <si>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</si>
  <si>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</si>
  <si>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</si>
  <si>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</si>
  <si>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</si>
  <si>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</si>
  <si>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</si>
  <si>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</si>
  <si>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</si>
  <si>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</si>
  <si>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</si>
  <si>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</si>
  <si>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</si>
  <si>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</si>
  <si>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</si>
  <si>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</si>
  <si>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</si>
  <si>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</si>
  <si>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</si>
  <si>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</si>
  <si>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</si>
  <si>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</si>
  <si>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</si>
  <si>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</si>
  <si>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</si>
  <si>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</si>
  <si>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</si>
  <si>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</si>
  <si>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</si>
  <si>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</si>
  <si>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</si>
  <si>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</si>
  <si>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</si>
  <si>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</si>
  <si>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</si>
  <si>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</si>
  <si>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</si>
  <si>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</si>
  <si>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</si>
  <si>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</si>
  <si>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</si>
  <si>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</si>
  <si>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</si>
  <si>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</si>
  <si>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</si>
  <si>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</si>
  <si>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</si>
  <si>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</si>
  <si>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</si>
  <si>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</si>
  <si>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</si>
  <si>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</si>
  <si>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</si>
  <si>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</si>
  <si>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</si>
  <si>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</si>
  <si>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</si>
  <si>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</si>
  <si>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</si>
  <si>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</si>
  <si>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</si>
  <si>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</si>
  <si>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</si>
  <si>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</si>
  <si>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</si>
  <si>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</si>
  <si>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</si>
  <si>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</si>
  <si>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</si>
  <si>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</si>
  <si>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</si>
  <si>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</si>
  <si>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</si>
  <si>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</si>
  <si>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</si>
  <si>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</si>
  <si>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</si>
  <si>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</si>
  <si>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</si>
  <si>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</si>
  <si>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</si>
  <si>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</si>
  <si>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</si>
  <si>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</si>
  <si>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</si>
  <si>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</si>
  <si>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</si>
  <si>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</si>
  <si>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</si>
  <si>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</si>
  <si>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</si>
  <si>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</si>
  <si>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</si>
  <si>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</si>
  <si>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</si>
  <si>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</si>
  <si>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</si>
  <si>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</si>
  <si>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</si>
  <si>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</si>
  <si>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</si>
  <si>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</si>
  <si>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</si>
  <si>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</si>
  <si>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</si>
  <si>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</si>
  <si>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</si>
  <si>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</si>
  <si>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</si>
  <si>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</si>
  <si>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</si>
  <si>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</si>
  <si>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</si>
  <si>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</si>
  <si>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</si>
  <si>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</si>
  <si>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</si>
  <si>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</si>
  <si>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</si>
  <si>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</si>
  <si>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</si>
  <si>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</si>
  <si>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</si>
  <si>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</si>
  <si>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</si>
  <si>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</si>
  <si>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</si>
  <si>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</si>
  <si>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</si>
  <si>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</si>
  <si>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</si>
  <si>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</si>
  <si>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</si>
  <si>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</si>
  <si>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</si>
  <si>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</si>
  <si>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</si>
  <si>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</si>
  <si>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</si>
  <si>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</si>
  <si>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</si>
  <si>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</si>
  <si>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</si>
  <si>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</si>
  <si>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</si>
  <si>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</si>
  <si>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</si>
  <si>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</si>
  <si>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</si>
  <si>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</si>
  <si>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</si>
  <si>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</si>
  <si>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</si>
  <si>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</si>
  <si>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</si>
  <si>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</si>
  <si>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</si>
  <si>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</si>
  <si>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</si>
  <si>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</si>
  <si>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</si>
  <si>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</si>
  <si>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</si>
  <si>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</si>
  <si>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</si>
  <si>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</si>
  <si>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</si>
  <si>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</si>
  <si>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</si>
  <si>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</si>
  <si>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</si>
  <si>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</si>
  <si>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</si>
  <si>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</si>
  <si>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</si>
  <si>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</si>
  <si>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</si>
  <si>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</si>
  <si>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</si>
  <si>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</si>
  <si>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</si>
  <si>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</si>
  <si>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</si>
  <si>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</si>
  <si>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</si>
  <si>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</si>
  <si>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</si>
  <si>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</si>
  <si>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</si>
  <si>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</si>
  <si>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</si>
  <si>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</si>
  <si>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</si>
  <si>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</si>
  <si>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</si>
  <si>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</si>
  <si>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</si>
  <si>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</si>
  <si>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</si>
  <si>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</si>
  <si>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</si>
  <si>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</si>
  <si>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</si>
  <si>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</si>
  <si>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</si>
  <si>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</si>
  <si>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</si>
  <si>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</si>
  <si>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</si>
  <si>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</si>
  <si>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</si>
  <si>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</si>
  <si>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</si>
  <si>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</si>
  <si>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</si>
  <si>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</si>
  <si>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</si>
  <si>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</si>
  <si>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</si>
  <si>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</si>
  <si>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</si>
  <si>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</si>
  <si>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</si>
  <si>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</si>
  <si>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</si>
  <si>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</si>
  <si>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</si>
  <si>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</si>
  <si>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</si>
  <si>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</si>
  <si>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</si>
  <si>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</si>
  <si>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</si>
  <si>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</si>
  <si>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</si>
  <si>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</si>
  <si>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</si>
  <si>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</si>
  <si>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</si>
  <si>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</si>
  <si>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</si>
  <si>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</si>
  <si>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</si>
  <si>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</si>
  <si>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</si>
  <si>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</si>
  <si>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</si>
  <si>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</si>
  <si>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</si>
  <si>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</si>
  <si>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</si>
  <si>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</si>
  <si>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</si>
  <si>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</si>
  <si>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</si>
  <si>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</si>
  <si>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</si>
  <si>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</si>
  <si>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</si>
  <si>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</si>
  <si>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</si>
  <si>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</si>
  <si>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</si>
  <si>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</si>
  <si>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</si>
  <si>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</si>
  <si>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</si>
  <si>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</si>
  <si>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</si>
  <si>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</si>
  <si>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</si>
  <si>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</si>
  <si>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</si>
  <si>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</si>
  <si>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</si>
  <si>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</si>
  <si>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</si>
  <si>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</si>
  <si>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</si>
  <si>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</si>
  <si>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</si>
  <si>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</si>
  <si>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</si>
  <si>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</si>
  <si>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</si>
  <si>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</si>
  <si>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</si>
  <si>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</si>
  <si>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</si>
  <si>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</si>
  <si>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</si>
  <si>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</si>
  <si>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</si>
  <si>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</si>
  <si>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</si>
  <si>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</si>
  <si>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</si>
  <si>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</si>
  <si>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</si>
  <si>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</si>
  <si>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</si>
  <si>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</si>
  <si>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</si>
  <si>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</si>
  <si>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</si>
  <si>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</si>
  <si>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</si>
  <si>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</si>
  <si>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</si>
  <si>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</si>
  <si>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</si>
  <si>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</si>
  <si>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</si>
  <si>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</si>
  <si>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</si>
  <si>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</si>
  <si>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</si>
  <si>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</si>
  <si>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</si>
  <si>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</si>
  <si>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</si>
  <si>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</si>
  <si>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</si>
  <si>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</si>
  <si>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</si>
  <si>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</si>
  <si>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</si>
  <si>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</si>
  <si>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</si>
  <si>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</si>
  <si>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</si>
  <si>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</si>
  <si>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</si>
  <si>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</si>
  <si>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</si>
  <si>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</si>
  <si>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</si>
  <si>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</si>
  <si>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</si>
  <si>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</si>
  <si>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</si>
  <si>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</si>
  <si>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</si>
  <si>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</si>
  <si>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</si>
  <si>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</si>
  <si>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</si>
  <si>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</si>
  <si>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</si>
  <si>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</si>
  <si>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</si>
  <si>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</si>
  <si>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</si>
  <si>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</si>
  <si>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</si>
  <si>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</si>
  <si>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</si>
  <si>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</si>
  <si>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</si>
  <si>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</si>
  <si>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</si>
  <si>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</si>
  <si>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</si>
  <si>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</si>
  <si>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</si>
  <si>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</si>
  <si>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</si>
  <si>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</si>
  <si>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</si>
  <si>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</si>
  <si>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</si>
  <si>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</si>
  <si>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</si>
  <si>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</si>
  <si>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</si>
  <si>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</si>
  <si>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</si>
  <si>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</si>
  <si>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</si>
  <si>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</si>
  <si>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</si>
  <si>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</si>
  <si>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</si>
  <si>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</si>
  <si>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</si>
  <si>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</si>
  <si>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</si>
  <si>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</si>
  <si>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</si>
  <si>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</si>
  <si>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</si>
  <si>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</si>
  <si>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</si>
  <si>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</si>
  <si>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</si>
  <si>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</si>
  <si>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</si>
  <si>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</si>
  <si>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</si>
  <si>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</si>
  <si>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</si>
  <si>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</si>
  <si>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</si>
  <si>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</si>
  <si>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</si>
  <si>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</si>
  <si>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</si>
  <si>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</si>
  <si>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</si>
  <si>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</si>
  <si>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</si>
  <si>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</si>
  <si>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</si>
  <si>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</si>
  <si>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</si>
  <si>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</si>
  <si>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</si>
  <si>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</si>
  <si>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</si>
  <si>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</si>
  <si>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</si>
  <si>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</si>
  <si>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</si>
  <si>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</si>
  <si>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</si>
  <si>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</si>
  <si>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</si>
  <si>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</si>
  <si>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</si>
  <si>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</si>
  <si>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</si>
  <si>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</si>
  <si>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</si>
  <si>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</si>
  <si>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</si>
  <si>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</si>
  <si>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</si>
  <si>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</si>
  <si>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</si>
  <si>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</si>
  <si>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</si>
  <si>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</si>
  <si>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</si>
  <si>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</si>
  <si>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</si>
  <si>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</si>
  <si>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</si>
  <si>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</si>
  <si>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</si>
  <si>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</si>
  <si>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</si>
  <si>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</si>
  <si>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</si>
  <si>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</si>
  <si>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</si>
  <si>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</si>
  <si>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</si>
  <si>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</si>
  <si>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</si>
  <si>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</si>
  <si>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</si>
  <si>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</si>
  <si>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</si>
  <si>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</si>
  <si>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</si>
  <si>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</si>
  <si>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</si>
  <si>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</si>
  <si>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</si>
  <si>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</si>
  <si>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</si>
  <si>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</si>
  <si>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</si>
  <si>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</si>
  <si>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</si>
  <si>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</si>
  <si>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</si>
  <si>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</si>
  <si>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</si>
  <si>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</si>
  <si>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</si>
  <si>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</si>
  <si>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</si>
  <si>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</si>
  <si>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</si>
  <si>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</si>
  <si>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</si>
  <si>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</si>
  <si>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</si>
  <si>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</si>
  <si>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</si>
  <si>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</si>
  <si>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</si>
  <si>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</si>
  <si>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</si>
  <si>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</si>
  <si>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</si>
  <si>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</si>
  <si>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</si>
  <si>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</si>
  <si>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</si>
  <si>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</si>
  <si>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</si>
  <si>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</si>
  <si>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</si>
  <si>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</si>
  <si>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</si>
  <si>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</si>
  <si>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</si>
  <si>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</si>
  <si>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</si>
  <si>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</si>
  <si>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</si>
  <si>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</si>
  <si>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</si>
  <si>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</si>
  <si>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</si>
  <si>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</si>
  <si>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</si>
  <si>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</si>
  <si>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</si>
  <si>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</si>
  <si>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</si>
  <si>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</si>
  <si>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</si>
  <si>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</si>
  <si>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</si>
  <si>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</si>
  <si>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</si>
  <si>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</si>
  <si>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</si>
  <si>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</si>
  <si>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</si>
  <si>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</si>
  <si>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</si>
  <si>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</si>
  <si>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</si>
  <si>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</si>
  <si>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</si>
  <si>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</si>
  <si>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</si>
  <si>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</si>
  <si>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</si>
  <si>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</si>
  <si>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</si>
  <si>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</si>
  <si>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</si>
  <si>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</si>
  <si>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</si>
  <si>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</si>
  <si>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</si>
  <si>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</si>
  <si>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</si>
  <si>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</si>
  <si>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</si>
  <si>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</si>
  <si>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</si>
  <si>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</si>
  <si>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</si>
  <si>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</si>
  <si>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</si>
  <si>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</si>
  <si>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</si>
  <si>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</si>
  <si>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</si>
  <si>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</si>
  <si>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</si>
  <si>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</si>
  <si>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</si>
  <si>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</si>
  <si>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t>企业</t>
  </si>
  <si>
    <r>
      <rPr>
        <sz val="10"/>
        <color theme="9" tint="-0.249977111117893"/>
        <rFont val="宋体"/>
        <family val="3"/>
        <charset val="134"/>
      </rPr>
      <t>平谷区谷丰东路</t>
    </r>
    <r>
      <rPr>
        <sz val="10"/>
        <color theme="9" tint="-0.249977111117893"/>
        <rFont val="Arial"/>
        <family val="2"/>
      </rPr>
      <t>30</t>
    </r>
    <r>
      <rPr>
        <sz val="10"/>
        <color theme="9" tint="-0.249977111117893"/>
        <rFont val="宋体"/>
        <family val="3"/>
        <charset val="134"/>
      </rPr>
      <t>号院</t>
    </r>
    <r>
      <rPr>
        <sz val="10"/>
        <color theme="9" tint="-0.249977111117893"/>
        <rFont val="Arial"/>
        <family val="2"/>
      </rPr>
      <t>14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phoneticPr fontId="6" type="noConversion"/>
  </si>
  <si>
    <t>北京燕山盛祥石油化工有限公司</t>
    <phoneticPr fontId="6" type="noConversion"/>
  </si>
  <si>
    <t>厂房</t>
  </si>
  <si>
    <t>厂房</t>
    <phoneticPr fontId="6" type="noConversion"/>
  </si>
  <si>
    <t>否</t>
  </si>
  <si>
    <t>工业项目</t>
  </si>
  <si>
    <t>现房</t>
  </si>
  <si>
    <t>是</t>
  </si>
  <si>
    <r>
      <t>14</t>
    </r>
    <r>
      <rPr>
        <sz val="10"/>
        <color indexed="8"/>
        <rFont val="宋体"/>
        <family val="3"/>
        <charset val="134"/>
      </rPr>
      <t>号楼</t>
    </r>
    <phoneticPr fontId="3" type="noConversion"/>
  </si>
  <si>
    <t>地上</t>
  </si>
  <si>
    <t>厂房</t>
    <phoneticPr fontId="7" type="noConversion"/>
  </si>
  <si>
    <t>成新度</t>
  </si>
  <si>
    <t>建成年代</t>
    <phoneticPr fontId="3" type="noConversion"/>
  </si>
  <si>
    <t>办公</t>
    <phoneticPr fontId="247" type="noConversion"/>
  </si>
  <si>
    <t>厂房</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</si>
  <si>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</si>
  <si>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</si>
  <si>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</si>
  <si>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</si>
  <si>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</si>
  <si>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</si>
  <si>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</si>
  <si>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</si>
  <si>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</si>
  <si>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超高</t>
    <phoneticPr fontId="247" type="noConversion"/>
  </si>
  <si>
    <t>高层</t>
    <phoneticPr fontId="247" type="noConversion"/>
  </si>
  <si>
    <t>多层</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</si>
  <si>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</si>
  <si>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</si>
  <si>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</si>
  <si>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</si>
  <si>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3</t>
    </r>
    <r>
      <rPr>
        <sz val="11"/>
        <color theme="1"/>
        <rFont val="宋体"/>
        <family val="3"/>
        <charset val="134"/>
      </rPr>
      <t>、</t>
    </r>
    <r>
      <rPr>
        <sz val="11"/>
        <color theme="1"/>
        <rFont val="Arial"/>
        <family val="2"/>
      </rPr>
      <t>5</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</si>
  <si>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</si>
  <si>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</si>
  <si>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 (元)</t>
  </si>
  <si>
    <t>未包含在土地购买价格中</t>
  </si>
  <si>
    <t>已包含在土地取得成本中</t>
  </si>
  <si>
    <t>押一</t>
  </si>
  <si>
    <t>钢混</t>
  </si>
  <si>
    <t>非生产用房</t>
  </si>
  <si>
    <t>自定义容积率</t>
  </si>
  <si>
    <t>直线</t>
    <phoneticPr fontId="3" type="noConversion"/>
  </si>
  <si>
    <t>Ⅸ-兴谷开发区A</t>
  </si>
  <si>
    <r>
      <t>1</t>
    </r>
    <r>
      <rPr>
        <sz val="14"/>
        <color theme="1"/>
        <rFont val="宋体"/>
        <family val="3"/>
        <charset val="134"/>
      </rPr>
      <t>、锐</t>
    </r>
    <r>
      <rPr>
        <sz val="14"/>
        <color theme="1"/>
        <rFont val="Calibri"/>
        <family val="2"/>
      </rPr>
      <t xml:space="preserve">E </t>
    </r>
    <r>
      <rPr>
        <sz val="14"/>
        <color theme="1"/>
        <rFont val="宋体"/>
        <family val="3"/>
        <charset val="134"/>
      </rPr>
      <t>空间</t>
    </r>
    <r>
      <rPr>
        <sz val="14"/>
        <color theme="1"/>
        <rFont val="Calibri"/>
        <family val="2"/>
      </rPr>
      <t>14</t>
    </r>
    <r>
      <rPr>
        <sz val="14"/>
        <color theme="1"/>
        <rFont val="宋体"/>
        <family val="3"/>
        <charset val="134"/>
      </rPr>
      <t>号楼于</t>
    </r>
    <r>
      <rPr>
        <sz val="14"/>
        <color theme="1"/>
        <rFont val="Calibri"/>
        <family val="2"/>
      </rPr>
      <t>2016</t>
    </r>
    <r>
      <rPr>
        <sz val="14"/>
        <color theme="1"/>
        <rFont val="宋体"/>
        <family val="3"/>
        <charset val="134"/>
      </rPr>
      <t>年</t>
    </r>
    <r>
      <rPr>
        <sz val="14"/>
        <color theme="1"/>
        <rFont val="Calibri"/>
        <family val="2"/>
      </rPr>
      <t>11</t>
    </r>
    <r>
      <rPr>
        <sz val="14"/>
        <color theme="1"/>
        <rFont val="宋体"/>
        <family val="3"/>
        <charset val="134"/>
      </rPr>
      <t>月</t>
    </r>
    <r>
      <rPr>
        <sz val="14"/>
        <color theme="1"/>
        <rFont val="Calibri"/>
        <family val="2"/>
      </rPr>
      <t>4</t>
    </r>
    <r>
      <rPr>
        <sz val="14"/>
        <color theme="1"/>
        <rFont val="宋体"/>
        <family val="3"/>
        <charset val="134"/>
      </rPr>
      <t>日建成</t>
    </r>
  </si>
  <si>
    <r>
      <t>2</t>
    </r>
    <r>
      <rPr>
        <sz val="14"/>
        <color theme="1"/>
        <rFont val="宋体"/>
        <family val="3"/>
        <charset val="134"/>
      </rPr>
      <t>、总建筑面积</t>
    </r>
    <r>
      <rPr>
        <sz val="14"/>
        <color theme="1"/>
        <rFont val="Calibri"/>
        <family val="2"/>
      </rPr>
      <t>1946.52</t>
    </r>
    <r>
      <rPr>
        <sz val="14"/>
        <color theme="1"/>
        <rFont val="宋体"/>
        <family val="3"/>
        <charset val="134"/>
      </rPr>
      <t>㎡具体面积如下：</t>
    </r>
  </si>
  <si>
    <r>
      <t>B1</t>
    </r>
    <r>
      <rPr>
        <sz val="14"/>
        <color theme="1"/>
        <rFont val="宋体"/>
        <family val="3"/>
        <charset val="134"/>
      </rPr>
      <t>层</t>
    </r>
    <r>
      <rPr>
        <sz val="14"/>
        <color theme="1"/>
        <rFont val="Calibri"/>
        <family val="2"/>
      </rPr>
      <t>341.06</t>
    </r>
    <r>
      <rPr>
        <sz val="14"/>
        <color theme="1"/>
        <rFont val="宋体"/>
        <family val="3"/>
        <charset val="134"/>
      </rPr>
      <t>㎡、 1层338.69㎡、 2层338.69㎡、</t>
    </r>
  </si>
  <si>
    <t>3层338.69㎡、  4层338.69㎡、 5层250.70㎡</t>
  </si>
  <si>
    <t>3、物业费每平米3元/月</t>
  </si>
  <si>
    <t>年物业费=1946.52*3*12=70074.72元</t>
  </si>
  <si>
    <t>4、采用电自取暖</t>
  </si>
  <si>
    <t>5、燃气为新奥燃气管道供应</t>
  </si>
  <si>
    <t>不动产权证号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</si>
  <si>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</si>
  <si>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</si>
  <si>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</si>
  <si>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</si>
  <si>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</si>
  <si>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所在层数</t>
    <phoneticPr fontId="134" type="noConversion"/>
  </si>
  <si>
    <t>土地使用期限</t>
    <phoneticPr fontId="134" type="noConversion"/>
  </si>
  <si>
    <t>北京燕山盛祥石油化工有限公司</t>
    <phoneticPr fontId="134" type="noConversion"/>
  </si>
  <si>
    <r>
      <t>京（2</t>
    </r>
    <r>
      <rPr>
        <sz val="11"/>
        <color theme="1"/>
        <rFont val="宋体"/>
        <family val="3"/>
        <charset val="134"/>
        <scheme val="minor"/>
      </rPr>
      <t>019）平不动产权第002454号</t>
    </r>
    <phoneticPr fontId="134" type="noConversion"/>
  </si>
  <si>
    <r>
      <t>平谷区谷丰东路3</t>
    </r>
    <r>
      <rPr>
        <sz val="11"/>
        <color theme="1"/>
        <rFont val="宋体"/>
        <family val="3"/>
        <charset val="134"/>
        <scheme val="minor"/>
      </rPr>
      <t>0号院14号楼-1至5层101</t>
    </r>
    <phoneticPr fontId="134" type="noConversion"/>
  </si>
  <si>
    <t>工业用地/厂房</t>
    <phoneticPr fontId="134" type="noConversion"/>
  </si>
  <si>
    <t>钢筋混凝土结构</t>
    <phoneticPr fontId="134" type="noConversion"/>
  </si>
  <si>
    <r>
      <t>-</t>
    </r>
    <r>
      <rPr>
        <sz val="11"/>
        <color theme="1"/>
        <rFont val="宋体"/>
        <family val="3"/>
        <charset val="134"/>
        <scheme val="minor"/>
      </rPr>
      <t>1-5</t>
    </r>
    <phoneticPr fontId="134" type="noConversion"/>
  </si>
  <si>
    <t>地下1层</t>
    <phoneticPr fontId="134" type="noConversion"/>
  </si>
  <si>
    <t>1层</t>
    <phoneticPr fontId="134" type="noConversion"/>
  </si>
  <si>
    <t>2层</t>
    <phoneticPr fontId="134" type="noConversion"/>
  </si>
  <si>
    <t>3层</t>
    <phoneticPr fontId="134" type="noConversion"/>
  </si>
  <si>
    <t>4层</t>
    <phoneticPr fontId="134" type="noConversion"/>
  </si>
  <si>
    <t>5层</t>
    <phoneticPr fontId="134" type="noConversion"/>
  </si>
  <si>
    <t>与级别开发程度不一致</t>
  </si>
  <si>
    <t>通电</t>
  </si>
  <si>
    <t>通路</t>
  </si>
  <si>
    <t>通讯</t>
  </si>
  <si>
    <t>通上水</t>
  </si>
  <si>
    <t>通下水</t>
  </si>
  <si>
    <t>燃气</t>
  </si>
  <si>
    <t>平整</t>
  </si>
  <si>
    <t>较好</t>
  </si>
  <si>
    <t>一般</t>
  </si>
  <si>
    <t>较差</t>
  </si>
  <si>
    <t>租赁合同</t>
    <phoneticPr fontId="134" type="noConversion"/>
  </si>
  <si>
    <t>面积来源：物业费缴费面积</t>
    <phoneticPr fontId="134" type="noConversion"/>
  </si>
  <si>
    <t>日期</t>
    <phoneticPr fontId="134" type="noConversion"/>
  </si>
  <si>
    <t>年租金</t>
    <phoneticPr fontId="134" type="noConversion"/>
  </si>
  <si>
    <t>租赁面积</t>
    <phoneticPr fontId="134" type="noConversion"/>
  </si>
  <si>
    <t>日租金</t>
    <phoneticPr fontId="134" type="noConversion"/>
  </si>
  <si>
    <t>成本法 (元)</t>
  </si>
  <si>
    <t>据企业介绍，地下1层原本想用来做餐厅，现整体空置毛坯，仅2层出租</t>
    <phoneticPr fontId="134" type="noConversion"/>
  </si>
  <si>
    <t>楼面单价</t>
  </si>
  <si>
    <t>自定义</t>
  </si>
  <si>
    <t>地下面积</t>
    <phoneticPr fontId="134" type="noConversion"/>
  </si>
  <si>
    <t>地上面积</t>
    <phoneticPr fontId="134" type="noConversion"/>
  </si>
  <si>
    <t>合计</t>
    <phoneticPr fontId="134" type="noConversion"/>
  </si>
  <si>
    <t>地下</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</si>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</sst>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i/>
      <sz val="9"/>
      <color theme="1"/>
      <name val="Arial"/>
      <family val="2"/>
    </font>
    <font>
      <sz val="14"/>
      <color theme="1"/>
      <name val="Calibri"/>
      <family val="2"/>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271" fillId="22" borderId="0" xfId="0" applyFont="1" applyFill="1" applyAlignment="1" applyProtection="1">
      <alignment horizontal="right" vertical="center" wrapText="1"/>
      <protection locked="0"/>
    </xf>
    <xf numFmtId="0" fontId="271" fillId="23" borderId="0" xfId="0" applyFont="1" applyFill="1" applyAlignment="1" applyProtection="1">
      <alignment horizontal="righ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77" fillId="12" borderId="0" xfId="0" applyFont="1" applyFill="1" applyAlignment="1" applyProtection="1">
      <alignment horizontal="center" vertical="center"/>
      <protection locked="0"/>
    </xf>
    <xf numFmtId="0" fontId="128" fillId="12" borderId="0" xfId="0" applyFont="1" applyFill="1" applyProtection="1">
      <alignment vertical="center"/>
      <protection locked="0"/>
    </xf>
    <xf numFmtId="0" fontId="272" fillId="0" borderId="0" xfId="0" applyFont="1" applyAlignment="1">
      <alignment horizontal="left" vertical="center"/>
    </xf>
    <xf numFmtId="0" fontId="179" fillId="0" borderId="0" xfId="0" applyFont="1" applyAlignment="1">
      <alignment horizontal="left" vertical="center" indent="2"/>
    </xf>
    <xf numFmtId="0" fontId="179" fillId="0" borderId="0" xfId="0" applyFont="1" applyAlignment="1">
      <alignment horizontal="left" vertical="center"/>
    </xf>
    <xf numFmtId="0" fontId="0" fillId="0" borderId="0" xfId="0" applyAlignment="1">
      <alignment vertical="center" wrapText="1"/>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14" fontId="95" fillId="0" borderId="1" xfId="0" applyNumberFormat="1" applyFont="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14" fontId="0" fillId="0" borderId="1" xfId="0" applyNumberFormat="1" applyBorder="1">
      <alignment vertical="center"/>
    </xf>
    <xf numFmtId="0" fontId="95" fillId="5" borderId="0" xfId="0" applyFont="1" applyFill="1">
      <alignment vertical="center"/>
    </xf>
    <xf numFmtId="0" fontId="44" fillId="8" borderId="1" xfId="0" applyFont="1" applyFill="1" applyBorder="1" applyAlignment="1">
      <alignment horizontal="left" vertical="center" wrapText="1"/>
    </xf>
    <xf numFmtId="177" fontId="47" fillId="28" borderId="1" xfId="1" applyNumberFormat="1" applyFont="1" applyFill="1" applyBorder="1" applyAlignment="1" applyProtection="1">
      <alignment horizontal="center" vertical="center"/>
      <protection locked="0"/>
    </xf>
    <xf numFmtId="176" fontId="44" fillId="28" borderId="24" xfId="1" applyNumberFormat="1" applyFont="1" applyFill="1" applyBorder="1" applyAlignment="1" applyProtection="1">
      <alignment horizontal="center" vertical="center"/>
      <protection locked="0"/>
    </xf>
    <xf numFmtId="179" fontId="44" fillId="28" borderId="23" xfId="0" applyNumberFormat="1" applyFont="1" applyFill="1" applyBorder="1" applyAlignment="1" applyProtection="1">
      <alignment horizontal="center" vertical="center"/>
      <protection locked="0"/>
    </xf>
    <xf numFmtId="10" fontId="44" fillId="28" borderId="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3"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208152</xdr:colOff>
      <xdr:row>36</xdr:row>
      <xdr:rowOff>44891</xdr:rowOff>
    </xdr:to>
    <xdr:pic>
      <xdr:nvPicPr>
        <xdr:cNvPr id="2" name="图片 1">
          <a:extLst>
            <a:ext uri="{FF2B5EF4-FFF2-40B4-BE49-F238E27FC236}">
              <a16:creationId xmlns:a16="http://schemas.microsoft.com/office/drawing/2014/main" id="{A8058C56-BC77-FB96-9D0C-EE241B3CEAF1}"/>
            </a:ext>
          </a:extLst>
        </xdr:cNvPr>
        <xdr:cNvPicPr>
          <a:picLocks noChangeAspect="1"/>
        </xdr:cNvPicPr>
      </xdr:nvPicPr>
      <xdr:blipFill>
        <a:blip xmlns:r="http://schemas.openxmlformats.org/officeDocument/2006/relationships" r:embed="rId1"/>
        <a:stretch>
          <a:fillRect/>
        </a:stretch>
      </xdr:blipFill>
      <xdr:spPr>
        <a:xfrm>
          <a:off x="0" y="0"/>
          <a:ext cx="11180952" cy="6628571"/>
        </a:xfrm>
        <a:prstGeom prst="rect">
          <a:avLst/>
        </a:prstGeom>
      </xdr:spPr>
    </xdr:pic>
    <xdr:clientData/>
  </xdr:twoCellAnchor>
  <xdr:twoCellAnchor editAs="oneCell">
    <xdr:from>
      <xdr:col>0</xdr:col>
      <xdr:colOff>152400</xdr:colOff>
      <xdr:row>31</xdr:row>
      <xdr:rowOff>144780</xdr:rowOff>
    </xdr:from>
    <xdr:to>
      <xdr:col>11</xdr:col>
      <xdr:colOff>408705</xdr:colOff>
      <xdr:row>62</xdr:row>
      <xdr:rowOff>8833</xdr:rowOff>
    </xdr:to>
    <xdr:pic>
      <xdr:nvPicPr>
        <xdr:cNvPr id="3" name="图片 2">
          <a:extLst>
            <a:ext uri="{FF2B5EF4-FFF2-40B4-BE49-F238E27FC236}">
              <a16:creationId xmlns:a16="http://schemas.microsoft.com/office/drawing/2014/main" id="{201A6570-DFCE-1B6C-F40A-F388F1A51D33}"/>
            </a:ext>
          </a:extLst>
        </xdr:cNvPr>
        <xdr:cNvPicPr>
          <a:picLocks noChangeAspect="1"/>
        </xdr:cNvPicPr>
      </xdr:nvPicPr>
      <xdr:blipFill>
        <a:blip xmlns:r="http://schemas.openxmlformats.org/officeDocument/2006/relationships" r:embed="rId2"/>
        <a:stretch>
          <a:fillRect/>
        </a:stretch>
      </xdr:blipFill>
      <xdr:spPr>
        <a:xfrm>
          <a:off x="152400" y="5814060"/>
          <a:ext cx="6961905" cy="5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北京市平谷区谷丰东路30号院14号楼-1至5层101房地产抵押价值预评估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受贵公司委托，我公司对北京市平谷区谷丰东路30号院14号楼-1至5层101房地产抵押价值进行了预评估。</v>
      </c>
    </row>
    <row r="7" spans="1:2">
      <c r="A7" s="1118" t="s">
        <v>566</v>
      </c>
      <c r="B7" s="1119" t="str">
        <f>'预评函-1'!A7</f>
        <v>估价对象为北京市平谷区谷丰东路30号院14号楼-1至5层101房地产，为北京燕山盛祥石油化工有限公司所有。根据《国有土地使用证》[]，估价对象（分摊）出让国有建设用地使用权面积为0平方米，建筑面积为1946.52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平谷区谷丰东路30号院14号楼-1至5层101房地产,属北京燕山盛祥石油化工有限公司开发建设的工业项目，该项目尚在开发建设中。根据《国有土地使用证》[]，估价对象（分摊）出让国有建设用地使用权面积为0平方米，规划建筑面积为1946.52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平谷区谷丰东路30号院14号楼-1至5层101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2024年11月29日（评估专业人员实地查勘之日）</v>
      </c>
    </row>
    <row r="13" spans="1:2">
      <c r="A13" s="1118" t="s">
        <v>529</v>
      </c>
      <c r="B13" s="1119" t="str">
        <f>'预评函-1'!A18</f>
        <v>本次估价的“房地产价值”是指在正常市场情况下，在价值时点2024年11月29日，估价对象规划用途为厂房，土地取得方式为出让，出让国有建设用地使用权剩余土地使用年限为24.66，假定未设立法定优先受偿款下的房地产市场价值。</v>
      </c>
    </row>
    <row r="14" spans="1:2">
      <c r="A14" s="1118" t="s">
        <v>530</v>
      </c>
      <c r="B14" s="1119" t="str">
        <f>'预评函-1'!A19</f>
        <v>其中，“出让国有建设用地使用权价值”是指估价对象用途为厂房，实际开发程度为宗地红线外“七通”（即、、、、、、）、红线内场地平整条件下，剩余土地使用年限为24.66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981.24069999999995</v>
      </c>
    </row>
    <row r="21" spans="1:2">
      <c r="A21" s="1118" t="s">
        <v>537</v>
      </c>
      <c r="B21" s="1119">
        <f ca="1">'预评函-2'!D7</f>
        <v>5041</v>
      </c>
    </row>
    <row r="22" spans="1:2">
      <c r="A22" s="1118" t="s">
        <v>538</v>
      </c>
      <c r="B22" s="1119" t="str">
        <f ca="1">'预评函-2'!D6</f>
        <v>玖佰捌拾壹万贰仟肆佰零柒元整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981.24069999999995</v>
      </c>
    </row>
    <row r="31" spans="1:2">
      <c r="A31" s="1118" t="s">
        <v>576</v>
      </c>
      <c r="B31" s="1119">
        <f ca="1">'预评函-2'!D15</f>
        <v>5041</v>
      </c>
    </row>
    <row r="32" spans="1:2">
      <c r="A32" s="1118" t="s">
        <v>543</v>
      </c>
      <c r="B32" s="1119" t="str">
        <f ca="1">'预评函-2'!D14</f>
        <v>玖佰捌拾壹万贰仟肆佰零柒元整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北京市平谷区谷丰东路30号院14号楼-1至5层101房地产</v>
      </c>
    </row>
    <row r="42" spans="1:2" ht="31.2">
      <c r="A42" s="1118" t="s">
        <v>590</v>
      </c>
      <c r="B42" s="1119" t="str">
        <f>'预评函-3'!B2</f>
        <v>建筑面积</v>
      </c>
    </row>
    <row r="43" spans="1:2">
      <c r="A43" s="1118" t="s">
        <v>591</v>
      </c>
      <c r="B43" s="1119">
        <f>'预评函-3'!B4</f>
        <v>1946.52</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6.2" thickBot="1">
      <c r="A73" s="1121" t="s">
        <v>565</v>
      </c>
      <c r="B73" s="1122">
        <f ca="1">'预评函-4'!B5</f>
        <v>1120100036</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谷丰东路30号院14号楼-1至5层101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19"/>
      <c r="B54" s="1446" t="s">
        <v>385</v>
      </c>
      <c r="C54" s="1444" t="s">
        <v>583</v>
      </c>
    </row>
    <row r="55" spans="1:4">
      <c r="A55" s="3219"/>
      <c r="B55" s="1446" t="s">
        <v>386</v>
      </c>
      <c r="C55" s="1444" t="s">
        <v>584</v>
      </c>
    </row>
    <row r="56" spans="1:4">
      <c r="A56" s="3219"/>
      <c r="B56" s="1446" t="s">
        <v>387</v>
      </c>
      <c r="C56" s="1444" t="s">
        <v>588</v>
      </c>
    </row>
    <row r="57" spans="1:4">
      <c r="A57" s="321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20" t="s">
        <v>2582</v>
      </c>
      <c r="J2" s="3220"/>
      <c r="K2" s="3220"/>
      <c r="L2" s="3220"/>
      <c r="M2" s="3220"/>
      <c r="N2" s="3220"/>
      <c r="O2" s="3220"/>
      <c r="P2" s="3220"/>
      <c r="Q2" s="3220"/>
      <c r="R2" s="3220"/>
    </row>
    <row r="3" spans="1:18">
      <c r="A3" s="2760" t="s">
        <v>2503</v>
      </c>
      <c r="B3" s="2761">
        <f>项目基本情况!D3</f>
        <v>45625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2.0499999999999998</v>
      </c>
      <c r="D5" s="2765">
        <f>IF(ISERROR(ROUND(POWER(1+E5,A5-C5)*(POWER(1+E5,C5)-1)/(POWER(1+E5,A5)-1),3)),0,ROUND(POWER(1+E5,A5-C5)*(POWER(1+E5,C5)-1)/(POWER(1+E5,A5)-1),4))</f>
        <v>9.7600000000000006E-2</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12.06</v>
      </c>
      <c r="D6" s="2765">
        <f>IF(ISERROR(ROUND(POWER(1+E6,A6-C6)*(POWER(1+E6,C6)-1)/(POWER(1+E6,A6)-1),3)),0,ROUND(POWER(1+E6,A6-C6)*(POWER(1+E6,C6)-1)/(POWER(1+E6,A6)-1),4))</f>
        <v>0.43859999999999999</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32.07</v>
      </c>
      <c r="D7" s="2765">
        <f>IF(ISERROR(ROUND(POWER(1+E7,A7-C7)*(POWER(1+E7,C7)-1)/(POWER(1+E7,A7)-1),3)),0,ROUND(POWER(1+E7,A7-C7)*(POWER(1+E7,C7)-1)/(POWER(1+E7,A7)-1),4))</f>
        <v>0.76480000000000004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H36" sqref="H36"/>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28" t="str">
        <f>IF(B10="北京市","北京市",C10)&amp;F10&amp;IF(结果表!G1="在建","出让国有建设用地使用权及在建建筑物",IF(结果表!G1="土地","出让国有建设用地使用权",))&amp;B9&amp;"预评估"</f>
        <v>北京市平谷区谷丰东路30号院14号楼-1至5层101房地产抵押价值预评估</v>
      </c>
      <c r="C1" s="3229"/>
      <c r="D1" s="3229"/>
      <c r="E1" s="3229"/>
      <c r="F1" s="3229"/>
      <c r="G1" s="3229"/>
      <c r="H1" s="3229"/>
      <c r="I1" s="3230"/>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北京市平谷区谷丰东路30号院14号楼-1至5层101房地产抵押价值</v>
      </c>
      <c r="T1" s="1617"/>
      <c r="U1" s="1617"/>
      <c r="V1" s="1617"/>
      <c r="W1" s="1617"/>
      <c r="X1" s="1617"/>
      <c r="Y1" s="1617"/>
      <c r="Z1" s="1617"/>
      <c r="AA1" s="1617"/>
      <c r="AB1" s="1617"/>
    </row>
    <row r="2" spans="1:30">
      <c r="A2" s="2181" t="s">
        <v>2169</v>
      </c>
      <c r="B2" s="121"/>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北京市平谷区谷丰东路30号院14号楼-1至5层101房地产</v>
      </c>
      <c r="T2" s="1617"/>
      <c r="U2" s="1617"/>
      <c r="V2" s="1617"/>
      <c r="W2" s="1617"/>
      <c r="X2" s="1617"/>
      <c r="Y2" s="1617"/>
      <c r="Z2" s="1617"/>
      <c r="AA2" s="1617"/>
      <c r="AB2" s="1617"/>
    </row>
    <row r="3" spans="1:30">
      <c r="A3" s="293" t="s">
        <v>2170</v>
      </c>
      <c r="B3" s="2184">
        <v>45625</v>
      </c>
      <c r="C3" s="2185" t="s">
        <v>2171</v>
      </c>
      <c r="D3" s="2184">
        <f>B3</f>
        <v>45625</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3391</v>
      </c>
      <c r="C4" s="2187">
        <f ca="1">SUMIF(注册房地产估价师,B4,估价师及机构信息!B3:B24)</f>
        <v>1120070131</v>
      </c>
      <c r="D4" s="2186" t="s">
        <v>3390</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3392</v>
      </c>
      <c r="C8" s="2200"/>
      <c r="D8" s="3231" t="s">
        <v>2177</v>
      </c>
      <c r="E8" s="2201" t="s">
        <v>3393</v>
      </c>
      <c r="F8" s="2202"/>
      <c r="G8" s="2440"/>
      <c r="H8" s="2440"/>
      <c r="I8" s="2440"/>
      <c r="J8" s="2243"/>
      <c r="K8" s="2398"/>
      <c r="L8" s="2397"/>
      <c r="M8" s="2397"/>
      <c r="N8" s="2243"/>
      <c r="O8" s="1669"/>
      <c r="P8" s="2243"/>
      <c r="Q8" s="2243"/>
      <c r="R8" s="2243"/>
    </row>
    <row r="9" spans="1:30" ht="13.8" thickBot="1">
      <c r="A9" s="2203" t="s">
        <v>2178</v>
      </c>
      <c r="B9" s="2204" t="s">
        <v>3393</v>
      </c>
      <c r="C9" s="2205"/>
      <c r="D9" s="3232"/>
      <c r="E9" s="2204"/>
      <c r="F9" s="2206"/>
      <c r="G9" s="2441"/>
      <c r="H9" s="2441"/>
      <c r="I9" s="2441"/>
      <c r="J9" s="2243"/>
      <c r="K9" s="2400"/>
      <c r="L9" s="2397"/>
      <c r="M9" s="2397"/>
      <c r="N9" s="2243"/>
      <c r="O9" s="1669"/>
      <c r="P9" s="2243"/>
      <c r="Q9" s="2243"/>
      <c r="R9" s="2243"/>
    </row>
    <row r="10" spans="1:30" ht="13.8" thickTop="1">
      <c r="A10" s="2207" t="s">
        <v>2179</v>
      </c>
      <c r="B10" s="2208" t="s">
        <v>3394</v>
      </c>
      <c r="C10" s="2209"/>
      <c r="D10" s="2192"/>
      <c r="E10" s="2210" t="s">
        <v>2180</v>
      </c>
      <c r="F10" s="3142" t="s">
        <v>3396</v>
      </c>
      <c r="G10" s="2442"/>
      <c r="H10" s="2443"/>
      <c r="I10" s="2444"/>
      <c r="J10" s="2243"/>
      <c r="K10" s="2400"/>
      <c r="L10" s="2397"/>
      <c r="M10" s="2397"/>
      <c r="N10" s="2243"/>
      <c r="O10" s="1669"/>
      <c r="P10" s="2243"/>
      <c r="Q10" s="2243"/>
      <c r="R10" s="2243"/>
    </row>
    <row r="11" spans="1:30" ht="36">
      <c r="A11" s="2211" t="s">
        <v>2181</v>
      </c>
      <c r="B11" s="2212" t="s">
        <v>3395</v>
      </c>
      <c r="C11" s="3143" t="s">
        <v>3397</v>
      </c>
      <c r="D11" s="2213"/>
      <c r="E11" s="2181"/>
      <c r="F11" s="2181"/>
      <c r="G11" s="2181"/>
      <c r="H11" s="2181"/>
      <c r="I11" s="2181"/>
      <c r="J11" s="2799"/>
      <c r="K11" s="2397"/>
      <c r="L11" s="2397"/>
      <c r="M11" s="2397"/>
      <c r="N11" s="2243"/>
      <c r="O11" s="1669"/>
      <c r="P11" s="2243"/>
      <c r="Q11" s="2243"/>
      <c r="R11" s="2243"/>
    </row>
    <row r="12" spans="1:30">
      <c r="A12" s="2214" t="s">
        <v>2182</v>
      </c>
      <c r="B12" s="314" t="s">
        <v>2183</v>
      </c>
      <c r="C12" s="2215" t="s">
        <v>2184</v>
      </c>
      <c r="D12" s="2215" t="s">
        <v>2185</v>
      </c>
      <c r="E12" s="2215" t="s">
        <v>2186</v>
      </c>
      <c r="F12" s="2215" t="s">
        <v>2187</v>
      </c>
      <c r="G12" s="2215" t="s">
        <v>2188</v>
      </c>
      <c r="H12" s="2215" t="s">
        <v>2189</v>
      </c>
      <c r="I12" s="2798" t="s">
        <v>2578</v>
      </c>
      <c r="J12" s="2800"/>
      <c r="K12" s="2397"/>
      <c r="L12" s="2397"/>
      <c r="M12" s="2243"/>
      <c r="N12" s="1669"/>
      <c r="O12" s="2243"/>
      <c r="P12" s="2243"/>
      <c r="Q12" s="2243"/>
      <c r="AD12" s="1617"/>
    </row>
    <row r="13" spans="1:30">
      <c r="A13" s="3119" t="s">
        <v>3334</v>
      </c>
      <c r="B13" s="2216" t="s">
        <v>2190</v>
      </c>
      <c r="C13" s="802"/>
      <c r="D13" s="802"/>
      <c r="E13" s="802"/>
      <c r="F13" s="802"/>
      <c r="G13" s="802"/>
      <c r="H13" s="802">
        <v>54629</v>
      </c>
      <c r="I13" s="802"/>
      <c r="J13" s="2800"/>
      <c r="K13" s="2397"/>
      <c r="L13" s="2397"/>
      <c r="M13" s="2243"/>
      <c r="N13" s="1669"/>
      <c r="O13" s="2243"/>
      <c r="P13" s="2243"/>
      <c r="Q13" s="2243"/>
      <c r="AD13" s="1617"/>
    </row>
    <row r="14" spans="1:30">
      <c r="A14" s="1017"/>
      <c r="B14" s="2216" t="s">
        <v>2191</v>
      </c>
      <c r="C14" s="2217"/>
      <c r="D14" s="2217"/>
      <c r="E14" s="2217"/>
      <c r="F14" s="2217"/>
      <c r="G14" s="2217"/>
      <c r="H14" s="2217">
        <v>50</v>
      </c>
      <c r="I14" s="2217"/>
      <c r="J14" s="2801"/>
      <c r="K14" s="2397"/>
      <c r="L14" s="2397"/>
      <c r="M14" s="2243"/>
      <c r="N14" s="1669"/>
      <c r="O14" s="2243"/>
      <c r="P14" s="2243"/>
      <c r="Q14" s="2243"/>
      <c r="AD14" s="1617"/>
    </row>
    <row r="15" spans="1:30">
      <c r="A15" s="311"/>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24.66</v>
      </c>
      <c r="I15" s="2219" t="str">
        <f>IF(A13="出让",IF(I13="","",ROUNDDOWN(MIN((I13-$D$3)/365,I14),2)),I14)</f>
        <v/>
      </c>
      <c r="J15" s="2802"/>
      <c r="K15" s="1669"/>
      <c r="L15" s="1669"/>
      <c r="M15" s="2243"/>
      <c r="N15" s="1669"/>
      <c r="O15" s="2243"/>
      <c r="P15" s="2243"/>
      <c r="Q15" s="2243"/>
      <c r="AD15" s="1617"/>
    </row>
    <row r="16" spans="1:30">
      <c r="A16" s="2210" t="s">
        <v>2193</v>
      </c>
      <c r="B16" s="3238" t="s">
        <v>3399</v>
      </c>
      <c r="C16" s="3239"/>
      <c r="D16" s="3240"/>
      <c r="E16" s="2220" t="s">
        <v>2194</v>
      </c>
      <c r="F16" s="3241">
        <f>H15</f>
        <v>24.66</v>
      </c>
      <c r="G16" s="3242"/>
      <c r="H16" s="3242"/>
      <c r="I16" s="3243"/>
      <c r="J16" s="2243"/>
      <c r="K16" s="2401"/>
      <c r="L16" s="1669"/>
      <c r="M16" s="1669"/>
      <c r="N16" s="2243"/>
      <c r="O16" s="1669"/>
      <c r="P16" s="2243"/>
      <c r="Q16" s="2243"/>
      <c r="R16" s="2243"/>
    </row>
    <row r="17" spans="1:28">
      <c r="A17" s="304" t="s">
        <v>2195</v>
      </c>
      <c r="B17" s="293" t="s">
        <v>2196</v>
      </c>
      <c r="C17" s="8">
        <f>'数据-汇总表'!E3</f>
        <v>1946.52</v>
      </c>
      <c r="D17" s="1255" t="s">
        <v>2197</v>
      </c>
      <c r="E17" s="3244" t="s">
        <v>2198</v>
      </c>
      <c r="F17" s="3245"/>
      <c r="G17" s="3245"/>
      <c r="H17" s="3245"/>
      <c r="I17" s="3246"/>
      <c r="J17" s="2243"/>
      <c r="K17" s="2402"/>
      <c r="L17" s="1669"/>
      <c r="M17" s="1669"/>
      <c r="N17" s="2243"/>
      <c r="O17" s="1669"/>
      <c r="P17" s="2243"/>
      <c r="Q17" s="2243"/>
      <c r="R17" s="2243"/>
      <c r="S17" s="2243"/>
      <c r="T17" s="2243"/>
      <c r="U17" s="2243"/>
      <c r="V17" s="2243"/>
    </row>
    <row r="18" spans="1:28" ht="24.6" thickBot="1">
      <c r="A18" s="2221" t="s">
        <v>2199</v>
      </c>
      <c r="B18" s="1026" t="s">
        <v>2200</v>
      </c>
      <c r="C18" s="2222">
        <f>'数据-汇总表'!D3</f>
        <v>0</v>
      </c>
      <c r="D18" s="1028" t="s">
        <v>2201</v>
      </c>
      <c r="E18" s="3247" t="s">
        <v>2202</v>
      </c>
      <c r="F18" s="3248"/>
      <c r="G18" s="3248"/>
      <c r="H18" s="3248"/>
      <c r="I18" s="3249"/>
      <c r="J18" s="2243"/>
      <c r="K18" s="2402"/>
      <c r="L18" s="1669"/>
      <c r="M18" s="1669"/>
      <c r="N18" s="2243"/>
      <c r="O18" s="1669"/>
      <c r="P18" s="2243"/>
      <c r="Q18" s="2243"/>
      <c r="R18" s="2243"/>
      <c r="S18" s="2243"/>
      <c r="T18" s="2243"/>
      <c r="U18" s="2243"/>
      <c r="V18" s="2243"/>
    </row>
    <row r="19" spans="1:28" ht="37.200000000000003" thickTop="1" thickBot="1">
      <c r="A19" s="318" t="s">
        <v>1055</v>
      </c>
      <c r="B19" s="298" t="s">
        <v>2203</v>
      </c>
      <c r="C19" s="1454" t="s">
        <v>3400</v>
      </c>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34" t="s">
        <v>2206</v>
      </c>
      <c r="C20" s="3235"/>
      <c r="D20" s="3236" t="s">
        <v>2207</v>
      </c>
      <c r="E20" s="3237"/>
      <c r="F20" s="2428" t="s">
        <v>1056</v>
      </c>
      <c r="G20" s="2440"/>
      <c r="H20" s="2440"/>
      <c r="I20" s="2440"/>
      <c r="J20" s="2243"/>
      <c r="K20" s="3233"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3"/>
      <c r="K21" s="323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3"/>
      <c r="K22" s="323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0"/>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222" t="s">
        <v>2214</v>
      </c>
      <c r="B27" s="311" t="s">
        <v>2215</v>
      </c>
      <c r="C27" s="2223" t="s">
        <v>3401</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22"/>
      <c r="B28" s="293"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22"/>
      <c r="B29" s="293"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23"/>
      <c r="B30" s="293" t="s">
        <v>2218</v>
      </c>
      <c r="C30" s="3224"/>
      <c r="D30" s="3225"/>
      <c r="E30" s="2440"/>
      <c r="F30" s="2440"/>
      <c r="G30" s="2440"/>
      <c r="H30" s="2440"/>
      <c r="I30" s="2440"/>
      <c r="J30" s="2243"/>
      <c r="K30" s="2400"/>
      <c r="L30" s="2397"/>
      <c r="M30" s="2397"/>
      <c r="N30" s="2243"/>
      <c r="O30" s="1669"/>
      <c r="P30" s="2243"/>
      <c r="Q30" s="2243"/>
      <c r="R30" s="2243"/>
      <c r="S30" s="2243"/>
      <c r="T30" s="2243"/>
      <c r="U30" s="2243"/>
      <c r="V30" s="2243"/>
    </row>
    <row r="31" spans="1:28">
      <c r="A31" s="3226" t="s">
        <v>2219</v>
      </c>
      <c r="B31" s="2229" t="s">
        <v>3402</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27"/>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27"/>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3" t="s">
        <v>2220</v>
      </c>
      <c r="B34" s="1869"/>
      <c r="C34" s="1869"/>
      <c r="D34" s="1869"/>
      <c r="E34" s="1869"/>
      <c r="F34" s="1869"/>
      <c r="G34" s="1869"/>
      <c r="H34" s="1869"/>
      <c r="I34" s="2440"/>
      <c r="J34" s="2243"/>
      <c r="K34" s="8">
        <f>COUNTIF(B34:H34,"——")</f>
        <v>0</v>
      </c>
      <c r="L34" s="314" t="s">
        <v>2221</v>
      </c>
      <c r="M34" s="314" t="s">
        <v>2222</v>
      </c>
      <c r="N34" s="314" t="s">
        <v>2223</v>
      </c>
      <c r="O34" s="314" t="s">
        <v>2224</v>
      </c>
      <c r="P34" s="314" t="s">
        <v>2225</v>
      </c>
      <c r="Q34" s="314" t="s">
        <v>2226</v>
      </c>
      <c r="R34" s="314" t="s">
        <v>2227</v>
      </c>
      <c r="S34" s="3221" t="s">
        <v>2228</v>
      </c>
      <c r="T34" s="314" t="str">
        <f>NUMBERSTRING(7-K34,1)&amp;"通"</f>
        <v>七通</v>
      </c>
      <c r="U34" s="2243"/>
      <c r="V34" s="2243"/>
    </row>
    <row r="35" spans="1:30">
      <c r="A35" s="2234"/>
      <c r="B35" s="3221" t="s">
        <v>2229</v>
      </c>
      <c r="C35" s="3221"/>
      <c r="D35" s="3221"/>
      <c r="E35" s="3221"/>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1"/>
      <c r="T35" s="137" t="str">
        <f>IF(T34="一通",L35,IF(T34="二通",M35,IF(T34="三通",N35,IF(T34="四通",O35,IF(T34="五通",P35,IF(T34="六通",Q35,R35))))))</f>
        <v>、、、、、、</v>
      </c>
      <c r="U35" s="2243"/>
      <c r="V35" s="2243"/>
    </row>
    <row r="36" spans="1:30">
      <c r="A36" s="2182"/>
      <c r="B36" s="8" t="s">
        <v>2185</v>
      </c>
      <c r="C36" s="8" t="s">
        <v>2186</v>
      </c>
      <c r="D36" s="8" t="s">
        <v>2184</v>
      </c>
      <c r="E36" s="8" t="s">
        <v>2189</v>
      </c>
      <c r="F36" s="2798"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t="s">
        <v>306</v>
      </c>
      <c r="F37" s="2235"/>
      <c r="G37" s="2440"/>
      <c r="H37" s="2440"/>
      <c r="I37" s="2440"/>
      <c r="J37" s="2243"/>
      <c r="K37" s="2400"/>
      <c r="L37" s="2397"/>
      <c r="M37" s="2397"/>
      <c r="N37" s="2243"/>
      <c r="O37" s="1669"/>
      <c r="P37" s="2243"/>
      <c r="Q37" s="2243"/>
      <c r="R37" s="2243"/>
      <c r="S37" s="2243"/>
      <c r="T37" s="2243"/>
      <c r="U37" s="2243"/>
      <c r="V37" s="2243"/>
    </row>
    <row r="38" spans="1:30" ht="27" thickBot="1">
      <c r="A38" s="2414" t="s">
        <v>2231</v>
      </c>
      <c r="B38" s="2236"/>
      <c r="C38" s="2236"/>
      <c r="D38" s="2236"/>
      <c r="E38" s="2236" t="s">
        <v>3438</v>
      </c>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1946.52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1946.52</v>
      </c>
      <c r="H5" s="13">
        <f t="shared" ref="H5:AT5" si="0">SUM(H13:H656)</f>
        <v>1946.52</v>
      </c>
      <c r="I5" s="13">
        <f t="shared" si="0"/>
        <v>1605.46</v>
      </c>
      <c r="J5" s="13">
        <f t="shared" si="0"/>
        <v>0</v>
      </c>
      <c r="K5" s="13">
        <f t="shared" si="0"/>
        <v>341.06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1946.52</v>
      </c>
      <c r="BA5" s="15">
        <f t="shared" si="1"/>
        <v>1946.52</v>
      </c>
      <c r="BB5" s="15">
        <f t="shared" si="1"/>
        <v>1605.46</v>
      </c>
      <c r="BC5" s="15">
        <f t="shared" si="1"/>
        <v>341.06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3405</v>
      </c>
      <c r="J9" s="760"/>
      <c r="K9" s="1490" t="s">
        <v>3491</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t="s">
        <v>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工业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3404</v>
      </c>
      <c r="D13" s="1512" t="s">
        <v>3403</v>
      </c>
      <c r="E13" s="13">
        <f>IF($C$3="是",ROUND($A$3*G13/$B$3,2),ROUND($A$3*(G13-AT13)/$B$3,2))</f>
        <v>0</v>
      </c>
      <c r="F13" s="29"/>
      <c r="G13" s="30">
        <f>H13+AC13+AT13</f>
        <v>1946.52</v>
      </c>
      <c r="H13" s="17">
        <f>SUMIF(I$12:AB$12,"总值",I13:AB13)</f>
        <v>1946.52</v>
      </c>
      <c r="I13" s="1513">
        <f>面积清单!H16</f>
        <v>1605.46</v>
      </c>
      <c r="J13" s="1513"/>
      <c r="K13" s="1513">
        <f>面积清单!H15</f>
        <v>341.06</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14号楼</v>
      </c>
      <c r="AY13" s="1259">
        <f>ROUND($AY$6*AZ13/$AZ$5,2)</f>
        <v>0</v>
      </c>
      <c r="AZ13" s="13">
        <f>BA13+BL13</f>
        <v>1946.52</v>
      </c>
      <c r="BA13" s="13">
        <f>SUM(BB13:BK13)</f>
        <v>1946.52</v>
      </c>
      <c r="BB13" s="13">
        <f>IF($D13="是",I13-J13,0)</f>
        <v>1605.46</v>
      </c>
      <c r="BC13" s="13">
        <f>IF($D13="是",K13-L13,0)</f>
        <v>341.06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44" sqref="L44"/>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9" t="s">
        <v>1131</v>
      </c>
      <c r="B2" s="3259"/>
      <c r="C2" s="3259"/>
      <c r="D2" s="747" t="s">
        <v>1107</v>
      </c>
      <c r="E2" s="1522" t="s">
        <v>1108</v>
      </c>
      <c r="F2" s="2437"/>
      <c r="G2" s="2430"/>
      <c r="H2" s="2431"/>
      <c r="I2" s="2145" t="s">
        <v>1132</v>
      </c>
      <c r="J2" s="2437"/>
      <c r="K2" s="2437"/>
      <c r="L2" s="2437"/>
      <c r="M2" s="2437"/>
      <c r="N2" s="2438"/>
      <c r="O2" s="2437"/>
      <c r="P2" s="2437"/>
    </row>
    <row r="3" spans="1:16" ht="15" thickBot="1">
      <c r="A3" s="3260" t="s">
        <v>1105</v>
      </c>
      <c r="B3" s="3260"/>
      <c r="C3" s="3260"/>
      <c r="D3" s="41">
        <f>'数据-基础表'!AY6</f>
        <v>0</v>
      </c>
      <c r="E3" s="41">
        <f>'数据-基础表'!AZ5</f>
        <v>1946.52</v>
      </c>
      <c r="F3" s="2437"/>
      <c r="G3" s="42"/>
      <c r="H3" s="43" t="s">
        <v>1106</v>
      </c>
      <c r="I3" s="801" t="e">
        <f>ROUND('数据-基础表'!B3/'数据-基础表'!A3,2)</f>
        <v>#DIV/0!</v>
      </c>
      <c r="J3" s="2437"/>
      <c r="K3" s="2437"/>
      <c r="L3" s="2437"/>
      <c r="M3" s="2437"/>
      <c r="N3" s="2438"/>
      <c r="O3" s="2437"/>
      <c r="P3" s="2437"/>
    </row>
    <row r="4" spans="1:16" ht="14.4">
      <c r="A4" s="3261"/>
      <c r="B4" s="3262"/>
      <c r="C4" s="3263"/>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64" t="s">
        <v>1110</v>
      </c>
      <c r="C5" s="3264"/>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64" t="s">
        <v>1111</v>
      </c>
      <c r="C6" s="3264"/>
      <c r="D6" s="43">
        <f>ROUND($D$3*E6/$E$3,2)</f>
        <v>0</v>
      </c>
      <c r="E6" s="44">
        <f>E3-E5</f>
        <v>1946.52</v>
      </c>
      <c r="F6" s="2437"/>
      <c r="G6" s="1528" t="s">
        <v>1112</v>
      </c>
      <c r="H6" s="45" t="s">
        <v>1113</v>
      </c>
      <c r="I6" s="2433" t="e">
        <f>ROUND(F31/D31,2)</f>
        <v>#DIV/0!</v>
      </c>
      <c r="J6" s="2437"/>
      <c r="K6" s="2437"/>
      <c r="L6" s="2437"/>
      <c r="M6" s="2437"/>
      <c r="N6" s="2437"/>
      <c r="O6" s="2437"/>
      <c r="P6" s="2437"/>
    </row>
    <row r="7" spans="1:16" ht="15" thickBot="1">
      <c r="A7" s="3256"/>
      <c r="B7" s="3257"/>
      <c r="C7" s="3258"/>
      <c r="D7" s="1523" t="s">
        <v>1107</v>
      </c>
      <c r="E7" s="1527" t="s">
        <v>1114</v>
      </c>
      <c r="F7" s="2437"/>
      <c r="G7" s="2434" t="s">
        <v>1115</v>
      </c>
      <c r="H7" s="95"/>
      <c r="I7" s="2435">
        <v>1</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1605.46</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1605.46</v>
      </c>
      <c r="F16" s="2437"/>
      <c r="G16" s="2437"/>
      <c r="H16" s="1530" t="s">
        <v>1135</v>
      </c>
      <c r="I16" s="1531"/>
      <c r="J16" s="1070"/>
      <c r="K16" s="3253" t="s">
        <v>1135</v>
      </c>
      <c r="L16" s="3254"/>
      <c r="M16" s="3254"/>
      <c r="N16" s="3254"/>
      <c r="O16" s="3254"/>
      <c r="P16" s="3255"/>
    </row>
    <row r="17" spans="1:19" ht="14.4">
      <c r="A17" s="1532" t="s">
        <v>1136</v>
      </c>
      <c r="B17" s="1533" t="s">
        <v>1137</v>
      </c>
      <c r="C17" s="1534" t="s">
        <v>1138</v>
      </c>
      <c r="D17" s="1535" t="s">
        <v>1126</v>
      </c>
      <c r="E17" s="1536" t="s">
        <v>1127</v>
      </c>
      <c r="F17" s="1537"/>
      <c r="G17" s="1538"/>
      <c r="H17" s="1539" t="s">
        <v>1139</v>
      </c>
      <c r="I17" s="1540" t="s">
        <v>1124</v>
      </c>
      <c r="J17" s="1070"/>
      <c r="K17" s="3250" t="s">
        <v>1140</v>
      </c>
      <c r="L17" s="3251"/>
      <c r="M17" s="3252"/>
      <c r="N17" s="3250" t="s">
        <v>1141</v>
      </c>
      <c r="O17" s="3251"/>
      <c r="P17" s="3252"/>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
        <v>3406</v>
      </c>
      <c r="D19" s="43">
        <f>ROUND($D$3*E19/$E$3,2)</f>
        <v>0</v>
      </c>
      <c r="E19" s="51">
        <f t="shared" ref="E19:E26" si="1">SUM(F19:G19)</f>
        <v>1946.52</v>
      </c>
      <c r="F19" s="2555">
        <f>'数据-基础表'!I13</f>
        <v>1605.46</v>
      </c>
      <c r="G19" s="1242">
        <f>'数据-基础表'!K13</f>
        <v>341.06</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1946.52</v>
      </c>
    </row>
    <row r="20" spans="1:19" ht="14.4">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1946.52</v>
      </c>
      <c r="F27" s="1071">
        <f>IF(SUM(F19:F26)=E8,SUM(F19:F26),"地上面积有误")</f>
        <v>1605.46</v>
      </c>
      <c r="G27" s="1073">
        <f>SUM(G19:G26)</f>
        <v>341.06</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1946.52</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1946.52</v>
      </c>
      <c r="F31" s="643">
        <f>F27+F30</f>
        <v>1605.46</v>
      </c>
      <c r="G31" s="644">
        <f>G27+G30</f>
        <v>341.06</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V20" sqref="V20"/>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3" width="7.21875" style="1560" customWidth="1"/>
    <col min="34" max="34" width="9.1093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 thickBot="1">
      <c r="A2" s="1561" t="s">
        <v>1161</v>
      </c>
      <c r="B2" s="983">
        <f>项目基本情况!D3</f>
        <v>45625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3.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3407</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厂房</v>
      </c>
      <c r="B6" s="1586" t="str">
        <f>IF(A6=0,"","经营性")</f>
        <v>经营性</v>
      </c>
      <c r="C6" s="1587" t="s">
        <v>3</v>
      </c>
      <c r="D6" s="804">
        <f>SUMIF(项目基本情况!C$12:I$12,C6,项目基本情况!C$14:I$14)</f>
        <v>50</v>
      </c>
      <c r="E6" s="803">
        <f>IF(B6="","",SUMIF(项目基本情况!C$12:I$12,C6,项目基本情况!C$13:I$13))</f>
        <v>54629</v>
      </c>
      <c r="F6" s="61">
        <f>SUMIF(项目基本情况!C$12:I$12,C6,项目基本情况!C$15:I$15)</f>
        <v>24.66</v>
      </c>
      <c r="G6" s="62">
        <f>IF(ISERROR(ROUND(POWER(1+H6,D6-F6)*(POWER(1+H6,F6)-1)/(POWER(1+H6,D6)-1),3)),0,ROUND(POWER(1+H6,D6-F6)*(POWER(1+H6,F6)-1)/(POWER(1+H6,D6)-1),3))</f>
        <v>0.76700000000000002</v>
      </c>
      <c r="H6" s="690">
        <v>0.05</v>
      </c>
      <c r="I6" s="690">
        <v>5.5E-2</v>
      </c>
      <c r="J6" s="63">
        <v>7.0000000000000007E-2</v>
      </c>
      <c r="K6" s="969">
        <f>SUMIF('数据-汇总表'!C$19:C$33,A6,'数据-汇总表'!E$19:E$33)</f>
        <v>1946.52</v>
      </c>
      <c r="L6" s="3175">
        <v>3500</v>
      </c>
      <c r="M6" s="64">
        <f t="shared" ref="M6:M14" si="0">ROUND(K6*L6/10000,0)</f>
        <v>681</v>
      </c>
      <c r="N6" s="689">
        <f>N19</f>
        <v>0.87</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177">
        <v>1.3</v>
      </c>
      <c r="V6" s="67">
        <v>0.02</v>
      </c>
      <c r="W6" s="67">
        <v>0.1</v>
      </c>
      <c r="X6" s="978"/>
      <c r="Y6" s="68">
        <f>N6</f>
        <v>0.87</v>
      </c>
      <c r="Z6" s="69"/>
      <c r="AA6" s="63"/>
      <c r="AB6" s="63"/>
      <c r="AC6" s="978"/>
      <c r="AD6" s="70"/>
      <c r="AE6" s="979">
        <f ca="1">IF(AN6="",0,SUMIF(INDIRECT("'"&amp;AN6&amp;"'"&amp;"!E:E"),$AE$5,INDIRECT("'"&amp;AN6&amp;"'"&amp;"!F:F")))</f>
        <v>24.66</v>
      </c>
      <c r="AF6" s="74"/>
      <c r="AG6" s="129">
        <f>IF(AF6="",0,AE6-AF6)</f>
        <v>0</v>
      </c>
      <c r="AH6" s="71">
        <f>面积清单!H16</f>
        <v>1605.46</v>
      </c>
      <c r="AI6" s="73">
        <v>365</v>
      </c>
      <c r="AJ6" s="74"/>
      <c r="AK6" s="3178">
        <v>2E-3</v>
      </c>
      <c r="AL6" s="76">
        <v>1E-3</v>
      </c>
      <c r="AM6" s="77">
        <v>0.01</v>
      </c>
      <c r="AN6" s="1588" t="s">
        <v>3430</v>
      </c>
      <c r="AO6" s="50">
        <f ca="1">SUMIF(INDIRECT("'"&amp;AN6&amp;"'"&amp;"!A:A"),"总价",INDIRECT("'"&amp;AN6&amp;"'"&amp;"!B:B"))</f>
        <v>940.12049999999999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0.76700000000000002</v>
      </c>
      <c r="H16" s="84">
        <f>ROUND(SUMPRODUCT(H6:H13,K6:K13)/SUMPRODUCT((H6:H13&gt;0)*(K6:K13)),3)</f>
        <v>0.05</v>
      </c>
      <c r="I16" s="85"/>
      <c r="J16" s="85"/>
      <c r="K16" s="86">
        <f>SUM(K6:K15)</f>
        <v>1946.52</v>
      </c>
      <c r="L16" s="87">
        <f>ROUND(M16*10000/SUM(K6:K14),0)</f>
        <v>3499</v>
      </c>
      <c r="M16" s="87">
        <f>SUM(M6:M14)</f>
        <v>681</v>
      </c>
      <c r="N16" s="88">
        <f>ROUND(SUMPRODUCT(M6:M14,N6:N14)/M16,3)</f>
        <v>0.87</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3158"/>
      <c r="K18" s="3157"/>
      <c r="L18" s="2447"/>
      <c r="M18" s="3144" t="s">
        <v>3408</v>
      </c>
      <c r="N18" s="2446">
        <v>2016</v>
      </c>
      <c r="O18" s="2446"/>
      <c r="P18" s="2446"/>
      <c r="Q18" s="2446"/>
      <c r="R18" s="2446"/>
      <c r="S18" s="2446"/>
      <c r="T18" s="2446"/>
      <c r="U18" s="2446">
        <f>'数据-汇总表'!F19</f>
        <v>1605.46</v>
      </c>
      <c r="V18" s="2446">
        <v>1.2</v>
      </c>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v>0</v>
      </c>
      <c r="C19" s="2558" t="s">
        <v>2303</v>
      </c>
      <c r="D19" s="2449"/>
      <c r="E19" s="2437"/>
      <c r="F19" s="2437"/>
      <c r="G19" s="2437"/>
      <c r="H19" s="2437"/>
      <c r="I19" s="2437"/>
      <c r="J19" s="2437"/>
      <c r="K19" s="3157"/>
      <c r="L19" s="2447"/>
      <c r="M19" s="3144" t="s">
        <v>3437</v>
      </c>
      <c r="N19" s="2446">
        <f>ROUND(1-(1-0)*(2024-N18)/60,2)</f>
        <v>0.87</v>
      </c>
      <c r="O19" s="2446"/>
      <c r="P19" s="2446"/>
      <c r="Q19" s="2446"/>
      <c r="R19" s="2446"/>
      <c r="S19" s="2446"/>
      <c r="T19" s="2446"/>
      <c r="U19" s="2446">
        <f>'数据-汇总表'!G19</f>
        <v>341.06</v>
      </c>
      <c r="V19" s="2446">
        <v>0.5</v>
      </c>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3176">
        <v>1.5</v>
      </c>
      <c r="C20" s="2559" t="s">
        <v>2301</v>
      </c>
      <c r="D20" s="2449"/>
      <c r="E20" s="2437"/>
      <c r="F20" s="2437"/>
      <c r="G20" s="2437"/>
      <c r="H20" s="2437"/>
      <c r="I20" s="2437"/>
      <c r="J20" s="2437"/>
      <c r="K20" s="3157"/>
      <c r="L20" s="2447"/>
      <c r="M20" s="2446"/>
      <c r="N20" s="2446"/>
      <c r="O20" s="2446"/>
      <c r="P20" s="2446"/>
      <c r="Q20" s="2446"/>
      <c r="R20" s="2446"/>
      <c r="S20" s="2446"/>
      <c r="T20" s="2446"/>
      <c r="U20" s="2446"/>
      <c r="V20" s="2446">
        <f>(U18*V18+U19*V19)/U18</f>
        <v>1.3062187784186463</v>
      </c>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3176">
        <v>1.5</v>
      </c>
      <c r="C21" s="2437"/>
      <c r="D21" s="2449"/>
      <c r="E21" s="2437"/>
      <c r="F21" s="2437"/>
      <c r="G21" s="2437"/>
      <c r="H21" s="2437"/>
      <c r="I21" s="2437"/>
      <c r="J21" s="2437"/>
      <c r="K21" s="315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8">
        <f>B19+B20</f>
        <v>1.5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8">
        <f>B19+B21</f>
        <v>1.5</v>
      </c>
      <c r="C23" s="2437"/>
      <c r="D23" s="2449"/>
      <c r="E23" s="2437"/>
      <c r="F23" s="2437"/>
      <c r="G23" s="2437"/>
      <c r="H23" s="2437"/>
      <c r="I23" s="3265" t="s">
        <v>3409</v>
      </c>
      <c r="J23" s="3266"/>
      <c r="K23" s="3266"/>
      <c r="L23" s="3266"/>
      <c r="M23" s="3266"/>
      <c r="N23" s="3267" t="s">
        <v>3410</v>
      </c>
      <c r="O23" s="3267"/>
      <c r="P23" s="3267"/>
      <c r="Q23" s="3267"/>
      <c r="R23" s="3267"/>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43.8" thickBot="1">
      <c r="A24" s="1598" t="s">
        <v>1216</v>
      </c>
      <c r="B24" s="99">
        <f>B20-B21</f>
        <v>0</v>
      </c>
      <c r="C24" s="2437"/>
      <c r="D24" s="2449"/>
      <c r="E24" s="2437"/>
      <c r="F24" s="2437"/>
      <c r="G24" s="2437"/>
      <c r="H24" s="2437"/>
      <c r="I24" s="3145" t="s">
        <v>3411</v>
      </c>
      <c r="J24" s="3145" t="s">
        <v>3412</v>
      </c>
      <c r="K24" s="3146" t="s">
        <v>3413</v>
      </c>
      <c r="L24" s="3145" t="s">
        <v>3414</v>
      </c>
      <c r="M24" s="3145" t="s">
        <v>3415</v>
      </c>
      <c r="N24" s="3147" t="s">
        <v>3416</v>
      </c>
      <c r="O24" s="3147" t="s">
        <v>3417</v>
      </c>
      <c r="P24" s="3267" t="s">
        <v>3418</v>
      </c>
      <c r="Q24" s="3267"/>
      <c r="R24" s="3147" t="s">
        <v>3419</v>
      </c>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29.4" thickBot="1">
      <c r="A25" s="1448"/>
      <c r="B25" s="1541"/>
      <c r="C25" s="2437"/>
      <c r="D25" s="2449"/>
      <c r="E25" s="2437"/>
      <c r="F25" s="2437"/>
      <c r="G25" s="2437"/>
      <c r="H25" s="2437"/>
      <c r="I25" s="3145" t="s">
        <v>3420</v>
      </c>
      <c r="J25" s="3145" t="s">
        <v>3421</v>
      </c>
      <c r="K25" s="3145" t="s">
        <v>3421</v>
      </c>
      <c r="L25" s="3145" t="s">
        <v>3422</v>
      </c>
      <c r="M25" s="3145" t="s">
        <v>3422</v>
      </c>
      <c r="N25" s="3147" t="s">
        <v>3423</v>
      </c>
      <c r="O25" s="3147" t="s">
        <v>3423</v>
      </c>
      <c r="P25" s="3147" t="s">
        <v>3424</v>
      </c>
      <c r="Q25" s="3147" t="s">
        <v>3425</v>
      </c>
      <c r="R25" s="3147" t="s">
        <v>3426</v>
      </c>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29.4" thickBot="1">
      <c r="A26" s="1561" t="s">
        <v>1217</v>
      </c>
      <c r="B26" s="1599" t="s">
        <v>1218</v>
      </c>
      <c r="C26" s="2450" t="s">
        <v>1219</v>
      </c>
      <c r="D26" s="2449"/>
      <c r="E26" s="2437"/>
      <c r="F26" s="2437"/>
      <c r="G26" s="2437"/>
      <c r="H26" s="2437"/>
      <c r="I26" s="3146">
        <v>45</v>
      </c>
      <c r="J26" s="3146">
        <v>24</v>
      </c>
      <c r="K26" s="3146">
        <v>20</v>
      </c>
      <c r="L26" s="3146">
        <v>5</v>
      </c>
      <c r="M26" s="3146" t="s">
        <v>3427</v>
      </c>
      <c r="N26" s="3148" t="s">
        <v>3428</v>
      </c>
      <c r="O26" s="3148" t="s">
        <v>3428</v>
      </c>
      <c r="P26" s="3148">
        <v>2</v>
      </c>
      <c r="Q26" s="3148">
        <v>1</v>
      </c>
      <c r="R26" s="3148">
        <v>1</v>
      </c>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0"/>
      <c r="C27" s="2560" t="s">
        <v>2305</v>
      </c>
      <c r="D27" s="2452"/>
      <c r="E27" s="2438"/>
      <c r="F27" s="2438"/>
      <c r="G27" s="2437"/>
      <c r="H27" s="2437"/>
      <c r="I27" s="3146">
        <v>3</v>
      </c>
      <c r="J27" s="3146">
        <v>3</v>
      </c>
      <c r="K27" s="3146">
        <v>2</v>
      </c>
      <c r="L27" s="3146">
        <v>0</v>
      </c>
      <c r="M27" s="3146">
        <v>0</v>
      </c>
      <c r="N27" s="3148">
        <v>0</v>
      </c>
      <c r="O27" s="3148">
        <v>0</v>
      </c>
      <c r="P27" s="3148">
        <v>1</v>
      </c>
      <c r="Q27" s="3148">
        <v>0</v>
      </c>
      <c r="R27" s="3148">
        <v>0</v>
      </c>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2">
        <v>80</v>
      </c>
      <c r="C28" s="2453"/>
      <c r="D28" s="2452"/>
      <c r="E28" s="2438"/>
      <c r="F28" s="2438"/>
      <c r="G28" s="2437"/>
      <c r="H28" s="2437"/>
      <c r="I28" s="3146">
        <v>124000</v>
      </c>
      <c r="J28" s="3146">
        <v>57000</v>
      </c>
      <c r="K28" s="3146">
        <v>32000</v>
      </c>
      <c r="L28" s="3146">
        <v>22000</v>
      </c>
      <c r="M28" s="3146">
        <v>6400</v>
      </c>
      <c r="N28" s="3148">
        <v>12000</v>
      </c>
      <c r="O28" s="3148">
        <v>15000</v>
      </c>
      <c r="P28" s="3148"/>
      <c r="Q28" s="3148"/>
      <c r="R28" s="3148">
        <v>10825.55</v>
      </c>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4">
        <f ca="1">'成本法 (元)'!C10/10000</f>
        <v>15.5722</v>
      </c>
      <c r="C29" s="2561" t="s">
        <v>2294</v>
      </c>
      <c r="D29" s="2452"/>
      <c r="E29" s="2438"/>
      <c r="F29" s="2438"/>
      <c r="G29" s="2437"/>
      <c r="H29" s="2437"/>
      <c r="I29" s="3149">
        <v>100000</v>
      </c>
      <c r="J29" s="3149">
        <v>45000</v>
      </c>
      <c r="K29" s="3149">
        <v>26000</v>
      </c>
      <c r="L29" s="3149">
        <v>22000</v>
      </c>
      <c r="M29" s="3149">
        <v>6400</v>
      </c>
      <c r="N29" s="3150">
        <v>12000</v>
      </c>
      <c r="O29" s="3150">
        <v>15000</v>
      </c>
      <c r="P29" s="3150">
        <v>26992.67</v>
      </c>
      <c r="Q29" s="3150">
        <v>48.07</v>
      </c>
      <c r="R29" s="3150">
        <v>10825.55</v>
      </c>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2437"/>
      <c r="I30" s="3149">
        <v>24000</v>
      </c>
      <c r="J30" s="3149">
        <v>12000</v>
      </c>
      <c r="K30" s="3149">
        <v>6000</v>
      </c>
      <c r="L30" s="3149" t="s">
        <v>3429</v>
      </c>
      <c r="M30" s="3149" t="s">
        <v>3429</v>
      </c>
      <c r="N30" s="3150" t="s">
        <v>3429</v>
      </c>
      <c r="O30" s="3150" t="s">
        <v>3429</v>
      </c>
      <c r="P30" s="3150">
        <v>889.85</v>
      </c>
      <c r="Q30" s="3150">
        <v>0</v>
      </c>
      <c r="R30" s="3150" t="s">
        <v>3429</v>
      </c>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3">
        <f>B30-B32</f>
        <v>200</v>
      </c>
      <c r="C31" s="2451"/>
      <c r="D31" s="2452"/>
      <c r="E31" s="2438"/>
      <c r="F31" s="2438"/>
      <c r="G31" s="2437"/>
      <c r="H31" s="2437"/>
      <c r="I31" s="3151">
        <f t="shared" ref="I31:R31" si="12">I32+I36+I35</f>
        <v>8084</v>
      </c>
      <c r="J31" s="3151">
        <f t="shared" si="12"/>
        <v>5893</v>
      </c>
      <c r="K31" s="3151">
        <f t="shared" si="12"/>
        <v>4402</v>
      </c>
      <c r="L31" s="3151">
        <f t="shared" si="12"/>
        <v>5920</v>
      </c>
      <c r="M31" s="3151">
        <f t="shared" si="12"/>
        <v>3380</v>
      </c>
      <c r="N31" s="3151">
        <f t="shared" si="12"/>
        <v>2202</v>
      </c>
      <c r="O31" s="3151">
        <f t="shared" si="12"/>
        <v>2572</v>
      </c>
      <c r="P31" s="3151">
        <f t="shared" si="12"/>
        <v>2407.0470946371738</v>
      </c>
      <c r="Q31" s="3151"/>
      <c r="R31" s="3151">
        <f t="shared" si="12"/>
        <v>2206</v>
      </c>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c r="F32" s="2437"/>
      <c r="G32" s="2437"/>
      <c r="H32" s="2437"/>
      <c r="I32" s="3152">
        <v>3802</v>
      </c>
      <c r="J32" s="3152">
        <v>3061</v>
      </c>
      <c r="K32" s="3152">
        <v>2273</v>
      </c>
      <c r="L32" s="3152">
        <v>1795</v>
      </c>
      <c r="M32" s="3152">
        <v>1595</v>
      </c>
      <c r="N32" s="3152">
        <v>1520</v>
      </c>
      <c r="O32" s="3152">
        <v>1800</v>
      </c>
      <c r="P32" s="3152">
        <v>1600</v>
      </c>
      <c r="Q32" s="3152"/>
      <c r="R32" s="3152">
        <v>1503</v>
      </c>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0.05</v>
      </c>
      <c r="C33" s="2562" t="s">
        <v>3378</v>
      </c>
      <c r="D33" s="2449"/>
      <c r="E33" s="2437"/>
      <c r="F33" s="2437"/>
      <c r="G33" s="2437"/>
      <c r="H33" s="2437"/>
      <c r="I33" s="3149">
        <v>3375</v>
      </c>
      <c r="J33" s="3149">
        <v>2440</v>
      </c>
      <c r="K33" s="3149">
        <v>1670</v>
      </c>
      <c r="L33" s="3149">
        <v>1795</v>
      </c>
      <c r="M33" s="3149">
        <v>1595</v>
      </c>
      <c r="N33" s="3150">
        <v>1520</v>
      </c>
      <c r="O33" s="3150">
        <v>1800</v>
      </c>
      <c r="P33" s="3150">
        <v>1600</v>
      </c>
      <c r="Q33" s="3150">
        <v>2000</v>
      </c>
      <c r="R33" s="3150">
        <v>1443</v>
      </c>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5">
        <v>0</v>
      </c>
      <c r="C34" s="2562" t="s">
        <v>2295</v>
      </c>
      <c r="D34" s="2457" t="s">
        <v>2302</v>
      </c>
      <c r="E34" s="2455"/>
      <c r="F34" s="2437"/>
      <c r="G34" s="2437"/>
      <c r="H34" s="2437"/>
      <c r="I34" s="3149">
        <v>5582</v>
      </c>
      <c r="J34" s="3149">
        <v>5390</v>
      </c>
      <c r="K34" s="3149">
        <v>4887</v>
      </c>
      <c r="L34" s="3149" t="s">
        <v>3429</v>
      </c>
      <c r="M34" s="3149" t="s">
        <v>3429</v>
      </c>
      <c r="N34" s="3150"/>
      <c r="O34" s="3150"/>
      <c r="P34" s="3150">
        <v>1600</v>
      </c>
      <c r="Q34" s="3150"/>
      <c r="R34" s="3150"/>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2">
        <v>200</v>
      </c>
      <c r="C35" s="2562" t="s">
        <v>2296</v>
      </c>
      <c r="D35" s="2452"/>
      <c r="E35" s="2438"/>
      <c r="F35" s="2438"/>
      <c r="G35" s="2437"/>
      <c r="H35" s="2437"/>
      <c r="I35" s="3153">
        <v>1613</v>
      </c>
      <c r="J35" s="3153">
        <v>474</v>
      </c>
      <c r="K35" s="3153">
        <v>569</v>
      </c>
      <c r="L35" s="3153">
        <v>700</v>
      </c>
      <c r="M35" s="3153">
        <v>700</v>
      </c>
      <c r="N35" s="3153">
        <v>100</v>
      </c>
      <c r="O35" s="3153">
        <v>100</v>
      </c>
      <c r="P35" s="3153">
        <v>350</v>
      </c>
      <c r="Q35" s="3153"/>
      <c r="R35" s="3153">
        <v>60</v>
      </c>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3379</v>
      </c>
      <c r="D36" s="2449"/>
      <c r="E36" s="2437"/>
      <c r="F36" s="2437"/>
      <c r="G36" s="2437"/>
      <c r="H36" s="2437"/>
      <c r="I36" s="3154">
        <v>2669</v>
      </c>
      <c r="J36" s="3154">
        <v>2358</v>
      </c>
      <c r="K36" s="3154">
        <v>1560</v>
      </c>
      <c r="L36" s="3154">
        <v>3425</v>
      </c>
      <c r="M36" s="3154">
        <v>1085</v>
      </c>
      <c r="N36" s="3154">
        <v>582</v>
      </c>
      <c r="O36" s="3154">
        <v>672</v>
      </c>
      <c r="P36" s="3154">
        <f>420+1000000/P29</f>
        <v>457.0470946371737</v>
      </c>
      <c r="Q36" s="3154"/>
      <c r="R36" s="3154">
        <v>643</v>
      </c>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7">
        <v>0.02</v>
      </c>
      <c r="C37" s="2562" t="s">
        <v>2297</v>
      </c>
      <c r="D37" s="2449"/>
      <c r="E37" s="2437"/>
      <c r="F37" s="2437"/>
      <c r="G37" s="2437"/>
      <c r="H37" s="2437"/>
      <c r="I37" s="3155"/>
      <c r="J37" s="3155"/>
      <c r="K37" s="3155"/>
      <c r="L37" s="3155"/>
      <c r="M37" s="3155"/>
      <c r="N37" s="3155"/>
      <c r="O37" s="3155"/>
      <c r="P37" s="3155"/>
      <c r="Q37" s="3155"/>
      <c r="R37" s="3155"/>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5">
        <v>0.02</v>
      </c>
      <c r="C38" s="2562" t="s">
        <v>2297</v>
      </c>
      <c r="D38" s="2449"/>
      <c r="E38" s="2437"/>
      <c r="F38" s="2437"/>
      <c r="G38" s="2437"/>
      <c r="H38" s="2437"/>
      <c r="I38" s="3155"/>
      <c r="J38" s="3155"/>
      <c r="K38" s="3155"/>
      <c r="L38" s="3155"/>
      <c r="M38" s="3155"/>
      <c r="N38" s="3155"/>
      <c r="O38" s="3155"/>
      <c r="P38" s="3155">
        <v>138</v>
      </c>
      <c r="Q38" s="3155"/>
      <c r="R38" s="3155"/>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8">
        <f ca="1">存贷款利率!I1</f>
        <v>1.4999999999999999E-2</v>
      </c>
      <c r="C39" s="2454"/>
      <c r="D39" s="2449"/>
      <c r="E39" s="2437"/>
      <c r="F39" s="2437"/>
      <c r="G39" s="2437"/>
      <c r="H39" s="2437"/>
      <c r="I39" s="3155"/>
      <c r="J39" s="3155"/>
      <c r="K39" s="3155"/>
      <c r="L39" s="3155"/>
      <c r="M39" s="3155"/>
      <c r="N39" s="3155"/>
      <c r="O39" s="3155"/>
      <c r="P39" s="3155"/>
      <c r="Q39" s="3155"/>
      <c r="R39" s="3155"/>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2312</v>
      </c>
      <c r="B40" s="1014">
        <f ca="1">IF(A40="利息：取LPR",存贷款利率!G1,存贷款利率!G1+C40)</f>
        <v>3.1E-2</v>
      </c>
      <c r="C40" s="2570">
        <v>5.0000000000000001E-3</v>
      </c>
      <c r="D40" s="2446"/>
      <c r="E40" s="2449"/>
      <c r="F40" s="2437"/>
      <c r="G40" s="2437"/>
      <c r="H40" s="2437"/>
      <c r="I40" s="3155"/>
      <c r="J40" s="3155"/>
      <c r="K40" s="3155"/>
      <c r="L40" s="3155"/>
      <c r="M40" s="3155"/>
      <c r="N40" s="3155"/>
      <c r="O40" s="3155"/>
      <c r="P40" s="3155"/>
      <c r="Q40" s="3155"/>
      <c r="R40" s="3155"/>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8">
        <f>B42+B43</f>
        <v>5.6000000000000001E-2</v>
      </c>
      <c r="C41" s="2451"/>
      <c r="D41" s="2446"/>
      <c r="E41" s="2449"/>
      <c r="F41" s="2437"/>
      <c r="G41" s="2437"/>
      <c r="H41" s="2437"/>
      <c r="I41" s="3156">
        <f t="shared" ref="I41:O41" si="13">I32/I31</f>
        <v>0.47031172686788719</v>
      </c>
      <c r="J41" s="3156">
        <f t="shared" si="13"/>
        <v>0.51942983200407267</v>
      </c>
      <c r="K41" s="3156">
        <f t="shared" si="13"/>
        <v>0.516356201726488</v>
      </c>
      <c r="L41" s="3156">
        <f t="shared" si="13"/>
        <v>0.30320945945945948</v>
      </c>
      <c r="M41" s="3156">
        <f t="shared" si="13"/>
        <v>0.47189349112426038</v>
      </c>
      <c r="N41" s="3156">
        <f t="shared" si="13"/>
        <v>0.6902815622161671</v>
      </c>
      <c r="O41" s="3156">
        <f t="shared" si="13"/>
        <v>0.69984447900466562</v>
      </c>
      <c r="P41" s="3156"/>
      <c r="Q41" s="3156"/>
      <c r="R41" s="3156">
        <f t="shared" ref="R41" si="14">R32/R31</f>
        <v>0.68132366273798728</v>
      </c>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09">
        <v>0.05</v>
      </c>
      <c r="C42" s="2456">
        <f>IF(B2&lt;DATE(2016,5,1),0,B42)</f>
        <v>0.05</v>
      </c>
      <c r="D42" s="2449"/>
      <c r="E42" s="2437"/>
      <c r="F42" s="2437"/>
      <c r="G42" s="2437"/>
      <c r="H42" s="2437"/>
      <c r="I42" s="3156">
        <f t="shared" ref="I42:O42" si="15">I35/I31</f>
        <v>0.19952993567540822</v>
      </c>
      <c r="J42" s="3156">
        <f t="shared" si="15"/>
        <v>8.0434413711182762E-2</v>
      </c>
      <c r="K42" s="3156">
        <f t="shared" si="15"/>
        <v>0.12925942753293956</v>
      </c>
      <c r="L42" s="3156">
        <f t="shared" si="15"/>
        <v>0.11824324324324324</v>
      </c>
      <c r="M42" s="3156">
        <f t="shared" si="15"/>
        <v>0.20710059171597633</v>
      </c>
      <c r="N42" s="3156">
        <f t="shared" si="15"/>
        <v>4.5413260672116255E-2</v>
      </c>
      <c r="O42" s="3156">
        <f t="shared" si="15"/>
        <v>3.8880248833592534E-2</v>
      </c>
      <c r="P42" s="3156"/>
      <c r="Q42" s="3156"/>
      <c r="R42" s="3156">
        <f t="shared" ref="R42" si="16">R35/R31</f>
        <v>2.7198549410698096E-2</v>
      </c>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0">
        <f>B42*(B44+B45+B46)+B47</f>
        <v>6.000000000000001E-3</v>
      </c>
      <c r="C43" s="2451"/>
      <c r="D43" s="2449"/>
      <c r="E43" s="2437"/>
      <c r="F43" s="2437"/>
      <c r="G43" s="2437"/>
      <c r="H43" s="2437"/>
      <c r="I43" s="3156">
        <f t="shared" ref="I43:O43" si="17">I36/I31</f>
        <v>0.33015833745670459</v>
      </c>
      <c r="J43" s="3156">
        <f t="shared" si="17"/>
        <v>0.40013575428474463</v>
      </c>
      <c r="K43" s="3156">
        <f t="shared" si="17"/>
        <v>0.35438437074057244</v>
      </c>
      <c r="L43" s="3156">
        <f t="shared" si="17"/>
        <v>0.57854729729729726</v>
      </c>
      <c r="M43" s="3156">
        <f t="shared" si="17"/>
        <v>0.32100591715976329</v>
      </c>
      <c r="N43" s="3156">
        <f t="shared" si="17"/>
        <v>0.26430517711171664</v>
      </c>
      <c r="O43" s="3156">
        <f t="shared" si="17"/>
        <v>0.26127527216174184</v>
      </c>
      <c r="P43" s="3156"/>
      <c r="Q43" s="3156"/>
      <c r="R43" s="3156">
        <f t="shared" ref="R43" si="18">R36/R31</f>
        <v>0.29147778785131462</v>
      </c>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1">
        <v>7.0000000000000007E-2</v>
      </c>
      <c r="C44" s="2562" t="s">
        <v>2306</v>
      </c>
      <c r="D44" s="2449"/>
      <c r="E44" s="2437"/>
      <c r="F44" s="2437"/>
      <c r="G44" s="2437"/>
      <c r="H44" s="2437"/>
      <c r="I44" s="3155"/>
      <c r="J44" s="3155"/>
      <c r="K44" s="3155"/>
      <c r="L44" s="3155"/>
      <c r="M44" s="3155"/>
      <c r="N44" s="3155"/>
      <c r="O44" s="3155"/>
      <c r="P44" s="3155">
        <f>P38/P31</f>
        <v>5.733165765948648E-2</v>
      </c>
      <c r="Q44" s="3155"/>
      <c r="R44" s="3155"/>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09">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09">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3">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6">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29</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mergeCells count="3">
    <mergeCell ref="I23:M23"/>
    <mergeCell ref="N23:R23"/>
    <mergeCell ref="P24:Q24"/>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7" customFormat="1" ht="18" thickBot="1">
      <c r="A1" s="3268" t="s">
        <v>2286</v>
      </c>
      <c r="B1" s="3269"/>
      <c r="C1" s="3269"/>
      <c r="D1" s="3269"/>
      <c r="E1" s="3269"/>
      <c r="F1" s="3269"/>
      <c r="G1" s="326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7.200000000000003">
      <c r="A4" s="2246"/>
      <c r="B4" s="314" t="s">
        <v>2254</v>
      </c>
      <c r="C4" s="2267" t="s">
        <v>2255</v>
      </c>
      <c r="D4" s="2264"/>
      <c r="E4" s="2268"/>
      <c r="F4" s="1280" t="s">
        <v>2256</v>
      </c>
      <c r="G4" s="2269" t="s">
        <v>2257</v>
      </c>
      <c r="H4" s="750"/>
      <c r="I4" s="750"/>
      <c r="J4" s="750"/>
      <c r="K4" s="750"/>
      <c r="L4" s="750"/>
      <c r="M4" s="750"/>
      <c r="N4" s="750"/>
      <c r="O4" s="750"/>
      <c r="P4" s="750"/>
      <c r="Q4" s="750"/>
    </row>
    <row r="5" spans="1:29" ht="37.200000000000003">
      <c r="A5" s="2246"/>
      <c r="B5" s="314" t="s">
        <v>2258</v>
      </c>
      <c r="C5" s="2267" t="s">
        <v>2259</v>
      </c>
      <c r="D5" s="2264"/>
      <c r="E5" s="2268"/>
      <c r="F5" s="314" t="s">
        <v>2260</v>
      </c>
      <c r="G5" s="2269" t="s">
        <v>2261</v>
      </c>
      <c r="H5" s="750"/>
      <c r="I5" s="750"/>
      <c r="J5" s="750"/>
      <c r="K5" s="750"/>
      <c r="L5" s="750"/>
      <c r="M5" s="750"/>
      <c r="N5" s="750"/>
      <c r="O5" s="750"/>
      <c r="P5" s="750"/>
      <c r="Q5" s="750"/>
    </row>
    <row r="6" spans="1:29" ht="48">
      <c r="A6" s="2246"/>
      <c r="B6" s="314" t="s">
        <v>2262</v>
      </c>
      <c r="C6" s="2269" t="s">
        <v>2257</v>
      </c>
      <c r="D6" s="2264"/>
      <c r="E6" s="2268"/>
      <c r="F6" s="314" t="s">
        <v>2263</v>
      </c>
      <c r="G6" s="2269" t="s">
        <v>2264</v>
      </c>
      <c r="H6" s="750"/>
      <c r="I6" s="750"/>
      <c r="J6" s="750"/>
      <c r="K6" s="750"/>
      <c r="L6" s="750"/>
      <c r="M6" s="750"/>
      <c r="N6" s="750"/>
      <c r="O6" s="750"/>
      <c r="P6" s="750"/>
      <c r="Q6" s="750"/>
    </row>
    <row r="7" spans="1:29" ht="36.6" thickBot="1">
      <c r="A7" s="2246"/>
      <c r="B7" s="314" t="s">
        <v>2260</v>
      </c>
      <c r="C7" s="2269" t="s">
        <v>2261</v>
      </c>
      <c r="D7" s="2243"/>
      <c r="E7" s="2270"/>
      <c r="F7" s="2271" t="s">
        <v>2265</v>
      </c>
      <c r="G7" s="2272" t="s">
        <v>2266</v>
      </c>
      <c r="H7" s="750"/>
      <c r="I7" s="750"/>
      <c r="J7" s="750"/>
      <c r="K7" s="750"/>
      <c r="L7" s="750"/>
      <c r="M7" s="750"/>
      <c r="N7" s="750"/>
      <c r="O7" s="750"/>
      <c r="P7" s="750"/>
      <c r="Q7" s="750"/>
    </row>
    <row r="8" spans="1:29" ht="24">
      <c r="A8" s="2246"/>
      <c r="B8" s="314" t="s">
        <v>2263</v>
      </c>
      <c r="C8" s="2269" t="s">
        <v>2264</v>
      </c>
      <c r="D8" s="2243"/>
      <c r="E8" s="2243"/>
      <c r="F8" s="120"/>
      <c r="G8" s="120"/>
      <c r="H8" s="750"/>
      <c r="I8" s="750"/>
      <c r="J8" s="750"/>
      <c r="K8" s="750"/>
      <c r="L8" s="750"/>
      <c r="M8" s="750"/>
      <c r="N8" s="750"/>
      <c r="O8" s="750"/>
      <c r="P8" s="750"/>
      <c r="Q8" s="750"/>
    </row>
    <row r="9" spans="1:29" ht="24">
      <c r="A9" s="2246"/>
      <c r="B9" s="314" t="s">
        <v>2267</v>
      </c>
      <c r="C9" s="2267" t="s">
        <v>2268</v>
      </c>
      <c r="D9" s="2264"/>
      <c r="E9" s="2243"/>
      <c r="F9" s="120"/>
      <c r="G9" s="120"/>
      <c r="H9" s="750"/>
      <c r="I9" s="750"/>
      <c r="J9" s="750"/>
      <c r="K9" s="750"/>
      <c r="L9" s="750"/>
      <c r="M9" s="750"/>
      <c r="N9" s="750"/>
      <c r="O9" s="750"/>
      <c r="P9" s="750"/>
      <c r="Q9" s="750"/>
    </row>
    <row r="10" spans="1:29" ht="14.4" thickBot="1">
      <c r="A10" s="2247"/>
      <c r="B10" s="2273" t="s">
        <v>2269</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4"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4" t="s">
        <v>2263</v>
      </c>
      <c r="G20" s="2292" t="str">
        <f>G6</f>
        <v>估价对象所在区域基础设施水平</v>
      </c>
    </row>
    <row r="21" spans="1:17" ht="26.4">
      <c r="A21" s="2250"/>
      <c r="B21" s="314" t="s">
        <v>2260</v>
      </c>
      <c r="C21" s="2292" t="str">
        <f>C7</f>
        <v>估价对象所在区域公共配套设施齐备情况</v>
      </c>
      <c r="D21" s="2264"/>
      <c r="E21" s="2251"/>
      <c r="F21" s="2291" t="s">
        <v>2278</v>
      </c>
      <c r="G21" s="2294"/>
    </row>
    <row r="22" spans="1:17" ht="13.5" customHeight="1">
      <c r="A22" s="2250"/>
      <c r="B22" s="314" t="s">
        <v>2263</v>
      </c>
      <c r="C22" s="2292" t="str">
        <f>C8</f>
        <v>估价对象所在区域基础设施水平</v>
      </c>
      <c r="D22" s="2264"/>
      <c r="E22" s="2251"/>
      <c r="F22" s="2291" t="s">
        <v>2269</v>
      </c>
      <c r="G22" s="2293"/>
    </row>
    <row r="23" spans="1:17" s="750" customFormat="1" ht="14.4"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4.4"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1946.52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45625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981.24069999999995</v>
      </c>
      <c r="C5" s="2298">
        <f ca="1">IF(B5=D14,结果表!H102,ROUND(B5*10000/$B$1,0))</f>
        <v>5041</v>
      </c>
      <c r="D5" s="2298" t="e">
        <f ca="1">ROUND(B5*10000/$B$2,0)</f>
        <v>#DIV/0!</v>
      </c>
      <c r="E5" s="2459"/>
      <c r="F5" s="2460"/>
      <c r="G5" s="2460"/>
      <c r="H5" s="2460"/>
      <c r="I5" s="2460"/>
      <c r="J5" s="2460"/>
      <c r="K5" s="2460"/>
    </row>
    <row r="6" spans="1:11" ht="15.6">
      <c r="A6" s="2298" t="s">
        <v>656</v>
      </c>
      <c r="B6" s="2298">
        <f>SUM(G14:G23)</f>
        <v>0</v>
      </c>
      <c r="C6" s="2298">
        <f ca="1">IF(B6=G14,结果表!H108,ROUND(B6*10000/$B$1,0))</f>
        <v>5041</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3358</v>
      </c>
      <c r="D10" s="2298" t="s">
        <v>3359</v>
      </c>
      <c r="E10" s="3134"/>
      <c r="F10" s="3138" t="s">
        <v>3360</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1946.52</v>
      </c>
      <c r="C14" s="2304"/>
      <c r="D14" s="2304">
        <f ca="1">结果表!H101</f>
        <v>981.24069999999995</v>
      </c>
      <c r="E14" s="2304">
        <f ca="1">ROUND(D14*10000/B14,0)</f>
        <v>5041</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26" sqref="H26"/>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04" t="str">
        <f>项目基本情况!S2</f>
        <v>北京市平谷区谷丰东路30号院14号楼-1至5层101房地产</v>
      </c>
      <c r="B2" s="3305"/>
      <c r="C2" s="3305"/>
      <c r="D2" s="3305"/>
      <c r="E2" s="3305"/>
      <c r="F2" s="3305"/>
      <c r="G2" s="3305"/>
      <c r="H2" s="3305"/>
      <c r="I2" s="3306"/>
    </row>
    <row r="3" spans="1:12" ht="13.2">
      <c r="A3" s="3308" t="s">
        <v>1264</v>
      </c>
      <c r="B3" s="3309"/>
      <c r="C3" s="3309"/>
      <c r="D3" s="3309"/>
      <c r="E3" s="3309"/>
      <c r="F3" s="3309"/>
      <c r="G3" s="3309"/>
      <c r="H3" s="3309"/>
      <c r="I3" s="3309"/>
    </row>
    <row r="4" spans="1:12" ht="14.4">
      <c r="A4" s="1623" t="s">
        <v>1265</v>
      </c>
      <c r="B4" s="1624" t="s">
        <v>1266</v>
      </c>
      <c r="C4" s="1625" t="s">
        <v>3484</v>
      </c>
      <c r="D4" s="1625" t="s">
        <v>3430</v>
      </c>
      <c r="E4" s="3310" t="s">
        <v>1267</v>
      </c>
      <c r="F4" s="3311"/>
      <c r="G4" s="3311"/>
      <c r="H4" s="3311"/>
      <c r="I4" s="331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84" t="s">
        <v>1268</v>
      </c>
      <c r="B5" s="3271">
        <v>25</v>
      </c>
      <c r="C5" s="3287"/>
      <c r="D5" s="3307"/>
      <c r="E5" s="122" t="s">
        <v>1269</v>
      </c>
      <c r="F5" s="1626"/>
      <c r="G5" s="1626"/>
      <c r="H5" s="1626"/>
      <c r="I5" s="1280"/>
    </row>
    <row r="6" spans="1:12" ht="13.2">
      <c r="A6" s="3284"/>
      <c r="B6" s="3271"/>
      <c r="C6" s="3288"/>
      <c r="D6" s="3307"/>
      <c r="E6" s="122" t="s">
        <v>1270</v>
      </c>
      <c r="F6" s="1626"/>
      <c r="G6" s="1626"/>
      <c r="H6" s="1626"/>
      <c r="I6" s="1280"/>
    </row>
    <row r="7" spans="1:12" ht="13.2">
      <c r="A7" s="3284"/>
      <c r="B7" s="3271"/>
      <c r="C7" s="3289"/>
      <c r="D7" s="3307"/>
      <c r="E7" s="122" t="s">
        <v>1271</v>
      </c>
      <c r="F7" s="1626"/>
      <c r="G7" s="1626"/>
      <c r="H7" s="1626"/>
      <c r="I7" s="1280"/>
    </row>
    <row r="8" spans="1:12" ht="13.2">
      <c r="A8" s="3284" t="s">
        <v>1272</v>
      </c>
      <c r="B8" s="3271">
        <v>15</v>
      </c>
      <c r="C8" s="3287"/>
      <c r="D8" s="3307"/>
      <c r="E8" s="122" t="s">
        <v>1273</v>
      </c>
      <c r="F8" s="1626"/>
      <c r="G8" s="1626"/>
      <c r="H8" s="1626"/>
      <c r="I8" s="1280"/>
    </row>
    <row r="9" spans="1:12" ht="13.2">
      <c r="A9" s="3284"/>
      <c r="B9" s="3271"/>
      <c r="C9" s="3289"/>
      <c r="D9" s="3307"/>
      <c r="E9" s="122" t="s">
        <v>1274</v>
      </c>
      <c r="F9" s="1626"/>
      <c r="G9" s="1626"/>
      <c r="H9" s="1626"/>
      <c r="I9" s="1280"/>
    </row>
    <row r="10" spans="1:12" ht="13.2">
      <c r="A10" s="3284" t="s">
        <v>1275</v>
      </c>
      <c r="B10" s="3271">
        <v>15</v>
      </c>
      <c r="C10" s="3287"/>
      <c r="D10" s="3307"/>
      <c r="E10" s="122" t="s">
        <v>1276</v>
      </c>
      <c r="F10" s="1626"/>
      <c r="G10" s="1626"/>
      <c r="H10" s="1626"/>
      <c r="I10" s="1280"/>
    </row>
    <row r="11" spans="1:12" ht="13.2">
      <c r="A11" s="3284"/>
      <c r="B11" s="3271"/>
      <c r="C11" s="3289"/>
      <c r="D11" s="3307"/>
      <c r="E11" s="122" t="s">
        <v>1277</v>
      </c>
      <c r="F11" s="1626"/>
      <c r="G11" s="1626"/>
      <c r="H11" s="1626"/>
      <c r="I11" s="1280"/>
    </row>
    <row r="12" spans="1:12" ht="13.2">
      <c r="A12" s="3284" t="s">
        <v>1278</v>
      </c>
      <c r="B12" s="3271">
        <v>15</v>
      </c>
      <c r="C12" s="3287"/>
      <c r="D12" s="3307"/>
      <c r="E12" s="122" t="s">
        <v>1279</v>
      </c>
      <c r="F12" s="1626"/>
      <c r="G12" s="1626"/>
      <c r="H12" s="1626"/>
      <c r="I12" s="1280"/>
    </row>
    <row r="13" spans="1:12" ht="13.2">
      <c r="A13" s="3284"/>
      <c r="B13" s="3271"/>
      <c r="C13" s="3289"/>
      <c r="D13" s="3307"/>
      <c r="E13" s="122" t="s">
        <v>1280</v>
      </c>
      <c r="F13" s="1626"/>
      <c r="G13" s="1626"/>
      <c r="H13" s="1626"/>
      <c r="I13" s="1280"/>
    </row>
    <row r="14" spans="1:12" ht="13.2">
      <c r="A14" s="3284" t="s">
        <v>1281</v>
      </c>
      <c r="B14" s="3271">
        <v>30</v>
      </c>
      <c r="C14" s="3287">
        <v>5</v>
      </c>
      <c r="D14" s="3307">
        <v>5</v>
      </c>
      <c r="E14" s="122" t="s">
        <v>1282</v>
      </c>
      <c r="F14" s="1626"/>
      <c r="G14" s="1626"/>
      <c r="H14" s="1626"/>
      <c r="I14" s="1280"/>
    </row>
    <row r="15" spans="1:12" ht="13.2">
      <c r="A15" s="3284"/>
      <c r="B15" s="3271"/>
      <c r="C15" s="3288"/>
      <c r="D15" s="3307"/>
      <c r="E15" s="122" t="s">
        <v>1283</v>
      </c>
      <c r="F15" s="1626"/>
      <c r="G15" s="1626"/>
      <c r="H15" s="1626"/>
      <c r="I15" s="1280"/>
    </row>
    <row r="16" spans="1:12" ht="13.2">
      <c r="A16" s="3284"/>
      <c r="B16" s="3271"/>
      <c r="C16" s="3289"/>
      <c r="D16" s="3307"/>
      <c r="E16" s="122" t="s">
        <v>1284</v>
      </c>
      <c r="F16" s="1626"/>
      <c r="G16" s="1626"/>
      <c r="H16" s="1626"/>
      <c r="I16" s="1280"/>
    </row>
    <row r="17" spans="1:36" ht="14.4">
      <c r="A17" s="1627" t="s">
        <v>1285</v>
      </c>
      <c r="B17" s="54"/>
      <c r="C17" s="123">
        <f>SUM(C5:C16)</f>
        <v>5</v>
      </c>
      <c r="D17" s="123">
        <f>SUM(D5:D16)</f>
        <v>5</v>
      </c>
      <c r="E17" s="120"/>
      <c r="F17" s="120"/>
      <c r="G17" s="120"/>
      <c r="H17" s="120"/>
      <c r="I17" s="120"/>
      <c r="K17" s="293"/>
      <c r="L17" s="293" t="s">
        <v>1286</v>
      </c>
      <c r="M17" s="293" t="s">
        <v>1287</v>
      </c>
    </row>
    <row r="18" spans="1:36" ht="31.95" customHeight="1" thickBot="1">
      <c r="A18" s="1628" t="s">
        <v>1288</v>
      </c>
      <c r="B18" s="1541"/>
      <c r="C18" s="124">
        <f>ROUND(C17/SUM(C17:D17),2)</f>
        <v>0.5</v>
      </c>
      <c r="D18" s="124">
        <f>1-C18</f>
        <v>0.5</v>
      </c>
      <c r="E18" s="3294" t="s">
        <v>2131</v>
      </c>
      <c r="F18" s="3295"/>
      <c r="G18" s="3295"/>
      <c r="H18" s="3295"/>
      <c r="I18" s="3295"/>
      <c r="K18" s="293" t="s">
        <v>1289</v>
      </c>
      <c r="L18" s="293">
        <f>IF(C1="",'数据-汇总表'!E3,SUMIF(项目类型,C1,'数据-汇总表'!E17:E26)+SUMIF(项目类型,C1,'数据-汇总表'!I17:I26))</f>
        <v>1946.52</v>
      </c>
      <c r="M18" s="293">
        <f>IF(C1="",'数据-汇总表'!E3,SUMIF(项目类型,C1,'数据-汇总表'!E17:E26))</f>
        <v>1946.52</v>
      </c>
    </row>
    <row r="19" spans="1:36" ht="14.4">
      <c r="A19" s="1629" t="s">
        <v>1290</v>
      </c>
      <c r="B19" s="1630" t="s">
        <v>1291</v>
      </c>
      <c r="C19" s="125">
        <f ca="1">SUMIF(INDIRECT("'"&amp;C4&amp;"'"&amp;"!A:A"),结果表!B19,INDIRECT("'"&amp;C4&amp;"'"&amp;"!B:B"))</f>
        <v>1022.2030999999999</v>
      </c>
      <c r="D19" s="126">
        <f ca="1">SUMIF(INDIRECT("'"&amp;D4&amp;"'"&amp;"!A:A"),结果表!B19,INDIRECT("'"&amp;D4&amp;"'"&amp;"!B:B"))</f>
        <v>940.12049999999999</v>
      </c>
      <c r="E19" s="1629" t="s">
        <v>1292</v>
      </c>
      <c r="F19" s="1630" t="s">
        <v>1291</v>
      </c>
      <c r="G19" s="127">
        <f ca="1">ROUND(C19*$C$18+D19*$D$18,0)</f>
        <v>981</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SUMIF(INDIRECT("'"&amp;C4&amp;"'"&amp;"!A:A"),结果表!B20,INDIRECT("'"&amp;C4&amp;"'"&amp;"!B:B"))</f>
        <v>5251</v>
      </c>
      <c r="D20" s="129">
        <f ca="1">SUMIF(INDIRECT("'"&amp;D4&amp;"'"&amp;"!A:A"),结果表!B20,INDIRECT("'"&amp;D4&amp;"'"&amp;"!B:B"))</f>
        <v>4830</v>
      </c>
      <c r="E20" s="1632"/>
      <c r="F20" s="43" t="s">
        <v>1295</v>
      </c>
      <c r="G20" s="130">
        <f ca="1">ROUND(C20*$C$18+D20*$D$18,0)</f>
        <v>5041</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8.7310722402075047E-2</v>
      </c>
      <c r="E22" s="120"/>
      <c r="F22" s="120"/>
      <c r="G22" s="120"/>
      <c r="H22" s="120"/>
      <c r="I22" s="120"/>
    </row>
    <row r="23" spans="1:36" ht="13.8" thickBot="1">
      <c r="A23" s="645"/>
      <c r="B23" s="645"/>
      <c r="C23" s="645"/>
      <c r="D23" s="645"/>
      <c r="E23" s="120"/>
      <c r="F23" s="120"/>
      <c r="G23" s="120"/>
      <c r="H23" s="120"/>
      <c r="I23" s="120"/>
    </row>
    <row r="24" spans="1:36" ht="14.4">
      <c r="A24" s="3278" t="s">
        <v>1299</v>
      </c>
      <c r="B24" s="1630" t="s">
        <v>1291</v>
      </c>
      <c r="C24" s="127">
        <f>IF(B30=0,0,D30)</f>
        <v>0</v>
      </c>
      <c r="D24" s="1636"/>
      <c r="E24" s="120"/>
      <c r="F24" s="120"/>
      <c r="G24" s="120"/>
      <c r="H24" s="120"/>
      <c r="I24" s="120"/>
    </row>
    <row r="25" spans="1:36" ht="14.4">
      <c r="A25" s="3279"/>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5041</v>
      </c>
      <c r="D32" s="1640" t="s">
        <v>3486</v>
      </c>
      <c r="E32" s="120"/>
      <c r="F32" s="120"/>
      <c r="G32" s="120"/>
      <c r="H32" s="120"/>
      <c r="I32" s="120"/>
    </row>
    <row r="33" spans="1:15" ht="14.4">
      <c r="A33" s="739" t="s">
        <v>1306</v>
      </c>
      <c r="B33" s="122"/>
      <c r="C33" s="1641" t="s">
        <v>3487</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298" t="s">
        <v>1312</v>
      </c>
      <c r="B36" s="1651" t="s">
        <v>1313</v>
      </c>
      <c r="C36" s="136"/>
      <c r="D36" s="1652"/>
      <c r="E36" s="1566"/>
      <c r="F36" s="1653"/>
      <c r="G36" s="120"/>
      <c r="H36" s="120"/>
      <c r="I36" s="120"/>
    </row>
    <row r="37" spans="1:15" ht="15" thickBot="1">
      <c r="A37" s="3299"/>
      <c r="B37" s="1554" t="s">
        <v>1314</v>
      </c>
      <c r="C37" s="138"/>
      <c r="D37" s="1070"/>
      <c r="E37" s="1070"/>
      <c r="F37" s="1653"/>
      <c r="G37" s="120"/>
      <c r="H37" s="120"/>
      <c r="I37" s="120"/>
    </row>
    <row r="38" spans="1:15" ht="15" thickBot="1">
      <c r="A38" s="3300"/>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75" t="s">
        <v>1326</v>
      </c>
      <c r="B45" s="3276"/>
      <c r="C45" s="3277"/>
      <c r="D45" s="146">
        <f ca="1">ROUND(H101*F45,0)</f>
        <v>981</v>
      </c>
      <c r="E45" s="147" t="s">
        <v>1327</v>
      </c>
      <c r="F45" s="148">
        <v>1</v>
      </c>
      <c r="G45" s="149" t="s">
        <v>1328</v>
      </c>
      <c r="H45" s="120"/>
      <c r="I45" s="120"/>
      <c r="J45" s="3353" t="s">
        <v>1329</v>
      </c>
      <c r="K45" s="3353"/>
      <c r="L45" s="3353"/>
      <c r="M45" s="3353"/>
      <c r="N45" s="3353"/>
      <c r="O45" s="3353"/>
    </row>
    <row r="46" spans="1:15" ht="14.25" customHeight="1">
      <c r="A46" s="3272" t="s">
        <v>1330</v>
      </c>
      <c r="B46" s="3273"/>
      <c r="C46" s="3273"/>
      <c r="D46" s="3273"/>
      <c r="E46" s="3273"/>
      <c r="F46" s="3273"/>
      <c r="G46" s="3274"/>
      <c r="H46" s="1667"/>
      <c r="I46" s="150"/>
      <c r="J46" s="2308">
        <v>1</v>
      </c>
      <c r="K46" s="3334" t="s">
        <v>1331</v>
      </c>
      <c r="L46" s="3334"/>
      <c r="M46" s="3354"/>
      <c r="N46" s="3354"/>
      <c r="O46" s="3354"/>
    </row>
    <row r="47" spans="1:15" ht="12" customHeight="1">
      <c r="A47" s="151" t="s">
        <v>1332</v>
      </c>
      <c r="B47" s="152"/>
      <c r="C47" s="153"/>
      <c r="D47" s="1023" t="s">
        <v>1333</v>
      </c>
      <c r="E47" s="293" t="s">
        <v>1334</v>
      </c>
      <c r="F47" s="154" t="s">
        <v>1335</v>
      </c>
      <c r="G47" s="2331" t="s">
        <v>1336</v>
      </c>
      <c r="H47" s="2332"/>
      <c r="I47" s="150"/>
      <c r="J47" s="2308">
        <v>2</v>
      </c>
      <c r="K47" s="3334" t="s">
        <v>1337</v>
      </c>
      <c r="L47" s="3334"/>
      <c r="M47" s="3355">
        <f>'数据-取费表'!B2</f>
        <v>45625</v>
      </c>
      <c r="N47" s="3355"/>
      <c r="O47" s="3355"/>
    </row>
    <row r="48" spans="1:15" ht="26.4">
      <c r="A48" s="3303" t="s">
        <v>1338</v>
      </c>
      <c r="B48" s="3286"/>
      <c r="C48" s="3286"/>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34" t="s">
        <v>1340</v>
      </c>
      <c r="L48" s="3334"/>
      <c r="M48" s="3356">
        <f ca="1">H101</f>
        <v>981.24069999999995</v>
      </c>
      <c r="N48" s="3356"/>
      <c r="O48" s="3356"/>
    </row>
    <row r="49" spans="1:35" ht="25.5" customHeight="1">
      <c r="A49" s="2151" t="s">
        <v>1341</v>
      </c>
      <c r="B49" s="3270" t="s">
        <v>1342</v>
      </c>
      <c r="C49" s="3270"/>
      <c r="D49" s="1477">
        <v>0</v>
      </c>
      <c r="E49" s="315" t="s">
        <v>1343</v>
      </c>
      <c r="F49" s="2231" t="s">
        <v>28</v>
      </c>
      <c r="G49" s="3340"/>
      <c r="H49" s="2133" t="s">
        <v>2134</v>
      </c>
      <c r="I49" s="2134"/>
      <c r="J49" s="2308">
        <v>4</v>
      </c>
      <c r="K49" s="3334" t="str">
        <f>IF(项目基本情况!E8="房地产抵押价值","房地产抵押价值","抵押担保权已注销时的房地产抵押价值")</f>
        <v>房地产抵押价值</v>
      </c>
      <c r="L49" s="3334"/>
      <c r="M49" s="3356">
        <f ca="1">IF(项目基本情况!E8="房地产抵押价值",H107,H109)</f>
        <v>981.24069999999995</v>
      </c>
      <c r="N49" s="3356"/>
      <c r="O49" s="3356"/>
    </row>
    <row r="50" spans="1:35" ht="25.5" customHeight="1">
      <c r="A50" s="2336"/>
      <c r="B50" s="3270" t="s">
        <v>1344</v>
      </c>
      <c r="C50" s="3270"/>
      <c r="D50" s="2188"/>
      <c r="E50" s="322"/>
      <c r="F50" s="2231"/>
      <c r="G50" s="3341"/>
      <c r="H50" s="2135" t="s">
        <v>2135</v>
      </c>
      <c r="I50" s="2134"/>
      <c r="J50" s="3353" t="s">
        <v>1345</v>
      </c>
      <c r="K50" s="3353"/>
      <c r="L50" s="3353"/>
      <c r="M50" s="3353"/>
      <c r="N50" s="3353"/>
      <c r="O50" s="3353"/>
    </row>
    <row r="51" spans="1:35" ht="20.399999999999999" customHeight="1">
      <c r="A51" s="2337"/>
      <c r="B51" s="3270" t="s">
        <v>1346</v>
      </c>
      <c r="C51" s="3270"/>
      <c r="D51" s="1023"/>
      <c r="E51" s="318"/>
      <c r="F51" s="2231"/>
      <c r="G51" s="3342"/>
      <c r="H51" s="2135" t="s">
        <v>2136</v>
      </c>
      <c r="I51" s="2134"/>
      <c r="J51" s="2309" t="s">
        <v>1347</v>
      </c>
      <c r="K51" s="3334" t="s">
        <v>1348</v>
      </c>
      <c r="L51" s="3334"/>
      <c r="M51" s="2309" t="s">
        <v>1349</v>
      </c>
      <c r="N51" s="2309" t="s">
        <v>1350</v>
      </c>
      <c r="O51" s="2309" t="s">
        <v>1351</v>
      </c>
    </row>
    <row r="52" spans="1:35" ht="24" customHeight="1">
      <c r="A52" s="2152" t="s">
        <v>1352</v>
      </c>
      <c r="B52" s="3270" t="s">
        <v>1353</v>
      </c>
      <c r="C52" s="3270"/>
      <c r="D52" s="1023">
        <f ca="1">ROUND(D45*'数据-取费表'!B41/(1+'数据-取费表'!C42),0)</f>
        <v>52</v>
      </c>
      <c r="E52" s="1255" t="s">
        <v>1354</v>
      </c>
      <c r="F52" s="2338">
        <f>'数据-取费表'!B41</f>
        <v>5.6000000000000001E-2</v>
      </c>
      <c r="G52" s="2339"/>
      <c r="H52" s="2329"/>
      <c r="I52" s="1668"/>
      <c r="J52" s="2308">
        <v>1</v>
      </c>
      <c r="K52" s="3335" t="s">
        <v>1355</v>
      </c>
      <c r="L52" s="3335"/>
      <c r="M52" s="2310" t="b">
        <f>D48</f>
        <v>0</v>
      </c>
      <c r="N52" s="2308" t="str">
        <f>E48</f>
        <v>销售额×税（费）率</v>
      </c>
      <c r="O52" s="2311">
        <f>F48</f>
        <v>5.6000000000000001E-2</v>
      </c>
    </row>
    <row r="53" spans="1:35" ht="12" customHeight="1">
      <c r="A53" s="2152" t="s">
        <v>1356</v>
      </c>
      <c r="B53" s="3296" t="s">
        <v>2291</v>
      </c>
      <c r="C53" s="3297"/>
      <c r="D53" s="1023">
        <f ca="1">ROUND(D45*'数据-取费表'!B41/(1+'数据-取费表'!C42),0)</f>
        <v>52</v>
      </c>
      <c r="E53" s="1255" t="s">
        <v>1354</v>
      </c>
      <c r="F53" s="2338">
        <f>'数据-取费表'!B41</f>
        <v>5.6000000000000001E-2</v>
      </c>
      <c r="G53" s="2339"/>
      <c r="H53" s="2329"/>
      <c r="I53" s="1668"/>
      <c r="J53" s="2308">
        <v>2</v>
      </c>
      <c r="K53" s="3335" t="s">
        <v>1357</v>
      </c>
      <c r="L53" s="3335"/>
      <c r="M53" s="2310">
        <f t="shared" ref="M53:O54" ca="1" si="0">D55</f>
        <v>0</v>
      </c>
      <c r="N53" s="2308" t="str">
        <f t="shared" si="0"/>
        <v>销售额×税（费）率</v>
      </c>
      <c r="O53" s="2311" t="str">
        <f t="shared" si="0"/>
        <v>免征</v>
      </c>
    </row>
    <row r="54" spans="1:35" ht="12" customHeight="1">
      <c r="A54" s="2152" t="s">
        <v>1358</v>
      </c>
      <c r="B54" s="3296" t="s">
        <v>2292</v>
      </c>
      <c r="C54" s="3297"/>
      <c r="D54" s="1023">
        <f ca="1">C68</f>
        <v>52</v>
      </c>
      <c r="E54" s="318" t="s">
        <v>1359</v>
      </c>
      <c r="F54" s="2338">
        <f>'数据-取费表'!B41</f>
        <v>5.6000000000000001E-2</v>
      </c>
      <c r="G54" s="2339"/>
      <c r="H54" s="2340"/>
      <c r="I54" s="1668"/>
      <c r="J54" s="2308">
        <v>3</v>
      </c>
      <c r="K54" s="3335" t="s">
        <v>1360</v>
      </c>
      <c r="L54" s="3335"/>
      <c r="M54" s="2310">
        <f t="shared" ca="1" si="0"/>
        <v>555</v>
      </c>
      <c r="N54" s="2308" t="str">
        <f t="shared" si="0"/>
        <v>增值额×税（费）率</v>
      </c>
      <c r="O54" s="2312" t="str">
        <f t="shared" si="0"/>
        <v>免征</v>
      </c>
    </row>
    <row r="55" spans="1:35" ht="24" customHeight="1">
      <c r="A55" s="3285" t="s">
        <v>1361</v>
      </c>
      <c r="B55" s="3286"/>
      <c r="C55" s="3286"/>
      <c r="D55" s="12">
        <f ca="1">IF(H55="个人住宅",0,ROUND(D45*I55,0))</f>
        <v>0</v>
      </c>
      <c r="E55" s="1255" t="s">
        <v>1362</v>
      </c>
      <c r="F55" s="2338" t="str">
        <f>IF(H55="正常",I55,"免征")</f>
        <v>免征</v>
      </c>
      <c r="G55" s="2339"/>
      <c r="H55" s="2335"/>
      <c r="I55" s="156">
        <f>'数据-取费表'!B49</f>
        <v>5.0000000000000001E-4</v>
      </c>
      <c r="J55" s="2308">
        <f>IF(H59="非个人房产","",4)</f>
        <v>4</v>
      </c>
      <c r="K55" s="3335" t="str">
        <f>IF(H59="非个人房产","——","个人所得税")</f>
        <v>个人所得税</v>
      </c>
      <c r="L55" s="3335"/>
      <c r="M55" s="2313">
        <f ca="1">D59</f>
        <v>9</v>
      </c>
      <c r="N55" s="1882" t="str">
        <f>E59</f>
        <v>差额计税</v>
      </c>
      <c r="O55" s="2314">
        <f>F59</f>
        <v>0.01</v>
      </c>
    </row>
    <row r="56" spans="1:35" ht="25.2">
      <c r="A56" s="3285" t="s">
        <v>1363</v>
      </c>
      <c r="B56" s="3286"/>
      <c r="C56" s="3286"/>
      <c r="D56" s="12">
        <f ca="1">IF(H56="个人住宅",D57,D58)</f>
        <v>555</v>
      </c>
      <c r="E56" s="1255" t="s">
        <v>1364</v>
      </c>
      <c r="F56" s="2338" t="str">
        <f>IF(H56="正常",F58,"免征")</f>
        <v>免征</v>
      </c>
      <c r="G56" s="2341" t="s">
        <v>1365</v>
      </c>
      <c r="H56" s="2342"/>
      <c r="I56" s="1669"/>
      <c r="J56" s="2308" t="str">
        <f>IF(项目基本情况!K6="上海银行",IF(J55="",4,J55+1),"")</f>
        <v/>
      </c>
      <c r="K56" s="3358" t="str">
        <f>IF(项目基本情况!K6="上海银行","其他处置费用","")</f>
        <v/>
      </c>
      <c r="L56" s="3359"/>
      <c r="M56" s="2310" t="str">
        <f>IF(项目基本情况!K6="上海银行",M69,"")</f>
        <v/>
      </c>
      <c r="N56" s="3358" t="str">
        <f>IF(项目基本情况!K6="上海银行","包含处置中涉及的律师、诉讼、拍卖、评估等费用","")</f>
        <v/>
      </c>
      <c r="O56" s="3361"/>
    </row>
    <row r="57" spans="1:35" ht="13.2">
      <c r="A57" s="2152" t="s">
        <v>1341</v>
      </c>
      <c r="B57" s="3296" t="s">
        <v>1366</v>
      </c>
      <c r="C57" s="3297"/>
      <c r="D57" s="1477">
        <v>0</v>
      </c>
      <c r="E57" s="315" t="s">
        <v>1343</v>
      </c>
      <c r="F57" s="293"/>
      <c r="G57" s="2339"/>
      <c r="H57" s="2343"/>
      <c r="I57" s="1669"/>
      <c r="J57" s="3335">
        <f>IF(AND(J55="",J56=""),4,IF(项目基本情况!K6="上海银行",结果表!J56+1,结果表!J55+1))</f>
        <v>5</v>
      </c>
      <c r="K57" s="3335" t="s">
        <v>1367</v>
      </c>
      <c r="L57" s="2315" t="s">
        <v>1368</v>
      </c>
      <c r="M57" s="2316"/>
      <c r="N57" s="2317">
        <f ca="1">SUMIF(M52:M56,"&lt;9e307")</f>
        <v>564</v>
      </c>
      <c r="O57" s="2318"/>
      <c r="P57" s="2462">
        <f ca="1">N57/M49</f>
        <v>0.57478251768398925</v>
      </c>
    </row>
    <row r="58" spans="1:35" ht="25.2">
      <c r="A58" s="2152" t="s">
        <v>1352</v>
      </c>
      <c r="B58" s="3296" t="s">
        <v>1369</v>
      </c>
      <c r="C58" s="3270"/>
      <c r="D58" s="12">
        <f ca="1">IF(H58="转让取得",C81,C97)</f>
        <v>555</v>
      </c>
      <c r="E58" s="1255" t="s">
        <v>1364</v>
      </c>
      <c r="F58" s="293" t="s">
        <v>28</v>
      </c>
      <c r="G58" s="2339"/>
      <c r="H58" s="2342"/>
      <c r="I58" s="1669"/>
      <c r="J58" s="3335"/>
      <c r="K58" s="3335"/>
      <c r="L58" s="2315" t="s">
        <v>1370</v>
      </c>
      <c r="M58" s="2319"/>
      <c r="N58" s="2320" t="str">
        <f ca="1">NUMBERSTRING(INT(N57*10000),2)&amp;"元整"</f>
        <v>伍佰陆拾肆万元整</v>
      </c>
      <c r="O58" s="2321"/>
    </row>
    <row r="59" spans="1:35" ht="24.6" thickBot="1">
      <c r="A59" s="3338" t="s">
        <v>1371</v>
      </c>
      <c r="B59" s="3339"/>
      <c r="C59" s="3339"/>
      <c r="D59" s="2344">
        <f ca="1">IF(H59="非个人房产","——",IF(H59="个人住宅（满五唯一有凭证）",0,IF(H59="个人其他（无凭证）",ROUND(D45*F59,0),ROUND(C67*F59,0))))</f>
        <v>9</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6">
        <f>J57+1</f>
        <v>6</v>
      </c>
      <c r="K59" s="3335" t="s">
        <v>1372</v>
      </c>
      <c r="L59" s="2308" t="s">
        <v>1368</v>
      </c>
      <c r="M59" s="2322"/>
      <c r="N59" s="2323">
        <f ca="1">M49-N57</f>
        <v>417.24069999999995</v>
      </c>
      <c r="O59" s="2324"/>
    </row>
    <row r="60" spans="1:35" ht="12" customHeight="1">
      <c r="A60" s="1670"/>
      <c r="B60" s="645"/>
      <c r="C60" s="645"/>
      <c r="D60" s="645"/>
      <c r="E60" s="1465"/>
      <c r="F60" s="1669"/>
      <c r="G60" s="1669"/>
      <c r="H60" s="150"/>
      <c r="I60" s="120"/>
      <c r="J60" s="3337"/>
      <c r="K60" s="3335"/>
      <c r="L60" s="2315" t="s">
        <v>1370</v>
      </c>
      <c r="M60" s="2319"/>
      <c r="N60" s="2320" t="str">
        <f ca="1">NUMBERSTRING(INT(N59*10000),2)&amp;"元整"</f>
        <v>肆佰壹拾柒万贰仟肆佰零柒元整</v>
      </c>
      <c r="O60" s="2321"/>
    </row>
    <row r="61" spans="1:35" ht="13.8" thickBot="1">
      <c r="A61" s="3283" t="s">
        <v>1373</v>
      </c>
      <c r="B61" s="3283"/>
      <c r="C61" s="3283"/>
      <c r="D61" s="3283"/>
      <c r="E61" s="3283"/>
      <c r="F61" s="1669"/>
      <c r="G61" s="1669"/>
      <c r="H61" s="150"/>
      <c r="I61" s="120"/>
      <c r="J61" s="2308">
        <f>J59+1</f>
        <v>7</v>
      </c>
      <c r="K61" s="3335" t="s">
        <v>1374</v>
      </c>
      <c r="L61" s="3335"/>
      <c r="M61" s="2325"/>
      <c r="N61" s="2326">
        <f ca="1">ROUND(N59*10000/'数据-汇总表'!E3,0)</f>
        <v>2144</v>
      </c>
      <c r="O61" s="2327"/>
    </row>
    <row r="62" spans="1:35" ht="13.2">
      <c r="A62" s="3301" t="s">
        <v>1375</v>
      </c>
      <c r="B62" s="3302"/>
      <c r="C62" s="1864"/>
      <c r="D62" s="1864" t="s">
        <v>1376</v>
      </c>
      <c r="E62" s="157" t="s">
        <v>1377</v>
      </c>
      <c r="F62" s="1669"/>
      <c r="G62" s="1669"/>
      <c r="H62" s="150"/>
      <c r="I62" s="120"/>
    </row>
    <row r="63" spans="1:35" ht="13.2">
      <c r="A63" s="164" t="s">
        <v>330</v>
      </c>
      <c r="B63" s="158" t="s">
        <v>1378</v>
      </c>
      <c r="C63" s="2348">
        <f ca="1">ROUND((C64+C65)/(1+'数据-取费表'!C42),0)</f>
        <v>934</v>
      </c>
      <c r="D63" s="158"/>
      <c r="E63" s="159"/>
      <c r="F63" s="1669"/>
      <c r="G63" s="1669"/>
      <c r="H63" s="150"/>
      <c r="I63" s="120"/>
      <c r="J63" s="3360" t="s">
        <v>1379</v>
      </c>
      <c r="K63" s="1244" t="s">
        <v>1380</v>
      </c>
      <c r="L63" s="1244">
        <f ca="1">IF(M49&gt;10000,M49*0.5%,IF(AND(M49&gt;1000,M49&lt;=10000),M49*1%,IF(AND(M49&gt;100,M49&lt;=1000),M49*3%,IF(AND(M49&gt;10,M49&lt;=100),M49*5%,M49*8%))))</f>
        <v>29.437220999999997</v>
      </c>
      <c r="M63" s="293">
        <f ca="1">ROUND(L63,1)</f>
        <v>29.4</v>
      </c>
      <c r="N63" s="2328"/>
      <c r="Z63" s="1622"/>
      <c r="AI63" s="1560"/>
    </row>
    <row r="64" spans="1:35" ht="14.25" customHeight="1">
      <c r="A64" s="160" t="s">
        <v>325</v>
      </c>
      <c r="B64" s="161" t="s">
        <v>1381</v>
      </c>
      <c r="C64" s="2349">
        <f ca="1">D45</f>
        <v>981</v>
      </c>
      <c r="D64" s="161" t="s">
        <v>26</v>
      </c>
      <c r="E64" s="163"/>
      <c r="F64" s="1669"/>
      <c r="G64" s="1669"/>
      <c r="H64" s="150"/>
      <c r="I64" s="120"/>
      <c r="J64" s="3360"/>
      <c r="K64" s="1244" t="s">
        <v>1382</v>
      </c>
      <c r="L64" s="1244">
        <f ca="1">IF(M49&gt;2000,M49*0.5%,IF(AND(M49&gt;1000,M49&lt;=2000),M49*0.6%,IF(AND(M49&gt;500,M49&lt;=1000),M49*0.7%,IF(AND(M49&gt;200,M49&lt;=500),M49*0.8%,IF(AND(M49&gt;100,M49&lt;=200),M49*0.9%,IF(AND(M49&gt;50,M49&lt;=100),M49*1%,IF(AND(M49&gt;20,M49&lt;=50),M49*1.5%,IF(AND(M49&gt;10,M49&lt;=20),M49*2%,IF(AND(M49&gt;1,M49&lt;=10),M49*2.5%)))))))))</f>
        <v>6.868684899999999</v>
      </c>
      <c r="M64" s="293">
        <f t="shared" ref="M64:M65" ca="1" si="1">ROUND(L64,1)</f>
        <v>6.9</v>
      </c>
      <c r="N64" s="2329" t="s">
        <v>1383</v>
      </c>
      <c r="Z64" s="1622"/>
      <c r="AI64" s="1560"/>
    </row>
    <row r="65" spans="1:35" ht="14.25" customHeight="1">
      <c r="A65" s="160" t="s">
        <v>326</v>
      </c>
      <c r="B65" s="161" t="s">
        <v>1384</v>
      </c>
      <c r="C65" s="2350"/>
      <c r="D65" s="161"/>
      <c r="E65" s="163"/>
      <c r="F65" s="1669"/>
      <c r="G65" s="1669"/>
      <c r="H65" s="150"/>
      <c r="I65" s="120"/>
      <c r="J65" s="3360"/>
      <c r="K65" s="1244" t="s">
        <v>1385</v>
      </c>
      <c r="L65" s="1244">
        <f ca="1">IF(M49&gt;1000,M49*0.1%,IF(AND(M49&gt;500,M49&lt;=1000),M49*0.5%,IF(AND(M49&gt;50,M49&lt;=500),M49*1%,IF(AND(M49&gt;1,M49&lt;=50),M49*1.5%))))</f>
        <v>4.9062035000000002</v>
      </c>
      <c r="M65" s="293">
        <f t="shared" ca="1" si="1"/>
        <v>4.9000000000000004</v>
      </c>
      <c r="N65" s="2329" t="s">
        <v>1383</v>
      </c>
      <c r="Z65" s="1622"/>
      <c r="AI65" s="1560"/>
    </row>
    <row r="66" spans="1:35" ht="14.25" customHeight="1">
      <c r="A66" s="164" t="s">
        <v>327</v>
      </c>
      <c r="B66" s="165" t="s">
        <v>1386</v>
      </c>
      <c r="C66" s="2351"/>
      <c r="D66" s="165" t="s">
        <v>26</v>
      </c>
      <c r="E66" s="1250" t="s">
        <v>671</v>
      </c>
      <c r="F66" s="1669"/>
      <c r="G66" s="1669"/>
      <c r="H66" s="150"/>
      <c r="I66" s="120"/>
      <c r="J66" s="3360"/>
      <c r="K66" s="1244" t="s">
        <v>1387</v>
      </c>
      <c r="L66" s="1244">
        <f ca="1">M49*0.5%</f>
        <v>4.9062035000000002</v>
      </c>
      <c r="M66" s="293">
        <f ca="1">IF(L66&gt;0.5,0.5,ROUND(L66,0))</f>
        <v>0.5</v>
      </c>
      <c r="N66" s="2329" t="s">
        <v>1388</v>
      </c>
      <c r="Z66" s="1622"/>
      <c r="AI66" s="1560"/>
    </row>
    <row r="67" spans="1:35" ht="14.25" customHeight="1">
      <c r="A67" s="164" t="s">
        <v>328</v>
      </c>
      <c r="B67" s="165" t="s">
        <v>1389</v>
      </c>
      <c r="C67" s="2352">
        <f ca="1">C63-C66</f>
        <v>934</v>
      </c>
      <c r="D67" s="161" t="s">
        <v>26</v>
      </c>
      <c r="E67" s="163"/>
      <c r="F67" s="1669"/>
      <c r="G67" s="1669"/>
      <c r="H67" s="150"/>
      <c r="I67" s="120"/>
      <c r="J67" s="3360"/>
      <c r="K67" s="1244" t="s">
        <v>1390</v>
      </c>
      <c r="L67" s="1244">
        <f ca="1">IF(M49&gt;=10000,(8.25+(M49-10000)*0.01%),IF(AND(M49&gt;=8000,M49&lt;10000),(7.85+(M49-8000)*0.02%),IF(AND(M49&gt;=5000,M49&lt;8000),(6.65+(M49-5000)*0.04%),IF(AND(M49&gt;=2000,M49&lt;5000),(4.25+(PM49-2000)*0.08%),IF(AND(M49&gt;=1000,M49&lt;2000),(2.75+(M49-1000)*0.15%),IF(AND(M49&gt;=100,M49&lt;1000),(0.5+(M49-100)*0.25%),IF(AND(M49&gt;0,M49&lt;100),M49*0.5%)))))))</f>
        <v>2.7031017500000001</v>
      </c>
      <c r="M67" s="293">
        <f ca="1">ROUND(L67*0.9,1)</f>
        <v>2.4</v>
      </c>
      <c r="N67" s="2328"/>
      <c r="Z67" s="1622"/>
      <c r="AI67" s="1560"/>
    </row>
    <row r="68" spans="1:35" ht="14.25" customHeight="1" thickBot="1">
      <c r="A68" s="167" t="s">
        <v>329</v>
      </c>
      <c r="B68" s="168" t="s">
        <v>1391</v>
      </c>
      <c r="C68" s="2353">
        <f ca="1">IF(C67&lt;=0,0,ROUND(C67*D68,0))</f>
        <v>52</v>
      </c>
      <c r="D68" s="2354">
        <f>'数据-取费表'!B41</f>
        <v>5.6000000000000001E-2</v>
      </c>
      <c r="E68" s="169"/>
      <c r="F68" s="1669"/>
      <c r="G68" s="1669"/>
      <c r="H68" s="150"/>
      <c r="I68" s="120"/>
      <c r="J68" s="3360"/>
      <c r="K68" s="1244" t="s">
        <v>1392</v>
      </c>
      <c r="L68" s="1244">
        <f ca="1">IF(M49&gt;10000,M49*0.5%,IF(AND(M49&gt;5000,M49&lt;=10000),M49*1%,IF(AND(M49&gt;1000,M49&lt;=5000),M49*2%,IF(AND(M49&gt;200,M49&lt;=1000),M49*3%,M49*5%))))</f>
        <v>29.437220999999997</v>
      </c>
      <c r="M68" s="293">
        <f ca="1">ROUND(L68,1)</f>
        <v>29.4</v>
      </c>
      <c r="N68" s="2328"/>
      <c r="Z68" s="1622"/>
      <c r="AI68" s="1560"/>
    </row>
    <row r="69" spans="1:35" ht="16.5" customHeight="1">
      <c r="A69" s="1671"/>
      <c r="B69" s="1672"/>
      <c r="C69" s="1673"/>
      <c r="D69" s="1674"/>
      <c r="E69" s="1675"/>
      <c r="F69" s="1465"/>
      <c r="G69" s="1465"/>
      <c r="H69" s="1466"/>
      <c r="I69" s="645"/>
      <c r="J69" s="3360"/>
      <c r="K69" s="1244" t="s">
        <v>1393</v>
      </c>
      <c r="L69" s="1244"/>
      <c r="M69" s="293">
        <f ca="1">ROUND(SUM(M63:M68),0)</f>
        <v>74</v>
      </c>
      <c r="N69" s="2330">
        <f ca="1">M69/M49</f>
        <v>7.5414727497544701E-2</v>
      </c>
      <c r="Z69" s="1622"/>
      <c r="AI69" s="1560"/>
    </row>
    <row r="70" spans="1:35" s="641" customFormat="1" ht="14.4" thickBot="1">
      <c r="A70" s="3322" t="s">
        <v>1394</v>
      </c>
      <c r="B70" s="3323"/>
      <c r="C70" s="3323"/>
      <c r="D70" s="3323"/>
      <c r="E70" s="3323"/>
      <c r="F70" s="3323"/>
      <c r="G70" s="3323"/>
      <c r="H70" s="332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1" t="s">
        <v>1375</v>
      </c>
      <c r="B71" s="3302"/>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934</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6</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296" t="s">
        <v>1402</v>
      </c>
      <c r="F76" s="3270"/>
      <c r="G76" s="3270"/>
      <c r="H76" s="332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6</v>
      </c>
      <c r="D78" s="2361">
        <f>'数据-取费表'!B43</f>
        <v>6.000000000000001E-3</v>
      </c>
      <c r="E78" s="3280" t="s">
        <v>1406</v>
      </c>
      <c r="F78" s="3281"/>
      <c r="G78" s="3281"/>
      <c r="H78" s="329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2">
        <f ca="1">C72-C73</f>
        <v>928</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154.66666666666666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555</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2" t="s">
        <v>1410</v>
      </c>
      <c r="B83" s="3323"/>
      <c r="C83" s="3323"/>
      <c r="D83" s="3323"/>
      <c r="E83" s="3323"/>
      <c r="F83" s="3323"/>
      <c r="G83" s="3323"/>
      <c r="H83" s="332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1" t="s">
        <v>1375</v>
      </c>
      <c r="B84" s="3302"/>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934</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6</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362" t="s">
        <v>2129</v>
      </c>
      <c r="H90" s="3363"/>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80" t="s">
        <v>1419</v>
      </c>
      <c r="F91" s="3281"/>
      <c r="G91" s="328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80" t="s">
        <v>1422</v>
      </c>
      <c r="F92" s="3281"/>
      <c r="G92" s="3281"/>
      <c r="H92" s="3290"/>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6</v>
      </c>
      <c r="D93" s="2361">
        <f>'数据-取费表'!B43</f>
        <v>6.000000000000001E-3</v>
      </c>
      <c r="E93" s="3280" t="s">
        <v>1406</v>
      </c>
      <c r="F93" s="3281"/>
      <c r="G93" s="3281"/>
      <c r="H93" s="329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291" t="s">
        <v>1426</v>
      </c>
      <c r="F94" s="3292"/>
      <c r="G94" s="3292"/>
      <c r="H94" s="329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2">
        <f ca="1">ROUND(C85-C86,0)</f>
        <v>928</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154.66666666666666</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555</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1" t="s">
        <v>1428</v>
      </c>
      <c r="B100" s="3262"/>
      <c r="C100" s="3262"/>
      <c r="D100" s="3282"/>
      <c r="E100" s="3262" t="s">
        <v>1429</v>
      </c>
      <c r="F100" s="3262"/>
      <c r="G100" s="3262"/>
      <c r="H100" s="3282"/>
      <c r="I100" s="120"/>
    </row>
    <row r="101" spans="1:35" ht="18.75" customHeight="1">
      <c r="A101" s="3343" t="s">
        <v>1430</v>
      </c>
      <c r="B101" s="3344"/>
      <c r="C101" s="2369" t="str">
        <f>C4</f>
        <v>成本法 (元)</v>
      </c>
      <c r="D101" s="2370" t="str">
        <f>D4</f>
        <v>收益法 (元)</v>
      </c>
      <c r="E101" s="3357" t="s">
        <v>1431</v>
      </c>
      <c r="F101" s="3314"/>
      <c r="G101" s="1686" t="s">
        <v>1432</v>
      </c>
      <c r="H101" s="2379">
        <f ca="1">H118</f>
        <v>981.24069999999995</v>
      </c>
      <c r="I101" s="120"/>
    </row>
    <row r="102" spans="1:35" ht="18.75" customHeight="1">
      <c r="A102" s="3316" t="s">
        <v>1433</v>
      </c>
      <c r="B102" s="2368" t="s">
        <v>1432</v>
      </c>
      <c r="C102" s="2369">
        <f ca="1">IF(D32="楼面单价",ROUND(C19,0),C19)</f>
        <v>1022</v>
      </c>
      <c r="D102" s="2370">
        <f ca="1">IF(D32="楼面单价",ROUND(D19,0),D19)</f>
        <v>940</v>
      </c>
      <c r="E102" s="3357"/>
      <c r="F102" s="3314"/>
      <c r="G102" s="1686" t="s">
        <v>1434</v>
      </c>
      <c r="H102" s="2339">
        <f ca="1">I118</f>
        <v>5041</v>
      </c>
      <c r="I102" s="120"/>
    </row>
    <row r="103" spans="1:35" ht="42.75" customHeight="1">
      <c r="A103" s="3316"/>
      <c r="B103" s="2368" t="s">
        <v>1434</v>
      </c>
      <c r="C103" s="2371">
        <f ca="1">C20</f>
        <v>5251</v>
      </c>
      <c r="D103" s="2372">
        <f ca="1">D20</f>
        <v>4830</v>
      </c>
      <c r="E103" s="3351" t="s">
        <v>1435</v>
      </c>
      <c r="F103" s="3352"/>
      <c r="G103" s="1687" t="s">
        <v>1436</v>
      </c>
      <c r="H103" s="2379">
        <f>IF(D36="正常操作",H104+H105+H106,H105+H106)</f>
        <v>0</v>
      </c>
      <c r="I103" s="120"/>
    </row>
    <row r="104" spans="1:35" ht="18.75" customHeight="1">
      <c r="A104" s="3316" t="s">
        <v>1437</v>
      </c>
      <c r="B104" s="2373" t="s">
        <v>1432</v>
      </c>
      <c r="C104" s="2374">
        <f ca="1">H118</f>
        <v>981.24069999999995</v>
      </c>
      <c r="D104" s="2375"/>
      <c r="E104" s="1554" t="s">
        <v>1438</v>
      </c>
      <c r="F104" s="1547"/>
      <c r="G104" s="1687" t="s">
        <v>1436</v>
      </c>
      <c r="H104" s="2380">
        <f>IF(D36="同一抵押权人同一抵押物续贷",C36&amp;"（续贷，未扣减，详见特别提示）",C36)</f>
        <v>0</v>
      </c>
      <c r="I104" s="120"/>
    </row>
    <row r="105" spans="1:35" ht="18.75" customHeight="1" thickBot="1">
      <c r="A105" s="3317"/>
      <c r="B105" s="2376" t="s">
        <v>1434</v>
      </c>
      <c r="C105" s="2377">
        <f ca="1">I118</f>
        <v>5041</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13" t="str">
        <f>IF(项目基本情况!E8="已注销","——","3.房地产抵押价值")</f>
        <v>3.房地产抵押价值</v>
      </c>
      <c r="F107" s="3314"/>
      <c r="G107" s="1686" t="s">
        <v>1432</v>
      </c>
      <c r="H107" s="2379">
        <f ca="1">IF(E107="——","——",H101-H103)</f>
        <v>981.24069999999995</v>
      </c>
      <c r="I107" s="120"/>
    </row>
    <row r="108" spans="1:35" ht="18.75" customHeight="1">
      <c r="A108" s="120"/>
      <c r="B108" s="120"/>
      <c r="C108" s="120"/>
      <c r="D108" s="120"/>
      <c r="E108" s="3313"/>
      <c r="F108" s="3314"/>
      <c r="G108" s="1686" t="s">
        <v>1434</v>
      </c>
      <c r="H108" s="2339">
        <f ca="1">IF(H107=H101,H102,ROUND(H107*10000/'数据-汇总表'!E3,0))</f>
        <v>5041</v>
      </c>
      <c r="I108" s="120"/>
    </row>
    <row r="109" spans="1:35" ht="18.75" customHeight="1">
      <c r="A109" s="120"/>
      <c r="B109" s="120"/>
      <c r="C109" s="120"/>
      <c r="D109" s="120"/>
      <c r="E109" s="3313" t="str">
        <f>IF(项目基本情况!E8="已注销及未注销","4.抵押担保权已注销时的房地产抵押价值",IF(项目基本情况!E8="已注销","3.抵押担保权已注销时的房地产抵押价值","——"))</f>
        <v>——</v>
      </c>
      <c r="F109" s="3314"/>
      <c r="G109" s="1686" t="s">
        <v>1432</v>
      </c>
      <c r="H109" s="2382" t="str">
        <f>IF(E109="——","——",H101-H105-H106)</f>
        <v>——</v>
      </c>
      <c r="I109" s="120"/>
    </row>
    <row r="110" spans="1:35" ht="18.75" customHeight="1">
      <c r="A110" s="120"/>
      <c r="B110" s="120"/>
      <c r="C110" s="120"/>
      <c r="D110" s="120"/>
      <c r="E110" s="3313"/>
      <c r="F110" s="3314"/>
      <c r="G110" s="1686" t="s">
        <v>1434</v>
      </c>
      <c r="H110" s="2339" t="str">
        <f>IF(H109="——","——",ROUND(H109*10000/'数据-汇总表'!E3,0))</f>
        <v>——</v>
      </c>
      <c r="I110" s="120"/>
    </row>
    <row r="111" spans="1:35" ht="18.75" customHeight="1">
      <c r="A111" s="120"/>
      <c r="B111" s="120"/>
      <c r="C111" s="120"/>
      <c r="D111" s="120"/>
      <c r="E111" s="3345" t="str">
        <f>IF(项目基本情况!E9="抵押净值",IF(OR(项目基本情况!E8="已注销",项目基本情况!E8="房地产抵押价值"),"4.抵押净值","5.抵押净值"),"——")</f>
        <v>——</v>
      </c>
      <c r="F111" s="3315"/>
      <c r="G111" s="1686" t="s">
        <v>1432</v>
      </c>
      <c r="H111" s="2379" t="str">
        <f>IF(E111="——","——",N59)</f>
        <v>——</v>
      </c>
      <c r="I111" s="120"/>
    </row>
    <row r="112" spans="1:35" ht="18.75" customHeight="1" thickBot="1">
      <c r="A112" s="120"/>
      <c r="B112" s="120"/>
      <c r="C112" s="120"/>
      <c r="D112" s="120"/>
      <c r="E112" s="3346"/>
      <c r="F112" s="3347"/>
      <c r="G112" s="1689" t="s">
        <v>1434</v>
      </c>
      <c r="H112" s="2383" t="str">
        <f>IF(E111="——","——",N61)</f>
        <v>——</v>
      </c>
      <c r="I112" s="120"/>
    </row>
    <row r="113" spans="1:27" ht="18.75" customHeight="1">
      <c r="A113" s="120"/>
      <c r="B113" s="120"/>
      <c r="C113" s="120"/>
      <c r="D113" s="120"/>
      <c r="E113" s="3318" t="s">
        <v>1440</v>
      </c>
      <c r="F113" s="3318"/>
      <c r="G113" s="3318"/>
      <c r="H113" s="3318"/>
      <c r="I113" s="120"/>
    </row>
    <row r="114" spans="1:27" ht="3.75" customHeight="1">
      <c r="A114" s="645"/>
      <c r="B114" s="645"/>
      <c r="C114" s="645"/>
      <c r="D114" s="645"/>
      <c r="E114" s="1670"/>
      <c r="F114" s="1670"/>
      <c r="G114" s="1670"/>
      <c r="H114" s="1670"/>
      <c r="I114" s="645"/>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49" t="s">
        <v>1449</v>
      </c>
      <c r="E117" s="2149" t="s">
        <v>1450</v>
      </c>
      <c r="F117" s="2149" t="s">
        <v>1449</v>
      </c>
      <c r="G117" s="2149" t="s">
        <v>1451</v>
      </c>
      <c r="H117" s="2149" t="s">
        <v>1449</v>
      </c>
      <c r="I117" s="2149" t="s">
        <v>1451</v>
      </c>
    </row>
    <row r="118" spans="1:27" ht="24.75" customHeight="1">
      <c r="A118" s="2384" t="str">
        <f>项目基本情况!S2</f>
        <v>北京市平谷区谷丰东路30号院14号楼-1至5层101房地产</v>
      </c>
      <c r="B118" s="2149">
        <f>M18</f>
        <v>1946.52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74">
        <f ca="1">ROUND(IF(D32="总价",C32,I118*B118/10000),4)</f>
        <v>981.24069999999995</v>
      </c>
      <c r="I118" s="2149">
        <f ca="1">ROUND(IF(D32="楼面单价",C32,H118*10000/B118),0)</f>
        <v>5041</v>
      </c>
    </row>
    <row r="119" spans="1:27" ht="18.75" customHeight="1">
      <c r="A119" s="3284" t="s">
        <v>1452</v>
      </c>
      <c r="B119" s="3284"/>
      <c r="C119" s="3284"/>
      <c r="D119" s="3324" t="str">
        <f>NUMBERSTRING(INT(D118*10000),2)&amp;"元整"</f>
        <v>零元整</v>
      </c>
      <c r="E119" s="3326"/>
      <c r="F119" s="3324" t="str">
        <f>NUMBERSTRING(INT(F118*10000),2)&amp;"元整"</f>
        <v>零元整</v>
      </c>
      <c r="G119" s="3326"/>
      <c r="H119" s="3324" t="str">
        <f ca="1">NUMBERSTRING(INT(H118*10000),2)&amp;"元整"</f>
        <v>玖佰捌拾壹万贰仟肆佰零柒元整</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4" t="s">
        <v>1452</v>
      </c>
      <c r="B121" s="3325"/>
      <c r="C121" s="3326"/>
      <c r="D121" s="3324" t="str">
        <f>IF(D120=0,"零元整",NUMBERSTRING(INT(D120*10000),2)&amp;"元整")</f>
        <v>零元整</v>
      </c>
      <c r="E121" s="3325"/>
      <c r="F121" s="3325"/>
      <c r="G121" s="3325"/>
      <c r="H121" s="3325"/>
      <c r="I121" s="3326"/>
      <c r="AA121" s="683"/>
    </row>
    <row r="122" spans="1:27" ht="18.75" customHeight="1">
      <c r="A122" s="3315" t="str">
        <f>IF(项目基本情况!B9="房地产市场价值","",MID(E107,3,LEN(E107)-2))</f>
        <v>房地产抵押价值</v>
      </c>
      <c r="B122" s="3315"/>
      <c r="C122" s="3315"/>
      <c r="D122" s="3348">
        <f ca="1">H107</f>
        <v>981.24069999999995</v>
      </c>
      <c r="E122" s="3349"/>
      <c r="F122" s="3349"/>
      <c r="G122" s="3349"/>
      <c r="H122" s="3349"/>
      <c r="I122" s="3350"/>
      <c r="AA122" s="683"/>
    </row>
    <row r="123" spans="1:27" ht="18.75" customHeight="1">
      <c r="A123" s="3284" t="s">
        <v>1452</v>
      </c>
      <c r="B123" s="3284"/>
      <c r="C123" s="3284"/>
      <c r="D123" s="3324" t="str">
        <f ca="1">NUMBERSTRING(INT(D122*10000),2)&amp;"元整"</f>
        <v>玖佰捌拾壹万贰仟肆佰零柒元整</v>
      </c>
      <c r="E123" s="3325"/>
      <c r="F123" s="3325"/>
      <c r="G123" s="3325"/>
      <c r="H123" s="3325"/>
      <c r="I123" s="3326"/>
      <c r="AA123" s="683"/>
    </row>
    <row r="124" spans="1:27" ht="18.75" customHeight="1">
      <c r="A124" s="3315" t="str">
        <f>IF(项目基本情况!B9="房地产市场价值","",MID(E109,3,LEN(E109)-2))</f>
        <v/>
      </c>
      <c r="B124" s="3315"/>
      <c r="C124" s="3315"/>
      <c r="D124" s="3348" t="str">
        <f>H109</f>
        <v>——</v>
      </c>
      <c r="E124" s="3349"/>
      <c r="F124" s="3349"/>
      <c r="G124" s="3349"/>
      <c r="H124" s="3349"/>
      <c r="I124" s="3350"/>
      <c r="AA124" s="683"/>
    </row>
    <row r="125" spans="1:27" ht="18.75" customHeight="1">
      <c r="A125" s="3284" t="s">
        <v>1452</v>
      </c>
      <c r="B125" s="3284"/>
      <c r="C125" s="3284"/>
      <c r="D125" s="3324" t="e">
        <f>NUMBERSTRING(INT(D124*10000),2)&amp;"元整"</f>
        <v>#VALUE!</v>
      </c>
      <c r="E125" s="3325"/>
      <c r="F125" s="3325"/>
      <c r="G125" s="3325"/>
      <c r="H125" s="3325"/>
      <c r="I125" s="3326"/>
      <c r="AA125" s="683"/>
    </row>
    <row r="126" spans="1:27" ht="18.75" customHeight="1">
      <c r="A126" s="3315" t="str">
        <f>IF(项目基本情况!B9="房地产市场价值","",MID(E111,3,LEN(E111)-2))</f>
        <v/>
      </c>
      <c r="B126" s="3315"/>
      <c r="C126" s="3315"/>
      <c r="D126" s="3348" t="str">
        <f>H111</f>
        <v>——</v>
      </c>
      <c r="E126" s="3349"/>
      <c r="F126" s="3349"/>
      <c r="G126" s="3349"/>
      <c r="H126" s="3349"/>
      <c r="I126" s="3350"/>
      <c r="AA126" s="683"/>
    </row>
    <row r="127" spans="1:27" ht="18.75" customHeight="1">
      <c r="A127" s="3284" t="s">
        <v>1452</v>
      </c>
      <c r="B127" s="3284"/>
      <c r="C127" s="3284"/>
      <c r="D127" s="3324" t="e">
        <f>NUMBERSTRING(INT(D126*10000),2)&amp;"元整"</f>
        <v>#VALUE!</v>
      </c>
      <c r="E127" s="3325"/>
      <c r="F127" s="3325"/>
      <c r="G127" s="3325"/>
      <c r="H127" s="3325"/>
      <c r="I127" s="3326"/>
      <c r="AA127" s="683"/>
    </row>
    <row r="128" spans="1:27" ht="21.75" customHeight="1">
      <c r="A128" s="3331" t="s">
        <v>1453</v>
      </c>
      <c r="B128" s="3331"/>
      <c r="C128" s="3331"/>
      <c r="D128" s="3331"/>
      <c r="E128" s="3331"/>
      <c r="F128" s="3331"/>
      <c r="G128" s="3331"/>
      <c r="H128" s="3331"/>
      <c r="I128" s="333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7rje2HYLPUGuqumhKKsqFjZXy8w/hpYzK1PnKakb/okfeAIdnvrhvjtACO2eHjqVDQZ2MAPSYN0U77ubKTXxWw==" saltValue="pEgkMn5p+2HFnBWgj0VVt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897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4608</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15.5722</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15.5722</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c r="H9" s="1069"/>
      <c r="I9" s="1715" t="s">
        <v>1479</v>
      </c>
    </row>
    <row r="10" spans="1:9" s="205" customFormat="1" ht="13.5" customHeight="1">
      <c r="A10" s="732" t="s">
        <v>356</v>
      </c>
      <c r="B10" s="215" t="s">
        <v>1480</v>
      </c>
      <c r="C10" s="216">
        <f ca="1">ROUND(D10*E10/10000,0)</f>
        <v>16</v>
      </c>
      <c r="D10" s="794">
        <f ca="1">IF(B1="",'数据-汇总表'!E6,IF(INDIRECT("'数据-取费表'!c"&amp;$G$1)="住宅",INDIRECT("'数据-取费表'!s"&amp;$G$1),INDIRECT("'数据-取费表'!k"&amp;$G$1)+INDIRECT("'数据-取费表'!s"&amp;$G$1)))</f>
        <v>1946.52</v>
      </c>
      <c r="E10" s="216">
        <f>'数据-取费表'!B28</f>
        <v>80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39</v>
      </c>
      <c r="D19" s="203">
        <f ca="1">D9+D10</f>
        <v>1946.52</v>
      </c>
      <c r="E19" s="202">
        <f>'数据-取费表'!B31</f>
        <v>200</v>
      </c>
      <c r="F19" s="222"/>
      <c r="G19" s="1713"/>
    </row>
    <row r="20" spans="1:7" s="205" customFormat="1" ht="13.5" customHeight="1">
      <c r="A20" s="246" t="s">
        <v>1493</v>
      </c>
      <c r="B20" s="201" t="s">
        <v>1494</v>
      </c>
      <c r="C20" s="223">
        <f ca="1">ROUND((C5+C19)*F20,0)</f>
        <v>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3</v>
      </c>
      <c r="D22" s="226">
        <f ca="1">C26</f>
        <v>5.0000000000000001E-4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2</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5.0000000000000001E-4</v>
      </c>
      <c r="D26" s="229"/>
      <c r="E26" s="232"/>
      <c r="F26" s="230"/>
      <c r="G26" s="234"/>
    </row>
    <row r="27" spans="1:7" s="205" customFormat="1" ht="26.4">
      <c r="A27" s="246" t="s">
        <v>1512</v>
      </c>
      <c r="B27" s="235" t="s">
        <v>1513</v>
      </c>
      <c r="C27" s="236">
        <f ca="1">C28</f>
        <v>6</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6</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70</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768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681</v>
      </c>
      <c r="D34" s="208"/>
      <c r="E34" s="211"/>
      <c r="F34" s="248">
        <f ca="1">IF('数据-取费表'!B24=0,1,IF(B1="",'数据-取费表'!N16,INDIRECT("'数据-取费表'!n"&amp;$G$1)))</f>
        <v>1</v>
      </c>
      <c r="G34" s="210" t="s">
        <v>1526</v>
      </c>
    </row>
    <row r="35" spans="1:7" ht="13.5" customHeight="1">
      <c r="A35" s="733" t="s">
        <v>351</v>
      </c>
      <c r="B35" s="206" t="s">
        <v>1527</v>
      </c>
      <c r="C35" s="211">
        <f ca="1">ROUND(C34*F35,0)</f>
        <v>34</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39</v>
      </c>
      <c r="D37" s="208">
        <f ca="1">D19</f>
        <v>1946.52</v>
      </c>
      <c r="E37" s="240">
        <f>'数据-取费表'!B35</f>
        <v>200</v>
      </c>
      <c r="F37" s="250"/>
      <c r="G37" s="252" t="s">
        <v>1532</v>
      </c>
    </row>
    <row r="38" spans="1:7" ht="13.5" customHeight="1">
      <c r="A38" s="733" t="s">
        <v>354</v>
      </c>
      <c r="B38" s="206" t="s">
        <v>1533</v>
      </c>
      <c r="C38" s="211">
        <f ca="1">ROUND(C34*F38,0)</f>
        <v>14</v>
      </c>
      <c r="D38" s="211"/>
      <c r="E38" s="211"/>
      <c r="F38" s="250">
        <f>'数据-取费表'!B36</f>
        <v>0.02</v>
      </c>
      <c r="G38" s="210" t="s">
        <v>1528</v>
      </c>
    </row>
    <row r="39" spans="1:7" s="205" customFormat="1" ht="13.5" customHeight="1">
      <c r="A39" s="246" t="s">
        <v>1534</v>
      </c>
      <c r="B39" s="201" t="s">
        <v>1535</v>
      </c>
      <c r="C39" s="223">
        <f ca="1">ROUND(C33*F20,0)</f>
        <v>15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18</v>
      </c>
      <c r="D41" s="226">
        <f ca="1">C44</f>
        <v>5.0000000000000001E-4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18</v>
      </c>
      <c r="D42" s="229"/>
      <c r="E42" s="229"/>
      <c r="F42" s="230"/>
      <c r="G42" s="3364" t="s">
        <v>1544</v>
      </c>
    </row>
    <row r="43" spans="1:7" ht="13.5" customHeight="1">
      <c r="A43" s="733" t="s">
        <v>347</v>
      </c>
      <c r="B43" s="206" t="s">
        <v>1545</v>
      </c>
      <c r="C43" s="229">
        <f ca="1">ROUND(IF('数据-取费表'!B22&lt;=1,C39*F22*'数据-取费表'!B21/2,C39*(POWER((1+F22),'数据-取费表'!B21/2)-1)),0)</f>
        <v>0</v>
      </c>
      <c r="D43" s="229"/>
      <c r="E43" s="229"/>
      <c r="F43" s="230"/>
      <c r="G43" s="3365"/>
    </row>
    <row r="44" spans="1:7" ht="13.5" customHeight="1">
      <c r="A44" s="733" t="s">
        <v>348</v>
      </c>
      <c r="B44" s="206" t="s">
        <v>1546</v>
      </c>
      <c r="C44" s="229">
        <f ca="1">ROUND(IF('数据-取费表'!B22&lt;=1,C40*F22*'数据-取费表'!B21/2,C40*(POWER((1+F22),'数据-取费表'!B21/2)-1)),4)</f>
        <v>5.0000000000000001E-4</v>
      </c>
      <c r="D44" s="229"/>
      <c r="E44" s="229"/>
      <c r="F44" s="230"/>
      <c r="G44" s="3366"/>
    </row>
    <row r="45" spans="1:7" s="205" customFormat="1" ht="13.5" customHeight="1">
      <c r="A45" s="246" t="s">
        <v>1547</v>
      </c>
      <c r="B45" s="235" t="s">
        <v>1513</v>
      </c>
      <c r="C45" s="236">
        <f ca="1">C46</f>
        <v>78</v>
      </c>
      <c r="D45" s="226">
        <f ca="1">C47</f>
        <v>2E-3</v>
      </c>
      <c r="E45" s="227" t="s">
        <v>1539</v>
      </c>
      <c r="F45" s="237">
        <f ca="1">F27</f>
        <v>0.1</v>
      </c>
      <c r="G45" s="238" t="s">
        <v>1548</v>
      </c>
    </row>
    <row r="46" spans="1:7" s="205" customFormat="1" ht="13.5" customHeight="1">
      <c r="A46" s="733" t="s">
        <v>346</v>
      </c>
      <c r="B46" s="239" t="s">
        <v>1549</v>
      </c>
      <c r="C46" s="240">
        <f ca="1">ROUND((C33+C39)*F27,0)</f>
        <v>78</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951</v>
      </c>
      <c r="D49" s="223"/>
      <c r="E49" s="223"/>
      <c r="F49" s="255"/>
      <c r="G49" s="225" t="s">
        <v>1554</v>
      </c>
    </row>
    <row r="50" spans="1:7" s="249" customFormat="1" ht="24">
      <c r="A50" s="246" t="s">
        <v>1555</v>
      </c>
      <c r="B50" s="201" t="s">
        <v>1556</v>
      </c>
      <c r="C50" s="223"/>
      <c r="D50" s="223"/>
      <c r="E50" s="223"/>
      <c r="F50" s="255">
        <f>IF('数据-取费表'!B24=0,'数据-取费表'!N16,1)</f>
        <v>0.87</v>
      </c>
      <c r="G50" s="238" t="s">
        <v>1557</v>
      </c>
    </row>
    <row r="51" spans="1:7" ht="16.5" customHeight="1">
      <c r="A51" s="246" t="s">
        <v>1558</v>
      </c>
      <c r="B51" s="201" t="s">
        <v>1559</v>
      </c>
      <c r="C51" s="223">
        <f ca="1">ROUND(C49*F50,0)</f>
        <v>827</v>
      </c>
      <c r="D51" s="223"/>
      <c r="E51" s="223"/>
      <c r="F51" s="255"/>
      <c r="G51" s="225" t="s">
        <v>1560</v>
      </c>
    </row>
    <row r="52" spans="1:7" s="199" customFormat="1" ht="16.8" thickBot="1">
      <c r="A52" s="256" t="s">
        <v>1561</v>
      </c>
      <c r="B52" s="257"/>
      <c r="C52" s="258">
        <f ca="1">C31+C51</f>
        <v>897</v>
      </c>
      <c r="D52" s="257"/>
      <c r="E52" s="257"/>
      <c r="F52" s="257"/>
      <c r="G52" s="259"/>
    </row>
    <row r="55" spans="1:7" ht="15">
      <c r="B55" s="261" t="s">
        <v>1562</v>
      </c>
      <c r="C55" s="262"/>
    </row>
    <row r="56" spans="1:7">
      <c r="B56" s="264" t="s">
        <v>802</v>
      </c>
      <c r="C56" s="266">
        <f ca="1">1-C57</f>
        <v>7.7999999999999958E-2</v>
      </c>
    </row>
    <row r="57" spans="1:7">
      <c r="B57" s="264" t="s">
        <v>803</v>
      </c>
      <c r="C57" s="265">
        <f ca="1">ROUND(C51/C52,3)</f>
        <v>0.92200000000000004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9" t="str">
        <f>项目基本情况!B1</f>
        <v>北京市平谷区谷丰东路30号院14号楼-1至5层101房地产抵押价值预评估</v>
      </c>
      <c r="C37" s="3179"/>
      <c r="D37" s="3179"/>
      <c r="E37" s="3179"/>
      <c r="F37" s="3179"/>
      <c r="G37" s="3179"/>
      <c r="H37" s="3179"/>
      <c r="I37" s="317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32" sqref="P32"/>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3398</v>
      </c>
      <c r="C1" s="1716" t="s">
        <v>1563</v>
      </c>
      <c r="D1" s="189"/>
      <c r="E1" s="189"/>
      <c r="F1" s="189"/>
      <c r="G1" s="1061">
        <f>MATCH(B1,'数据-取费表'!A6:A16,0)+5</f>
        <v>6</v>
      </c>
      <c r="H1" s="997" t="str">
        <f>IF(ISERROR(FIND("住宅",B1)),"非住宅","住宅")</f>
        <v>非住宅</v>
      </c>
    </row>
    <row r="2" spans="1:8" s="191" customFormat="1" ht="18" customHeight="1">
      <c r="A2" s="192" t="s">
        <v>1462</v>
      </c>
      <c r="B2" s="3120">
        <f ca="1">ROUND(IF(D2="——",C52/10000,C52/10000-E2),4)</f>
        <v>1022.2030999999999</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5251</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1533859</v>
      </c>
      <c r="D5" s="202" t="s">
        <v>1469</v>
      </c>
      <c r="E5" s="203" t="s">
        <v>1470</v>
      </c>
      <c r="F5" s="203" t="s">
        <v>1471</v>
      </c>
      <c r="G5" s="204"/>
    </row>
    <row r="6" spans="1:8" s="205" customFormat="1" ht="13.5" customHeight="1">
      <c r="A6" s="731" t="s">
        <v>1472</v>
      </c>
      <c r="B6" s="206" t="s">
        <v>1473</v>
      </c>
      <c r="C6" s="207">
        <f>ROUND(基准地价修正!C33*基准地价修正!D33,0)</f>
        <v>1337348</v>
      </c>
      <c r="D6" s="208"/>
      <c r="E6" s="209"/>
      <c r="F6" s="209"/>
      <c r="G6" s="210"/>
    </row>
    <row r="7" spans="1:8" s="205" customFormat="1" ht="13.5" customHeight="1">
      <c r="A7" s="731" t="s">
        <v>1474</v>
      </c>
      <c r="B7" s="206" t="s">
        <v>1475</v>
      </c>
      <c r="C7" s="211">
        <f>ROUND(C6*F7,0)</f>
        <v>40789</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155722</v>
      </c>
      <c r="D8" s="213"/>
      <c r="E8" s="211"/>
      <c r="F8" s="212"/>
      <c r="G8" s="1713" t="s">
        <v>3431</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155722</v>
      </c>
      <c r="D10" s="794">
        <f ca="1">IF(B1="",'数据-汇总表'!E6,IF(INDIRECT("'数据-取费表'!c"&amp;$G$1)="住宅",INDIRECT("'数据-取费表'!s"&amp;$G$1),INDIRECT("'数据-取费表'!k"&amp;$G$1)+INDIRECT("'数据-取费表'!s"&amp;$G$1)))</f>
        <v>1946.52</v>
      </c>
      <c r="E10" s="216">
        <f>'数据-取费表'!B28</f>
        <v>80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1946.52</v>
      </c>
      <c r="E19" s="202">
        <f>'数据-取费表'!B31</f>
        <v>200</v>
      </c>
      <c r="F19" s="222"/>
      <c r="G19" s="1713" t="s">
        <v>3432</v>
      </c>
    </row>
    <row r="20" spans="1:7" s="205" customFormat="1" ht="13.5" customHeight="1">
      <c r="A20" s="246" t="s">
        <v>1574</v>
      </c>
      <c r="B20" s="201" t="s">
        <v>1575</v>
      </c>
      <c r="C20" s="223">
        <f ca="1">ROUND((C5+C19)*F20,0)</f>
        <v>30677</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72585</v>
      </c>
      <c r="D22" s="226">
        <f ca="1">C26</f>
        <v>5.0000000000000001E-4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71874</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711</v>
      </c>
      <c r="D25" s="229"/>
      <c r="E25" s="232"/>
      <c r="F25" s="230"/>
      <c r="G25" s="233" t="s">
        <v>1588</v>
      </c>
    </row>
    <row r="26" spans="1:7" s="205" customFormat="1">
      <c r="A26" s="733" t="s">
        <v>350</v>
      </c>
      <c r="B26" s="206" t="s">
        <v>1511</v>
      </c>
      <c r="C26" s="229">
        <f ca="1">ROUND(IF('数据-取费表'!B22&lt;=1,F21*F22*'数据-取费表'!B22/2,F21*(POWER((1+F22),'数据-取费表'!B22/2)-1)),4)</f>
        <v>5.0000000000000001E-4</v>
      </c>
      <c r="D26" s="229"/>
      <c r="E26" s="232"/>
      <c r="F26" s="230"/>
      <c r="G26" s="234"/>
    </row>
    <row r="27" spans="1:7" s="205" customFormat="1" ht="26.4">
      <c r="A27" s="246" t="s">
        <v>1512</v>
      </c>
      <c r="B27" s="235" t="s">
        <v>1513</v>
      </c>
      <c r="C27" s="236">
        <f ca="1">C28</f>
        <v>156454</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156454</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1940678</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7679021</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6812820</v>
      </c>
      <c r="D34" s="208"/>
      <c r="E34" s="211"/>
      <c r="F34" s="248"/>
      <c r="G34" s="210"/>
    </row>
    <row r="35" spans="1:7" ht="13.5" customHeight="1">
      <c r="A35" s="733" t="s">
        <v>351</v>
      </c>
      <c r="B35" s="206" t="s">
        <v>1527</v>
      </c>
      <c r="C35" s="211">
        <f ca="1">ROUND(C34*F35,0)</f>
        <v>340641</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389304</v>
      </c>
      <c r="D37" s="208">
        <f ca="1">D19</f>
        <v>1946.52</v>
      </c>
      <c r="E37" s="240">
        <f>'数据-取费表'!B35</f>
        <v>200</v>
      </c>
      <c r="F37" s="250"/>
      <c r="G37" s="252"/>
    </row>
    <row r="38" spans="1:7" ht="13.5" customHeight="1">
      <c r="A38" s="733" t="s">
        <v>354</v>
      </c>
      <c r="B38" s="206" t="s">
        <v>1533</v>
      </c>
      <c r="C38" s="211">
        <f ca="1">ROUND(C34*F38,0)</f>
        <v>136256</v>
      </c>
      <c r="D38" s="211"/>
      <c r="E38" s="211"/>
      <c r="F38" s="250">
        <f>'数据-取费表'!B36</f>
        <v>0.02</v>
      </c>
      <c r="G38" s="210" t="s">
        <v>1528</v>
      </c>
    </row>
    <row r="39" spans="1:7" s="205" customFormat="1" ht="13.5" customHeight="1">
      <c r="A39" s="246" t="s">
        <v>1534</v>
      </c>
      <c r="B39" s="201" t="s">
        <v>1535</v>
      </c>
      <c r="C39" s="223">
        <f ca="1">ROUND(C33*F20,0)</f>
        <v>153580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181411</v>
      </c>
      <c r="D41" s="226">
        <f ca="1">C44</f>
        <v>5.0000000000000001E-4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177854</v>
      </c>
      <c r="D42" s="229"/>
      <c r="E42" s="229"/>
      <c r="F42" s="230"/>
      <c r="G42" s="3364" t="s">
        <v>1591</v>
      </c>
    </row>
    <row r="43" spans="1:7" ht="13.5" customHeight="1">
      <c r="A43" s="733" t="s">
        <v>347</v>
      </c>
      <c r="B43" s="206" t="s">
        <v>1545</v>
      </c>
      <c r="C43" s="229">
        <f ca="1">ROUND(IF('数据-取费表'!B22&lt;=1,C39*F22*'数据-取费表'!B20/2,C39*(POWER((1+F22),'数据-取费表'!B20/2)-1)),0)</f>
        <v>3557</v>
      </c>
      <c r="D43" s="229"/>
      <c r="E43" s="229"/>
      <c r="F43" s="230"/>
      <c r="G43" s="3365"/>
    </row>
    <row r="44" spans="1:7" ht="13.5" customHeight="1">
      <c r="A44" s="733" t="s">
        <v>348</v>
      </c>
      <c r="B44" s="206" t="s">
        <v>1546</v>
      </c>
      <c r="C44" s="229">
        <f ca="1">ROUND(IF('数据-取费表'!B22&lt;=1,C40*F22*'数据-取费表'!B20/2,C40*(POWER((1+F22),'数据-取费表'!B20/2)-1)),4)</f>
        <v>5.0000000000000001E-4</v>
      </c>
      <c r="D44" s="229"/>
      <c r="E44" s="229"/>
      <c r="F44" s="230"/>
      <c r="G44" s="3366"/>
    </row>
    <row r="45" spans="1:7" s="205" customFormat="1" ht="13.5" customHeight="1">
      <c r="A45" s="246" t="s">
        <v>1547</v>
      </c>
      <c r="B45" s="235" t="s">
        <v>1513</v>
      </c>
      <c r="C45" s="236">
        <f ca="1">C46</f>
        <v>783260</v>
      </c>
      <c r="D45" s="226">
        <f ca="1">C47</f>
        <v>2E-3</v>
      </c>
      <c r="E45" s="227" t="s">
        <v>1539</v>
      </c>
      <c r="F45" s="237">
        <f ca="1">F27</f>
        <v>0.1</v>
      </c>
      <c r="G45" s="238" t="s">
        <v>1548</v>
      </c>
    </row>
    <row r="46" spans="1:7" s="205" customFormat="1" ht="13.5" customHeight="1">
      <c r="A46" s="733" t="s">
        <v>346</v>
      </c>
      <c r="B46" s="239" t="s">
        <v>1549</v>
      </c>
      <c r="C46" s="240">
        <f ca="1">ROUND((C33+C39)*F27,0)</f>
        <v>783260</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9518797</v>
      </c>
      <c r="D49" s="223"/>
      <c r="E49" s="223"/>
      <c r="F49" s="255"/>
      <c r="G49" s="225" t="s">
        <v>1554</v>
      </c>
    </row>
    <row r="50" spans="1:7" s="249" customFormat="1">
      <c r="A50" s="246" t="s">
        <v>1555</v>
      </c>
      <c r="B50" s="201" t="s">
        <v>1556</v>
      </c>
      <c r="C50" s="223"/>
      <c r="D50" s="223"/>
      <c r="E50" s="223"/>
      <c r="F50" s="255">
        <f>IF('数据-取费表'!B24=0,'数据-取费表'!N16,1)</f>
        <v>0.87</v>
      </c>
      <c r="G50" s="238"/>
    </row>
    <row r="51" spans="1:7" ht="16.5" customHeight="1">
      <c r="A51" s="246" t="s">
        <v>1558</v>
      </c>
      <c r="B51" s="201" t="s">
        <v>1593</v>
      </c>
      <c r="C51" s="223">
        <f ca="1">ROUND(C49*F50,0)</f>
        <v>8281353</v>
      </c>
      <c r="D51" s="223"/>
      <c r="E51" s="223"/>
      <c r="F51" s="255"/>
      <c r="G51" s="225" t="s">
        <v>1560</v>
      </c>
    </row>
    <row r="52" spans="1:7" s="199" customFormat="1" ht="16.8" thickBot="1">
      <c r="A52" s="256" t="s">
        <v>1561</v>
      </c>
      <c r="B52" s="257"/>
      <c r="C52" s="258">
        <f ca="1">C31+C51</f>
        <v>10222031</v>
      </c>
      <c r="D52" s="257"/>
      <c r="E52" s="257"/>
      <c r="F52" s="257"/>
      <c r="G52" s="259"/>
    </row>
    <row r="55" spans="1:7" ht="15">
      <c r="B55" s="261" t="s">
        <v>1562</v>
      </c>
      <c r="C55" s="262"/>
    </row>
    <row r="56" spans="1:7">
      <c r="B56" s="264" t="s">
        <v>802</v>
      </c>
      <c r="C56" s="266">
        <f ca="1">1-C57</f>
        <v>0.18999999999999995</v>
      </c>
    </row>
    <row r="57" spans="1:7">
      <c r="B57" s="264" t="s">
        <v>803</v>
      </c>
      <c r="C57" s="265">
        <f ca="1">ROUND(C51/C52,3)</f>
        <v>0.81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5"/>
      <c r="F1" s="2565"/>
      <c r="G1" s="2446"/>
      <c r="H1" s="2565"/>
      <c r="I1" s="2565"/>
      <c r="J1" s="2565"/>
      <c r="K1" s="2566">
        <f>MATCH(C1,'数据-取费表'!A6:A16,0)+5</f>
        <v>7</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1946.52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1946.52</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0.42779999999999951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16</v>
      </c>
      <c r="D20" s="795">
        <f ca="1">IF(C1="",'数据-汇总表'!E6,IF(INDIRECT("'数据-取费表'!c"&amp;$K$1)="住宅",INDIRECT("'数据-取费表'!s"&amp;$K$1),INDIRECT("'数据-取费表'!k"&amp;$K$1)+INDIRECT("'数据-取费表'!s"&amp;$K$1)))</f>
        <v>1946.52</v>
      </c>
      <c r="E20" s="21">
        <f>'数据-取费表'!B28</f>
        <v>80</v>
      </c>
      <c r="F20" s="755"/>
      <c r="G20" s="12"/>
      <c r="H20" s="760"/>
      <c r="I20" s="760"/>
      <c r="J20" s="760"/>
      <c r="K20" s="761"/>
    </row>
    <row r="21" spans="1:33" s="754" customFormat="1" ht="13.5" customHeight="1">
      <c r="A21" s="743" t="s">
        <v>357</v>
      </c>
      <c r="B21" s="764" t="s">
        <v>1628</v>
      </c>
      <c r="C21" s="765">
        <f ca="1">C16+C17+C18</f>
        <v>0.42779999999999951</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69" t="s">
        <v>694</v>
      </c>
      <c r="C6" s="1010">
        <f ca="1">ROUND(F6*F8*F7*(1-F9)/10000,0)</f>
        <v>0</v>
      </c>
      <c r="D6" s="146" t="s">
        <v>2109</v>
      </c>
      <c r="E6" s="293" t="s">
        <v>696</v>
      </c>
      <c r="F6" s="294">
        <f ca="1">INDIRECT("'数据-取费表'!u"&amp;$G$1)</f>
        <v>0</v>
      </c>
      <c r="G6" s="1291"/>
      <c r="H6" s="1005" t="s">
        <v>398</v>
      </c>
      <c r="I6" s="3369" t="s">
        <v>694</v>
      </c>
      <c r="J6" s="292">
        <f ca="1">ROUND(M6*M8*M7*(1-M9)/10000,0)</f>
        <v>0</v>
      </c>
      <c r="K6" s="146" t="s">
        <v>2108</v>
      </c>
      <c r="L6" s="293" t="s">
        <v>696</v>
      </c>
      <c r="M6" s="294">
        <f ca="1">INDIRECT("'数据-取费表'!z"&amp;$G$1)</f>
        <v>0</v>
      </c>
    </row>
    <row r="7" spans="1:37" ht="18" customHeight="1">
      <c r="A7" s="1009"/>
      <c r="B7" s="3370"/>
      <c r="C7" s="1011"/>
      <c r="D7" s="298"/>
      <c r="E7" s="1012" t="s">
        <v>697</v>
      </c>
      <c r="F7" s="294">
        <f ca="1">IF(INDIRECT("'数据-取费表'!ah"&amp;$G$1)="",INDIRECT("'数据-取费表'!k"&amp;$G$1),INDIRECT("'数据-取费表'!ah"&amp;$G$1))</f>
        <v>0</v>
      </c>
      <c r="G7" s="1291"/>
      <c r="H7" s="295"/>
      <c r="I7" s="3370"/>
      <c r="J7" s="297"/>
      <c r="K7" s="298"/>
      <c r="L7" s="293" t="s">
        <v>697</v>
      </c>
      <c r="M7" s="294">
        <f ca="1">F7</f>
        <v>0</v>
      </c>
    </row>
    <row r="8" spans="1:37" ht="18" customHeight="1">
      <c r="A8" s="295"/>
      <c r="B8" s="3370"/>
      <c r="C8" s="297"/>
      <c r="D8" s="298"/>
      <c r="E8" s="293" t="s">
        <v>698</v>
      </c>
      <c r="F8" s="294">
        <f ca="1">INDIRECT("'数据-取费表'!ai"&amp;$G$1)</f>
        <v>0</v>
      </c>
      <c r="G8" s="1291"/>
      <c r="H8" s="295"/>
      <c r="I8" s="3370"/>
      <c r="J8" s="297"/>
      <c r="K8" s="298"/>
      <c r="L8" s="293" t="s">
        <v>698</v>
      </c>
      <c r="M8" s="294">
        <f ca="1">INDIRECT("'数据-取费表'!ai"&amp;$G$1)</f>
        <v>0</v>
      </c>
    </row>
    <row r="9" spans="1:37" ht="18" customHeight="1">
      <c r="A9" s="295"/>
      <c r="B9" s="3371"/>
      <c r="C9" s="297"/>
      <c r="D9" s="298"/>
      <c r="E9" s="293" t="s">
        <v>699</v>
      </c>
      <c r="F9" s="303">
        <f ca="1">INDIRECT("'数据-取费表'!w"&amp;$G$1)</f>
        <v>0</v>
      </c>
      <c r="G9" s="1291"/>
      <c r="H9" s="295"/>
      <c r="I9" s="3371"/>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3338</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2308</v>
      </c>
      <c r="I31" s="1304"/>
      <c r="J31" s="1305"/>
      <c r="K31" s="120"/>
      <c r="L31" s="2469"/>
      <c r="M31" s="2470"/>
    </row>
    <row r="32" spans="1:37" ht="18" customHeight="1">
      <c r="A32" s="927" t="s">
        <v>397</v>
      </c>
      <c r="B32" s="293" t="s">
        <v>723</v>
      </c>
      <c r="C32" s="21">
        <f ca="1">IF(项目基本情况!B11="自然人","——",ROUND(C6*F32/(1+'数据-取费表'!C42),2))</f>
        <v>0</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3338</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IF(项目基本情况!B11="自然人","——",ROUND(F34*F35/10000,2))</f>
        <v>0</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1">
        <f ca="1">ROUND(C13*F37,2)</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67" t="s">
        <v>837</v>
      </c>
      <c r="L53" s="3368"/>
      <c r="O53" s="1324" t="s">
        <v>409</v>
      </c>
      <c r="P53" s="1325" t="s">
        <v>838</v>
      </c>
      <c r="Q53" s="1326" t="e">
        <f ca="1">Q47+Q48</f>
        <v>#DIV/0!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L41" sqref="L4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3398</v>
      </c>
      <c r="D1" s="1270" t="s">
        <v>43</v>
      </c>
      <c r="E1" s="1271" t="s">
        <v>678</v>
      </c>
      <c r="F1" s="998">
        <f ca="1">J53</f>
        <v>24.66</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940.12049999999999</v>
      </c>
      <c r="C2" s="1288" t="s">
        <v>879</v>
      </c>
      <c r="D2" s="1374">
        <f ca="1">C40+J29+L46</f>
        <v>9401205</v>
      </c>
      <c r="E2" s="1294" t="s">
        <v>880</v>
      </c>
      <c r="F2" s="1295"/>
      <c r="G2" s="2476"/>
      <c r="H2" s="2466"/>
      <c r="I2" s="2466"/>
      <c r="J2" s="2466"/>
      <c r="K2" s="2467"/>
      <c r="L2" s="2466"/>
      <c r="M2" s="2466"/>
    </row>
    <row r="3" spans="1:37" ht="18" customHeight="1" thickBot="1">
      <c r="A3" s="1296" t="s">
        <v>881</v>
      </c>
      <c r="B3" s="1297">
        <f ca="1">IF(ISERROR(D2/F43),0,ROUND(D2/F43,0))</f>
        <v>4830</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686469</v>
      </c>
      <c r="D5" s="1272" t="s">
        <v>889</v>
      </c>
      <c r="E5" s="1007"/>
      <c r="F5" s="1008"/>
      <c r="G5" s="1291"/>
      <c r="H5" s="290">
        <v>1</v>
      </c>
      <c r="I5" s="291" t="s">
        <v>888</v>
      </c>
      <c r="J5" s="1006">
        <f ca="1">J6+J10+J12</f>
        <v>0</v>
      </c>
      <c r="K5" s="1272" t="s">
        <v>889</v>
      </c>
      <c r="L5" s="1007"/>
      <c r="M5" s="1008"/>
    </row>
    <row r="6" spans="1:37" ht="18" customHeight="1">
      <c r="A6" s="1005" t="s">
        <v>398</v>
      </c>
      <c r="B6" s="3369" t="s">
        <v>694</v>
      </c>
      <c r="C6" s="1010">
        <f ca="1">ROUND(F6*F8*F7*(1-F9),0)</f>
        <v>685612</v>
      </c>
      <c r="D6" s="146" t="s">
        <v>2106</v>
      </c>
      <c r="E6" s="293" t="s">
        <v>696</v>
      </c>
      <c r="F6" s="294">
        <f ca="1">INDIRECT("'数据-取费表'!u"&amp;$G$1)</f>
        <v>1.3</v>
      </c>
      <c r="G6" s="1291"/>
      <c r="H6" s="1005" t="s">
        <v>398</v>
      </c>
      <c r="I6" s="3369" t="s">
        <v>694</v>
      </c>
      <c r="J6" s="292">
        <f ca="1">ROUND(M6*M8*M7*(1-M9),0)</f>
        <v>0</v>
      </c>
      <c r="K6" s="1283" t="s">
        <v>2107</v>
      </c>
      <c r="L6" s="293" t="s">
        <v>696</v>
      </c>
      <c r="M6" s="294">
        <f ca="1">INDIRECT("'数据-取费表'!z"&amp;$G$1)</f>
        <v>0</v>
      </c>
    </row>
    <row r="7" spans="1:37" ht="18" customHeight="1">
      <c r="A7" s="1009"/>
      <c r="B7" s="3370"/>
      <c r="C7" s="1011"/>
      <c r="D7" s="298"/>
      <c r="E7" s="1012" t="s">
        <v>697</v>
      </c>
      <c r="F7" s="294">
        <f ca="1">IF(INDIRECT("'数据-取费表'!ah"&amp;$G$1)="",INDIRECT("'数据-取费表'!k"&amp;$G$1),INDIRECT("'数据-取费表'!ah"&amp;$G$1))</f>
        <v>1605.46</v>
      </c>
      <c r="G7" s="1291"/>
      <c r="H7" s="295"/>
      <c r="I7" s="3370"/>
      <c r="J7" s="297"/>
      <c r="K7" s="298"/>
      <c r="L7" s="293" t="s">
        <v>697</v>
      </c>
      <c r="M7" s="294">
        <f ca="1">F7</f>
        <v>1605.46</v>
      </c>
    </row>
    <row r="8" spans="1:37" ht="18" customHeight="1">
      <c r="A8" s="295"/>
      <c r="B8" s="3370"/>
      <c r="C8" s="297"/>
      <c r="D8" s="298"/>
      <c r="E8" s="293" t="s">
        <v>698</v>
      </c>
      <c r="F8" s="294">
        <f ca="1">INDIRECT("'数据-取费表'!ai"&amp;$G$1)</f>
        <v>365</v>
      </c>
      <c r="G8" s="1291"/>
      <c r="H8" s="295"/>
      <c r="I8" s="3370"/>
      <c r="J8" s="297"/>
      <c r="K8" s="298"/>
      <c r="L8" s="293" t="s">
        <v>698</v>
      </c>
      <c r="M8" s="294">
        <f ca="1">INDIRECT("'数据-取费表'!ai"&amp;$G$1)</f>
        <v>365</v>
      </c>
    </row>
    <row r="9" spans="1:37" ht="18" customHeight="1">
      <c r="A9" s="295"/>
      <c r="B9" s="3371"/>
      <c r="C9" s="297"/>
      <c r="D9" s="298"/>
      <c r="E9" s="293" t="s">
        <v>699</v>
      </c>
      <c r="F9" s="303">
        <f ca="1">INDIRECT("'数据-取费表'!w"&amp;$G$1)</f>
        <v>0.1</v>
      </c>
      <c r="G9" s="1291"/>
      <c r="H9" s="295"/>
      <c r="I9" s="3371"/>
      <c r="J9" s="297"/>
      <c r="K9" s="298"/>
      <c r="L9" s="304" t="s">
        <v>699</v>
      </c>
      <c r="M9" s="305">
        <f ca="1">INDIRECT("'数据-取费表'!ab"&amp;$G$1)</f>
        <v>0</v>
      </c>
    </row>
    <row r="10" spans="1:37" ht="18" customHeight="1">
      <c r="A10" s="1005" t="s">
        <v>402</v>
      </c>
      <c r="B10" s="1273" t="s">
        <v>700</v>
      </c>
      <c r="C10" s="307">
        <f ca="1">ROUND(IF(F10="押一",C6/12*F11,IF(F10="押二",C6/12*2*F11,IF(F10="押三",C6/12*3*F11,C11*F11))),0)</f>
        <v>857</v>
      </c>
      <c r="D10" s="149" t="s">
        <v>2116</v>
      </c>
      <c r="E10" s="304" t="s">
        <v>701</v>
      </c>
      <c r="F10" s="1052" t="s">
        <v>3433</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8281353</v>
      </c>
      <c r="D13" s="1017" t="s">
        <v>705</v>
      </c>
      <c r="E13" s="1017" t="s">
        <v>706</v>
      </c>
      <c r="F13" s="1018">
        <f ca="1">INDIRECT("'数据-取费表'!y"&amp;$G$1)</f>
        <v>0.87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6812820</v>
      </c>
      <c r="D14" s="1256" t="s">
        <v>708</v>
      </c>
      <c r="E14" s="1254"/>
      <c r="F14" s="310"/>
      <c r="G14" s="1291"/>
      <c r="H14" s="927" t="s">
        <v>398</v>
      </c>
      <c r="I14" s="293" t="s">
        <v>709</v>
      </c>
      <c r="J14" s="21">
        <f ca="1">C29</f>
        <v>9518797</v>
      </c>
      <c r="K14" s="12"/>
      <c r="L14" s="758"/>
      <c r="M14" s="759"/>
    </row>
    <row r="15" spans="1:37" s="1303" customFormat="1" ht="18" customHeight="1" thickBot="1">
      <c r="A15" s="927" t="s">
        <v>399</v>
      </c>
      <c r="B15" s="293" t="s">
        <v>710</v>
      </c>
      <c r="C15" s="21">
        <f ca="1">ROUND(C14*F15,0)</f>
        <v>340641</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19038</v>
      </c>
      <c r="K16" s="1023" t="s">
        <v>715</v>
      </c>
      <c r="L16" s="1024"/>
      <c r="M16" s="1008"/>
    </row>
    <row r="17" spans="1:37" s="1303" customFormat="1" ht="18" customHeight="1">
      <c r="A17" s="927" t="s">
        <v>681</v>
      </c>
      <c r="B17" s="293" t="s">
        <v>716</v>
      </c>
      <c r="C17" s="21">
        <f ca="1">ROUND(F17*(F43+INDIRECT("'数据-取费表'!S"&amp;$G$1)),0)</f>
        <v>389304</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136256</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7679021</v>
      </c>
      <c r="D19" s="122" t="s">
        <v>726</v>
      </c>
      <c r="E19" s="1268"/>
      <c r="F19" s="23"/>
      <c r="G19" s="1291"/>
      <c r="H19" s="927" t="s">
        <v>399</v>
      </c>
      <c r="I19" s="293" t="s">
        <v>727</v>
      </c>
      <c r="J19" s="21">
        <f ca="1">IF(K19="按租金收入计税",ROUND(J6*M19/(1+'数据-取费表'!C42),0),ROUND(C29*M19*0.7,0))</f>
        <v>0</v>
      </c>
      <c r="K19" s="1277" t="s">
        <v>3338</v>
      </c>
      <c r="L19" s="293" t="s">
        <v>712</v>
      </c>
      <c r="M19" s="313">
        <f>IF(K19="按租金收入计税",'数据-取费表'!B51,'数据-取费表'!B50)</f>
        <v>0.12</v>
      </c>
    </row>
    <row r="20" spans="1:37" s="1303" customFormat="1" ht="18" customHeight="1">
      <c r="A20" s="927" t="s">
        <v>402</v>
      </c>
      <c r="B20" s="293" t="s">
        <v>728</v>
      </c>
      <c r="C20" s="21">
        <f ca="1">ROUND(C19*F20,0)</f>
        <v>153580</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19038</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181411</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-19038</v>
      </c>
      <c r="K25" s="1031" t="s">
        <v>753</v>
      </c>
      <c r="L25" s="1032"/>
      <c r="M25" s="1033"/>
    </row>
    <row r="26" spans="1:37" ht="18" customHeight="1">
      <c r="A26" s="927" t="s">
        <v>397</v>
      </c>
      <c r="B26" s="293" t="s">
        <v>754</v>
      </c>
      <c r="C26" s="21">
        <f ca="1">ROUND((C19+C20)*F26,0)</f>
        <v>783260</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9518797</v>
      </c>
      <c r="D29" s="1028"/>
      <c r="E29" s="1026"/>
      <c r="F29" s="1029"/>
      <c r="G29" s="1302"/>
      <c r="H29" s="324" t="s">
        <v>396</v>
      </c>
      <c r="I29" s="325" t="s">
        <v>768</v>
      </c>
      <c r="J29" s="326">
        <f ca="1">ROUND(J26/(1+F40)^F41,0)</f>
        <v>0</v>
      </c>
      <c r="K29" s="327" t="s">
        <v>769</v>
      </c>
      <c r="L29" s="328"/>
      <c r="M29" s="329">
        <f ca="1">INDIRECT("'数据-取费表'!k"&amp;$G$1)</f>
        <v>1946.52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149106</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114922</v>
      </c>
      <c r="D31" s="1256" t="s">
        <v>720</v>
      </c>
      <c r="E31" s="1255" t="s">
        <v>770</v>
      </c>
      <c r="F31" s="2138" t="str">
        <f>IF(项目基本情况!B11="企业","——",IF(M47="住宅",IF(F6*F7*F8/12/(1+'数据-取费表'!F30)&gt;100000,4%,2.5%),IF(F6*F7*F8/12/(1+'数据-取费表'!F30)&gt;100000,12%,7%)))</f>
        <v>——</v>
      </c>
      <c r="G31" s="1291"/>
      <c r="H31" s="2567" t="s">
        <v>2308</v>
      </c>
      <c r="I31" s="1304"/>
      <c r="J31" s="1305"/>
      <c r="K31" s="120"/>
      <c r="L31" s="2469"/>
      <c r="M31" s="2470"/>
    </row>
    <row r="32" spans="1:37" ht="18" customHeight="1">
      <c r="A32" s="927" t="s">
        <v>397</v>
      </c>
      <c r="B32" s="293" t="s">
        <v>723</v>
      </c>
      <c r="C32" s="21">
        <f ca="1">IF(项目基本情况!B11="自然人","——",ROUND(C6*F32/(1+'数据-取费表'!C42),0))</f>
        <v>36566</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IF(项目基本情况!B11="自然人","——",IF(D33="按租金收入计税",ROUND(C6*F33/(1+'数据-取费表'!C42),0),IF(D33="按房产原值计税",ROUND(C29*F33*0.7,0),INDIRECT("'数据-取费表'!Aj"&amp;$G$1))))</f>
        <v>78356</v>
      </c>
      <c r="D33" s="1277" t="s">
        <v>3338</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IF(项目基本情况!B11="自然人","——",ROUND(F34*F35,0))</f>
        <v>0</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19038</v>
      </c>
      <c r="D36" s="1255" t="s">
        <v>771</v>
      </c>
      <c r="E36" s="293" t="s">
        <v>712</v>
      </c>
      <c r="F36" s="319">
        <f ca="1">INDIRECT("'数据-取费表'!Ak"&amp;$G$1)</f>
        <v>2E-3</v>
      </c>
      <c r="G36" s="1291"/>
      <c r="H36" s="2471"/>
      <c r="I36" s="1304"/>
      <c r="J36" s="1305"/>
      <c r="K36" s="2329"/>
      <c r="L36" s="2471"/>
      <c r="M36" s="2471"/>
    </row>
    <row r="37" spans="1:18" ht="18" customHeight="1">
      <c r="A37" s="927" t="s">
        <v>437</v>
      </c>
      <c r="B37" s="293" t="s">
        <v>742</v>
      </c>
      <c r="C37" s="21">
        <f ca="1">ROUND(C13*F37,0)</f>
        <v>8281</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6865</v>
      </c>
      <c r="D38" s="1028" t="s">
        <v>748</v>
      </c>
      <c r="E38" s="1026" t="s">
        <v>744</v>
      </c>
      <c r="F38" s="1022">
        <f ca="1">INDIRECT("'数据-取费表'!Am"&amp;$G$1)</f>
        <v>0.01</v>
      </c>
      <c r="G38" s="1291"/>
      <c r="H38" s="2471">
        <f ca="1">C39/C5</f>
        <v>0.78279281365946607</v>
      </c>
      <c r="I38" s="1304"/>
      <c r="J38" s="1305"/>
      <c r="K38" s="2469"/>
      <c r="L38" s="2471"/>
      <c r="M38" s="2471"/>
    </row>
    <row r="39" spans="1:18" ht="24.6" customHeight="1" thickTop="1">
      <c r="A39" s="1015" t="s">
        <v>394</v>
      </c>
      <c r="B39" s="1030" t="s">
        <v>772</v>
      </c>
      <c r="C39" s="301">
        <f ca="1">C5-C30</f>
        <v>537363</v>
      </c>
      <c r="D39" s="1031" t="s">
        <v>773</v>
      </c>
      <c r="E39" s="1032"/>
      <c r="F39" s="1033"/>
      <c r="G39" s="1291"/>
      <c r="H39" s="2471"/>
      <c r="I39" s="1304"/>
      <c r="J39" s="1305"/>
      <c r="K39" s="2469"/>
      <c r="L39" s="2471"/>
      <c r="M39" s="2471"/>
    </row>
    <row r="40" spans="1:18" ht="18" customHeight="1">
      <c r="A40" s="290" t="s">
        <v>395</v>
      </c>
      <c r="B40" s="291" t="s">
        <v>774</v>
      </c>
      <c r="C40" s="292">
        <f ca="1">ROUND(C39*(1-((1+F42)/(1+F40))^F41)/(F40-F42),0)</f>
        <v>8671724</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24.66</v>
      </c>
      <c r="G41" s="1291"/>
      <c r="H41" s="120"/>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4455</v>
      </c>
      <c r="D43" s="327" t="s">
        <v>777</v>
      </c>
      <c r="E43" s="328" t="s">
        <v>778</v>
      </c>
      <c r="F43" s="329">
        <f ca="1">INDIRECT("'数据-取费表'!k"&amp;$G$1)</f>
        <v>1946.52</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3354</v>
      </c>
      <c r="B45" s="1306"/>
      <c r="C45" s="1375">
        <f ca="1">ROUND((C68-C40)/10000,4)</f>
        <v>-903.57860000000005</v>
      </c>
      <c r="D45" s="3128" t="s">
        <v>3355</v>
      </c>
      <c r="E45" s="1306"/>
      <c r="F45" s="1306"/>
      <c r="O45" s="1309" t="s">
        <v>808</v>
      </c>
      <c r="P45" s="1365"/>
      <c r="Q45" s="1365"/>
      <c r="R45" s="1365"/>
    </row>
    <row r="46" spans="1:18" s="1291" customFormat="1" ht="13.8" thickBot="1">
      <c r="A46" s="1310" t="s">
        <v>809</v>
      </c>
      <c r="C46" s="1311">
        <f ca="1">ROUND(C45,0)</f>
        <v>-904</v>
      </c>
      <c r="D46" s="1312" t="str">
        <f>C2</f>
        <v>万元</v>
      </c>
      <c r="I46" s="1313" t="s">
        <v>810</v>
      </c>
      <c r="J46" s="1314"/>
      <c r="K46" s="1315"/>
      <c r="L46" s="1316">
        <f ca="1">IF(M47="住宅",0,IF(L48&gt;J51,L60,J60))</f>
        <v>729481</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3434</v>
      </c>
      <c r="K47" s="1322" t="s">
        <v>816</v>
      </c>
      <c r="L47" s="1323">
        <f ca="1">INDIRECT("'数据-取费表'!d"&amp;$G$1)</f>
        <v>50</v>
      </c>
      <c r="M47" s="1287" t="str">
        <f>IF(ISNUMBER(FIND("住宅",C1)),"住宅","非住宅")</f>
        <v>非住宅</v>
      </c>
      <c r="O47" s="1324" t="s">
        <v>403</v>
      </c>
      <c r="P47" s="1325" t="s">
        <v>817</v>
      </c>
      <c r="Q47" s="1326">
        <f ca="1">C40+J29</f>
        <v>8671724</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3435</v>
      </c>
      <c r="K48" s="1329" t="s">
        <v>820</v>
      </c>
      <c r="L48" s="1330">
        <f ca="1">INDIRECT("'数据-取费表'!f"&amp;$G$1)</f>
        <v>24.66</v>
      </c>
      <c r="O48" s="1324" t="s">
        <v>404</v>
      </c>
      <c r="P48" s="1325" t="s">
        <v>821</v>
      </c>
      <c r="Q48" s="1326">
        <f ca="1">J60</f>
        <v>729481</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'数据-取费表'!N18</f>
        <v>2016</v>
      </c>
      <c r="K49" s="1329" t="s">
        <v>824</v>
      </c>
      <c r="L49" s="1332"/>
      <c r="O49" s="1333" t="s">
        <v>405</v>
      </c>
      <c r="P49" s="1325" t="s">
        <v>825</v>
      </c>
      <c r="Q49" s="1326">
        <f ca="1">C29</f>
        <v>9518797</v>
      </c>
      <c r="R49" s="1326" t="s">
        <v>818</v>
      </c>
    </row>
    <row r="50" spans="1:18" s="1291" customFormat="1" ht="13.8" thickBot="1">
      <c r="A50" s="921"/>
      <c r="B50" s="924"/>
      <c r="C50" s="925"/>
      <c r="D50" s="898"/>
      <c r="E50" s="992" t="s">
        <v>697</v>
      </c>
      <c r="F50" s="993">
        <f ca="1">F7</f>
        <v>1605.46</v>
      </c>
      <c r="H50" s="681"/>
      <c r="I50" s="1327" t="s">
        <v>826</v>
      </c>
      <c r="J50" s="1334">
        <f>SUMPRODUCT((I63:I65=J47)*(J62:L62=J48)*(J63:L65))</f>
        <v>60</v>
      </c>
      <c r="K50" s="1329" t="s">
        <v>827</v>
      </c>
      <c r="L50" s="1332"/>
      <c r="M50" s="1335"/>
      <c r="O50" s="1333" t="s">
        <v>406</v>
      </c>
      <c r="P50" s="1325" t="s">
        <v>828</v>
      </c>
      <c r="Q50" s="1336">
        <f ca="1">J58</f>
        <v>0.45600000000000002</v>
      </c>
      <c r="R50" s="1326"/>
    </row>
    <row r="51" spans="1:18" s="1291" customFormat="1" ht="13.8" thickBot="1">
      <c r="A51" s="922"/>
      <c r="B51" s="924"/>
      <c r="C51" s="925"/>
      <c r="D51" s="898"/>
      <c r="E51" s="926" t="s">
        <v>698</v>
      </c>
      <c r="F51" s="294">
        <f ca="1">F8</f>
        <v>365</v>
      </c>
      <c r="I51" s="1337" t="s">
        <v>829</v>
      </c>
      <c r="J51" s="1330">
        <f>IF(J49="",J50,J49+J50-YEAR('数据-取费表'!B2))</f>
        <v>52</v>
      </c>
      <c r="K51" s="1338" t="s">
        <v>830</v>
      </c>
      <c r="L51" s="1339">
        <f ca="1">ROUND(-PV(INDIRECT("'数据-取费表'!h"&amp;$G$1),J51,(C39-C13*C76),0),0)</f>
        <v>-779669</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24.66</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24.66</v>
      </c>
      <c r="K53" s="3367" t="s">
        <v>837</v>
      </c>
      <c r="L53" s="3368"/>
      <c r="O53" s="1324" t="s">
        <v>409</v>
      </c>
      <c r="P53" s="1325" t="s">
        <v>838</v>
      </c>
      <c r="Q53" s="1326">
        <f ca="1">Q47+Q48</f>
        <v>9401205</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0.45600000000000002</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8281353</v>
      </c>
      <c r="D56" s="1351"/>
      <c r="E56" s="1352"/>
      <c r="F56" s="1344"/>
      <c r="I56" s="1353" t="s">
        <v>842</v>
      </c>
      <c r="J56" s="1354" t="s">
        <v>3400</v>
      </c>
      <c r="K56" s="1327" t="s">
        <v>843</v>
      </c>
      <c r="L56" s="1330" t="str">
        <f ca="1">IF(L48&lt;J51,"——",L48-J51)</f>
        <v>——</v>
      </c>
      <c r="O56" s="1324" t="s">
        <v>403</v>
      </c>
      <c r="P56" s="1325" t="s">
        <v>817</v>
      </c>
      <c r="Q56" s="1326">
        <f ca="1">C40+J29</f>
        <v>8671724</v>
      </c>
      <c r="R56" s="1326" t="s">
        <v>818</v>
      </c>
    </row>
    <row r="57" spans="1:18" s="1291" customFormat="1" ht="24.6" thickBot="1">
      <c r="A57" s="1355"/>
      <c r="B57" s="895" t="s">
        <v>767</v>
      </c>
      <c r="C57" s="229">
        <f ca="1">C29</f>
        <v>9518797</v>
      </c>
      <c r="D57" s="1356"/>
      <c r="E57" s="1357"/>
      <c r="F57" s="1358"/>
      <c r="I57" s="1359" t="s">
        <v>844</v>
      </c>
      <c r="J57" s="1360">
        <f ca="1">IF(OR(M47="住宅",J51&lt;L48,J56="是"),"——",J51-L48)</f>
        <v>27.34</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27319</v>
      </c>
      <c r="D58" s="905" t="s">
        <v>715</v>
      </c>
      <c r="E58" s="906"/>
      <c r="F58" s="907"/>
      <c r="I58" s="1359" t="s">
        <v>848</v>
      </c>
      <c r="J58" s="1361">
        <f ca="1">IF(J55&lt;0.4,0.4,J55)</f>
        <v>0.45600000000000002</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4340571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729481</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f ca="1">Q56+Q57</f>
        <v>8671724</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19038</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8281</v>
      </c>
      <c r="D65" s="909" t="s">
        <v>743</v>
      </c>
      <c r="E65" s="895" t="s">
        <v>744</v>
      </c>
      <c r="F65" s="320">
        <f t="shared" ca="1" si="0"/>
        <v>1E-3</v>
      </c>
      <c r="I65" s="1366" t="s">
        <v>867</v>
      </c>
      <c r="J65" s="609">
        <v>40</v>
      </c>
      <c r="K65" s="609">
        <v>30</v>
      </c>
      <c r="L65" s="609">
        <v>50</v>
      </c>
      <c r="M65" s="1368">
        <v>0.02</v>
      </c>
      <c r="O65" s="1324" t="s">
        <v>403</v>
      </c>
      <c r="P65" s="1325" t="s">
        <v>868</v>
      </c>
      <c r="Q65" s="1326">
        <f ca="1">C40+J29</f>
        <v>8671724</v>
      </c>
      <c r="R65" s="1326" t="s">
        <v>818</v>
      </c>
    </row>
    <row r="66" spans="1:18" s="1291" customFormat="1" ht="16.2"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-27319</v>
      </c>
      <c r="D67" s="908" t="s">
        <v>753</v>
      </c>
      <c r="E67" s="913"/>
      <c r="F67" s="914"/>
      <c r="O67" s="1333" t="s">
        <v>405</v>
      </c>
      <c r="P67" s="1325" t="s">
        <v>850</v>
      </c>
      <c r="Q67" s="1369">
        <f ca="1">L51</f>
        <v>-779669</v>
      </c>
      <c r="R67" s="1326" t="s">
        <v>870</v>
      </c>
    </row>
    <row r="68" spans="1:18" s="1291" customFormat="1" ht="16.2" thickBot="1">
      <c r="A68" s="892" t="s">
        <v>395</v>
      </c>
      <c r="B68" s="893" t="s">
        <v>774</v>
      </c>
      <c r="C68" s="292">
        <f ca="1">ROUND(C67*(1-((1+F70)/(1+F68))^F69)/(F68-F70),0)</f>
        <v>-364062</v>
      </c>
      <c r="D68" s="910" t="s">
        <v>758</v>
      </c>
      <c r="E68" s="895" t="s">
        <v>759</v>
      </c>
      <c r="F68" s="303">
        <f ca="1">F40</f>
        <v>5.5E-2</v>
      </c>
      <c r="O68" s="1333" t="s">
        <v>406</v>
      </c>
      <c r="P68" s="1370" t="s">
        <v>871</v>
      </c>
      <c r="Q68" s="1326">
        <f ca="1">ROUND(Q69-Q70*Q71,0)</f>
        <v>-42332</v>
      </c>
      <c r="R68" s="1326" t="s">
        <v>414</v>
      </c>
    </row>
    <row r="69" spans="1:18" s="1291" customFormat="1" ht="13.8" thickBot="1">
      <c r="A69" s="896"/>
      <c r="B69" s="897"/>
      <c r="C69" s="297"/>
      <c r="D69" s="915" t="s">
        <v>762</v>
      </c>
      <c r="E69" s="895" t="s">
        <v>763</v>
      </c>
      <c r="F69" s="323">
        <f ca="1">F41</f>
        <v>24.66</v>
      </c>
      <c r="O69" s="1333" t="s">
        <v>411</v>
      </c>
      <c r="P69" s="1370" t="s">
        <v>872</v>
      </c>
      <c r="Q69" s="1326">
        <f ca="1">C39</f>
        <v>537363</v>
      </c>
      <c r="R69" s="1326" t="s">
        <v>818</v>
      </c>
    </row>
    <row r="70" spans="1:18" s="1291" customFormat="1" ht="13.8" thickBot="1">
      <c r="A70" s="899"/>
      <c r="B70" s="900"/>
      <c r="C70" s="301"/>
      <c r="D70" s="911"/>
      <c r="E70" s="895" t="s">
        <v>766</v>
      </c>
      <c r="F70" s="990"/>
      <c r="O70" s="1333" t="s">
        <v>412</v>
      </c>
      <c r="P70" s="1370" t="s">
        <v>873</v>
      </c>
      <c r="Q70" s="1326">
        <f ca="1">C13</f>
        <v>8281353</v>
      </c>
      <c r="R70" s="1326" t="s">
        <v>818</v>
      </c>
    </row>
    <row r="71" spans="1:18" s="1291" customFormat="1" ht="13.8" thickBot="1">
      <c r="A71" s="916" t="s">
        <v>396</v>
      </c>
      <c r="B71" s="917" t="s">
        <v>776</v>
      </c>
      <c r="C71" s="326">
        <f ca="1">ROUND(C68/F71,0)</f>
        <v>-187</v>
      </c>
      <c r="D71" s="918" t="s">
        <v>777</v>
      </c>
      <c r="E71" s="919" t="s">
        <v>778</v>
      </c>
      <c r="F71" s="329">
        <f ca="1">F43</f>
        <v>1946.52</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579695</v>
      </c>
      <c r="D75" s="1291"/>
      <c r="E75" s="1291"/>
      <c r="F75" s="1291"/>
      <c r="K75" s="1308"/>
      <c r="L75" s="1291"/>
      <c r="O75" s="1324" t="s">
        <v>409</v>
      </c>
      <c r="P75" s="1325" t="s">
        <v>838</v>
      </c>
      <c r="Q75" s="1326">
        <f ca="1">Q65+Q66</f>
        <v>8671724</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-7.8999999999999959E-2</v>
      </c>
    </row>
    <row r="80" spans="1:18">
      <c r="B80" s="330" t="s">
        <v>800</v>
      </c>
      <c r="C80" s="265">
        <f ca="1">ROUND(C75/C39,3)</f>
        <v>1.079</v>
      </c>
    </row>
    <row r="81" spans="2:3">
      <c r="B81" s="261" t="s">
        <v>801</v>
      </c>
      <c r="C81" s="229"/>
    </row>
    <row r="82" spans="2:3">
      <c r="B82" s="264" t="s">
        <v>802</v>
      </c>
      <c r="C82" s="266">
        <f ca="1">1-C83</f>
        <v>4.500000000000004E-2</v>
      </c>
    </row>
    <row r="83" spans="2:3">
      <c r="B83" s="264" t="s">
        <v>803</v>
      </c>
      <c r="C83" s="265">
        <f ca="1">ROUND(C13/C40,3)</f>
        <v>0.95499999999999996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2" t="s">
        <v>2317</v>
      </c>
      <c r="B2" s="2592" t="e">
        <f>IF(D2="——",C40,C40+E2)</f>
        <v>#DIV/0!</v>
      </c>
      <c r="C2" s="2593" t="s">
        <v>2318</v>
      </c>
      <c r="D2" s="3136" t="s">
        <v>3361</v>
      </c>
      <c r="E2" s="3137"/>
      <c r="F2" s="2595"/>
      <c r="G2" s="2596"/>
      <c r="H2" s="2597"/>
      <c r="I2" s="2598"/>
      <c r="J2" s="3378" t="s">
        <v>2319</v>
      </c>
      <c r="K2" s="3379"/>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380" t="s">
        <v>2329</v>
      </c>
      <c r="K3" s="3381"/>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380" t="s">
        <v>2331</v>
      </c>
      <c r="K4" s="3381"/>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386" t="s">
        <v>2335</v>
      </c>
      <c r="B6" s="3387"/>
      <c r="C6" s="3388"/>
      <c r="D6" s="2619"/>
      <c r="E6" s="2620"/>
      <c r="F6" s="2621"/>
      <c r="G6" s="2622"/>
      <c r="H6" s="2597"/>
      <c r="I6" s="2598"/>
      <c r="J6" s="3372">
        <v>1</v>
      </c>
      <c r="K6" s="3373"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372"/>
      <c r="K7" s="3374"/>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389" t="s">
        <v>2349</v>
      </c>
      <c r="C8" s="3390"/>
      <c r="D8" s="2638" t="s">
        <v>2350</v>
      </c>
      <c r="E8" s="2639" t="s">
        <v>2351</v>
      </c>
      <c r="F8" s="2640" t="s">
        <v>2352</v>
      </c>
      <c r="G8" s="2641"/>
      <c r="H8" s="2597"/>
      <c r="I8" s="2598"/>
      <c r="J8" s="3372"/>
      <c r="K8" s="3374"/>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389" t="s">
        <v>2355</v>
      </c>
      <c r="C9" s="3390"/>
      <c r="D9" s="2638">
        <f>ROUND(D6*E9,0)</f>
        <v>0</v>
      </c>
      <c r="E9" s="2642"/>
      <c r="F9" s="2643" t="s">
        <v>2356</v>
      </c>
      <c r="G9" s="2622"/>
      <c r="H9" s="2597"/>
      <c r="I9" s="2598"/>
      <c r="J9" s="3372"/>
      <c r="K9" s="3374"/>
      <c r="L9" s="2632" t="s">
        <v>2357</v>
      </c>
      <c r="M9" s="2633"/>
      <c r="N9" s="2609"/>
      <c r="O9" s="2634"/>
      <c r="P9" s="2634"/>
      <c r="Q9" s="2635">
        <v>365</v>
      </c>
      <c r="R9" s="2636">
        <f t="shared" si="0"/>
        <v>0</v>
      </c>
      <c r="S9" s="2590"/>
      <c r="T9" s="2590"/>
      <c r="U9" s="2590"/>
      <c r="V9" s="2598"/>
    </row>
    <row r="10" spans="1:22" s="2602" customFormat="1" ht="13.2" customHeight="1">
      <c r="A10" s="2637">
        <v>2</v>
      </c>
      <c r="B10" s="3389" t="s">
        <v>2358</v>
      </c>
      <c r="C10" s="3390"/>
      <c r="D10" s="2638">
        <f>ROUND(D6*E10,0)</f>
        <v>0</v>
      </c>
      <c r="E10" s="2642"/>
      <c r="F10" s="2643" t="s">
        <v>2359</v>
      </c>
      <c r="G10" s="2622"/>
      <c r="H10" s="2597"/>
      <c r="I10" s="2598"/>
      <c r="J10" s="3372"/>
      <c r="K10" s="3374"/>
      <c r="L10" s="2632" t="s">
        <v>2360</v>
      </c>
      <c r="M10" s="2633"/>
      <c r="N10" s="2609"/>
      <c r="O10" s="2634"/>
      <c r="P10" s="2634"/>
      <c r="Q10" s="2635">
        <v>365</v>
      </c>
      <c r="R10" s="2636">
        <f t="shared" si="0"/>
        <v>0</v>
      </c>
      <c r="S10" s="2590"/>
      <c r="T10" s="2590"/>
      <c r="U10" s="2590"/>
      <c r="V10" s="2598"/>
    </row>
    <row r="11" spans="1:22" s="2602" customFormat="1" ht="13.2" customHeight="1">
      <c r="A11" s="2637">
        <v>3</v>
      </c>
      <c r="B11" s="3389" t="s">
        <v>2361</v>
      </c>
      <c r="C11" s="3390"/>
      <c r="D11" s="2638">
        <f>D12+D14+D15+D16</f>
        <v>0</v>
      </c>
      <c r="E11" s="2644" t="e">
        <f>D11/D6</f>
        <v>#DIV/0!</v>
      </c>
      <c r="F11" s="2640"/>
      <c r="G11" s="2641"/>
      <c r="H11" s="2597"/>
      <c r="I11" s="2598"/>
      <c r="J11" s="3372"/>
      <c r="K11" s="3374"/>
      <c r="L11" s="2632" t="s">
        <v>2362</v>
      </c>
      <c r="M11" s="2633"/>
      <c r="N11" s="2609"/>
      <c r="O11" s="2634"/>
      <c r="P11" s="2634"/>
      <c r="Q11" s="2635">
        <v>365</v>
      </c>
      <c r="R11" s="2636">
        <f t="shared" si="0"/>
        <v>0</v>
      </c>
      <c r="S11" s="2590"/>
      <c r="T11" s="2590"/>
      <c r="U11" s="2590"/>
      <c r="V11" s="2598"/>
    </row>
    <row r="12" spans="1:22" s="2602" customFormat="1" ht="13.2" customHeight="1">
      <c r="A12" s="2645" t="s">
        <v>2363</v>
      </c>
      <c r="B12" s="3382" t="s">
        <v>2364</v>
      </c>
      <c r="C12" s="3383"/>
      <c r="D12" s="2646">
        <f>ROUND(D13*1.2%*(1-30%),0)</f>
        <v>0</v>
      </c>
      <c r="E12" s="2647">
        <v>1.2E-2</v>
      </c>
      <c r="F12" s="2640" t="s">
        <v>2365</v>
      </c>
      <c r="G12" s="2641"/>
      <c r="H12" s="2597"/>
      <c r="I12" s="2598"/>
      <c r="J12" s="3372"/>
      <c r="K12" s="3374"/>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372"/>
      <c r="K13" s="3374"/>
      <c r="L13" s="2632" t="s">
        <v>2368</v>
      </c>
      <c r="M13" s="2633"/>
      <c r="N13" s="2609"/>
      <c r="O13" s="2634"/>
      <c r="P13" s="2634"/>
      <c r="Q13" s="2635">
        <v>365</v>
      </c>
      <c r="R13" s="2636">
        <f t="shared" si="0"/>
        <v>0</v>
      </c>
      <c r="S13" s="2590"/>
      <c r="T13" s="2590"/>
      <c r="U13" s="2590"/>
      <c r="V13" s="2598"/>
    </row>
    <row r="14" spans="1:22" s="2602" customFormat="1" ht="13.2" customHeight="1">
      <c r="A14" s="2645" t="s">
        <v>2369</v>
      </c>
      <c r="B14" s="3382" t="s">
        <v>2370</v>
      </c>
      <c r="C14" s="3383"/>
      <c r="D14" s="2646">
        <f>ROUND(E14*B5/10000,0)</f>
        <v>0</v>
      </c>
      <c r="E14" s="2635"/>
      <c r="F14" s="2640" t="s">
        <v>2371</v>
      </c>
      <c r="G14" s="2641"/>
      <c r="H14" s="2597"/>
      <c r="I14" s="2598"/>
      <c r="J14" s="3372"/>
      <c r="K14" s="3375"/>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382" t="s">
        <v>2374</v>
      </c>
      <c r="C15" s="3383"/>
      <c r="D15" s="2646">
        <f>ROUND(D6*E15,0)</f>
        <v>0</v>
      </c>
      <c r="E15" s="2647">
        <v>5.5E-2</v>
      </c>
      <c r="F15" s="2640" t="s">
        <v>2375</v>
      </c>
      <c r="G15" s="2622"/>
      <c r="H15" s="2597"/>
      <c r="I15" s="2598"/>
      <c r="J15" s="3372">
        <v>2</v>
      </c>
      <c r="K15" s="3373"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382" t="s">
        <v>2383</v>
      </c>
      <c r="C16" s="3383"/>
      <c r="D16" s="2657">
        <f>D6*E16</f>
        <v>0</v>
      </c>
      <c r="E16" s="2658"/>
      <c r="F16" s="2643" t="s">
        <v>2384</v>
      </c>
      <c r="G16" s="2622"/>
      <c r="H16" s="2597"/>
      <c r="I16" s="2598"/>
      <c r="J16" s="3372"/>
      <c r="K16" s="3374"/>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384" t="s">
        <v>2386</v>
      </c>
      <c r="C17" s="3385"/>
      <c r="D17" s="2660">
        <f>ROUND(D6*E17,0)</f>
        <v>0</v>
      </c>
      <c r="E17" s="2661"/>
      <c r="F17" s="2662" t="s">
        <v>2387</v>
      </c>
      <c r="G17" s="2622"/>
      <c r="H17" s="2597"/>
      <c r="I17" s="2598"/>
      <c r="J17" s="3372"/>
      <c r="K17" s="3374"/>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372"/>
      <c r="K18" s="3374"/>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372"/>
      <c r="K19" s="3375"/>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72">
        <v>3</v>
      </c>
      <c r="K20" s="3373"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372"/>
      <c r="K21" s="3374"/>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372"/>
      <c r="K22" s="3374"/>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372"/>
      <c r="K23" s="3374"/>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372"/>
      <c r="K24" s="3375"/>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376">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37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378" t="s">
        <v>2319</v>
      </c>
      <c r="K32" s="3379"/>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380" t="s">
        <v>2329</v>
      </c>
      <c r="K33" s="3381"/>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380" t="s">
        <v>2331</v>
      </c>
      <c r="K34" s="3381"/>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372">
        <v>1</v>
      </c>
      <c r="K36" s="3373"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372"/>
      <c r="K37" s="3374"/>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72"/>
      <c r="K38" s="3374"/>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372"/>
      <c r="K39" s="3374"/>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372"/>
      <c r="K40" s="3375"/>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376">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37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8"/>
      <c r="H1" s="458"/>
      <c r="I1" s="458"/>
      <c r="J1" s="458"/>
      <c r="K1" s="458"/>
      <c r="L1" s="458"/>
      <c r="M1" s="458"/>
      <c r="N1" s="458"/>
      <c r="O1" s="458"/>
      <c r="P1" s="458"/>
      <c r="Q1" s="458"/>
      <c r="R1" s="458"/>
      <c r="S1" s="458"/>
    </row>
    <row r="2" spans="1:22" ht="15.6">
      <c r="A2" s="1727" t="s">
        <v>1462</v>
      </c>
      <c r="B2" s="810">
        <f ca="1">SUMIF(B6:B13,"&lt;&gt;#ref!",B6:B13)</f>
        <v>940.12049999999999</v>
      </c>
      <c r="C2" s="1728" t="s">
        <v>1651</v>
      </c>
      <c r="D2" s="1729" t="s">
        <v>1652</v>
      </c>
      <c r="E2" s="2391">
        <f>SUM(E6:E13)</f>
        <v>1946.52</v>
      </c>
      <c r="F2" s="2477"/>
      <c r="G2" s="458"/>
      <c r="H2" s="458"/>
      <c r="I2" s="458"/>
      <c r="J2" s="458"/>
      <c r="K2" s="458"/>
      <c r="L2" s="458"/>
      <c r="M2" s="458"/>
      <c r="N2" s="458"/>
      <c r="O2" s="458"/>
      <c r="P2" s="458"/>
      <c r="Q2" s="458"/>
      <c r="R2" s="458"/>
      <c r="S2" s="458"/>
    </row>
    <row r="3" spans="1:22" ht="15.6">
      <c r="A3" s="1727" t="s">
        <v>686</v>
      </c>
      <c r="B3" s="2385">
        <f ca="1">ROUND(B2*10000/E2,0)</f>
        <v>4830</v>
      </c>
      <c r="C3" s="1728"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7" t="s">
        <v>1653</v>
      </c>
      <c r="B5" s="3391" t="s">
        <v>1654</v>
      </c>
      <c r="C5" s="3392"/>
      <c r="D5" s="2478"/>
      <c r="E5" s="1730" t="s">
        <v>1655</v>
      </c>
      <c r="F5" s="128" t="s">
        <v>1656</v>
      </c>
      <c r="G5" s="458"/>
      <c r="H5" s="458"/>
      <c r="I5" s="458"/>
      <c r="J5" s="458"/>
      <c r="K5" s="458"/>
      <c r="L5" s="458"/>
      <c r="M5" s="458"/>
      <c r="N5" s="458"/>
      <c r="O5" s="458"/>
      <c r="P5" s="458"/>
      <c r="Q5" s="458"/>
      <c r="R5" s="458"/>
      <c r="S5" s="458"/>
    </row>
    <row r="6" spans="1:22" ht="14.4">
      <c r="A6" s="2388" t="str">
        <f>'数据-取费表'!AN6</f>
        <v>收益法 (元)</v>
      </c>
      <c r="B6" s="2386">
        <f ca="1">IF(F6="是",'数据-取费表'!AO6,0)</f>
        <v>940.12049999999999</v>
      </c>
      <c r="C6" s="1728" t="s">
        <v>1651</v>
      </c>
      <c r="D6" s="2477"/>
      <c r="E6" s="2390">
        <f>IF(OR(A6=0,F6="否"),0,'数据-取费表'!K6+'数据-取费表'!S6)</f>
        <v>1946.52</v>
      </c>
      <c r="F6" s="1731" t="s">
        <v>1657</v>
      </c>
      <c r="G6" s="458"/>
      <c r="H6" s="458"/>
      <c r="I6" s="458"/>
      <c r="J6" s="458"/>
      <c r="K6" s="458"/>
      <c r="L6" s="458"/>
      <c r="M6" s="458"/>
      <c r="N6" s="458"/>
      <c r="O6" s="458"/>
      <c r="P6" s="458"/>
      <c r="Q6" s="458"/>
      <c r="R6" s="458"/>
      <c r="S6" s="458"/>
    </row>
    <row r="7" spans="1:22" ht="14.4">
      <c r="A7" s="2388">
        <f>'数据-取费表'!AN7</f>
        <v>0</v>
      </c>
      <c r="B7" s="2386" t="e">
        <f ca="1">IF(F7="是",'数据-取费表'!AO7,0)</f>
        <v>#REF!</v>
      </c>
      <c r="C7" s="1728" t="s">
        <v>1651</v>
      </c>
      <c r="D7" s="2477"/>
      <c r="E7" s="2390">
        <f>IF(OR(A7=0,F7="否"),0,'数据-取费表'!K7+'数据-取费表'!S7)</f>
        <v>0</v>
      </c>
      <c r="F7" s="1731" t="s">
        <v>1657</v>
      </c>
      <c r="G7" s="458"/>
      <c r="H7" s="458"/>
      <c r="I7" s="458"/>
      <c r="J7" s="458"/>
      <c r="K7" s="458"/>
      <c r="L7" s="458"/>
      <c r="M7" s="458"/>
      <c r="N7" s="458"/>
      <c r="O7" s="458"/>
      <c r="P7" s="458"/>
      <c r="Q7" s="458"/>
      <c r="R7" s="458"/>
      <c r="S7" s="458"/>
    </row>
    <row r="8" spans="1:22" ht="14.4">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ht="14.4">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ht="14.4">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1946.52</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4" t="s">
        <v>1666</v>
      </c>
      <c r="B4" s="345"/>
      <c r="C4" s="3411" t="s">
        <v>1667</v>
      </c>
      <c r="D4" s="3412"/>
      <c r="E4" s="3413" t="s">
        <v>1668</v>
      </c>
      <c r="F4" s="3414"/>
      <c r="G4" s="3411" t="s">
        <v>1669</v>
      </c>
      <c r="H4" s="3412"/>
      <c r="I4" s="3411" t="s">
        <v>1670</v>
      </c>
      <c r="J4" s="3412"/>
      <c r="K4" s="1743" t="s">
        <v>1671</v>
      </c>
      <c r="L4" s="2484"/>
      <c r="M4" s="2485"/>
      <c r="N4" s="2485"/>
      <c r="O4" s="2485"/>
      <c r="P4" s="3415" t="s">
        <v>1672</v>
      </c>
      <c r="Q4" s="3416"/>
      <c r="R4" s="3421" t="s">
        <v>1668</v>
      </c>
      <c r="S4" s="3422"/>
      <c r="T4" s="3421" t="s">
        <v>1669</v>
      </c>
      <c r="U4" s="3422"/>
      <c r="V4" s="3397" t="s">
        <v>1670</v>
      </c>
      <c r="W4" s="3397"/>
      <c r="X4" s="1264"/>
      <c r="Y4" s="3421" t="s">
        <v>1672</v>
      </c>
      <c r="Z4" s="3422"/>
      <c r="AA4" s="3408" t="s">
        <v>1668</v>
      </c>
      <c r="AB4" s="3408" t="s">
        <v>1669</v>
      </c>
      <c r="AC4" s="3408" t="s">
        <v>1670</v>
      </c>
    </row>
    <row r="5" spans="1:29">
      <c r="A5" s="347"/>
      <c r="B5" s="348"/>
      <c r="C5" s="3429" t="s">
        <v>1673</v>
      </c>
      <c r="D5" s="3430"/>
      <c r="E5" s="3436" t="s">
        <v>1674</v>
      </c>
      <c r="F5" s="3437"/>
      <c r="G5" s="3429" t="s">
        <v>1675</v>
      </c>
      <c r="H5" s="3430"/>
      <c r="I5" s="3429" t="s">
        <v>1676</v>
      </c>
      <c r="J5" s="3430"/>
      <c r="K5" s="1744"/>
      <c r="L5" s="2484"/>
      <c r="M5" s="2485"/>
      <c r="N5" s="2485"/>
      <c r="O5" s="2485"/>
      <c r="P5" s="3417"/>
      <c r="Q5" s="3418"/>
      <c r="R5" s="3423"/>
      <c r="S5" s="3424"/>
      <c r="T5" s="3423"/>
      <c r="U5" s="3424"/>
      <c r="V5" s="3397"/>
      <c r="W5" s="3397"/>
      <c r="X5" s="1264"/>
      <c r="Y5" s="3423"/>
      <c r="Z5" s="3424"/>
      <c r="AA5" s="3409"/>
      <c r="AB5" s="3409"/>
      <c r="AC5" s="3409"/>
    </row>
    <row r="6" spans="1:29" ht="15" thickBot="1">
      <c r="A6" s="349"/>
      <c r="B6" s="350"/>
      <c r="C6" s="3427" t="s">
        <v>1677</v>
      </c>
      <c r="D6" s="3428"/>
      <c r="E6" s="3434" t="s">
        <v>1677</v>
      </c>
      <c r="F6" s="3435"/>
      <c r="G6" s="3427" t="s">
        <v>1677</v>
      </c>
      <c r="H6" s="3428"/>
      <c r="I6" s="3427" t="s">
        <v>1677</v>
      </c>
      <c r="J6" s="3428"/>
      <c r="K6" s="1744" t="s">
        <v>1678</v>
      </c>
      <c r="L6" s="2484"/>
      <c r="M6" s="2485"/>
      <c r="N6" s="2485"/>
      <c r="O6" s="2485"/>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431" t="s">
        <v>1680</v>
      </c>
      <c r="Q7" s="3433"/>
      <c r="R7" s="663" t="s">
        <v>20</v>
      </c>
      <c r="S7" s="664">
        <f t="shared" ref="S7:S15" si="0">F7</f>
        <v>0</v>
      </c>
      <c r="T7" s="663" t="s">
        <v>20</v>
      </c>
      <c r="U7" s="664">
        <f t="shared" ref="U7:U15" si="1">H7</f>
        <v>0</v>
      </c>
      <c r="V7" s="663" t="s">
        <v>20</v>
      </c>
      <c r="W7" s="664">
        <f t="shared" ref="W7:W15" si="2">J7</f>
        <v>0</v>
      </c>
      <c r="X7" s="665"/>
      <c r="Y7" s="3431" t="s">
        <v>1680</v>
      </c>
      <c r="Z7" s="3432"/>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431" t="s">
        <v>1683</v>
      </c>
      <c r="Q8" s="3432"/>
      <c r="R8" s="663" t="s">
        <v>20</v>
      </c>
      <c r="S8" s="664">
        <f t="shared" si="0"/>
        <v>100</v>
      </c>
      <c r="T8" s="663" t="s">
        <v>20</v>
      </c>
      <c r="U8" s="664">
        <f t="shared" si="1"/>
        <v>100</v>
      </c>
      <c r="V8" s="663" t="s">
        <v>20</v>
      </c>
      <c r="W8" s="664">
        <f t="shared" si="2"/>
        <v>100</v>
      </c>
      <c r="X8" s="665"/>
      <c r="Y8" s="3431" t="s">
        <v>1683</v>
      </c>
      <c r="Z8" s="3432"/>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407"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5"/>
      <c r="L10" s="2487"/>
      <c r="M10" s="2488"/>
      <c r="N10" s="2488"/>
      <c r="O10" s="2488"/>
      <c r="P10" s="3407"/>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07"/>
      <c r="Q11" s="529" t="str">
        <f t="shared" si="6"/>
        <v>容积率</v>
      </c>
      <c r="R11" s="663" t="s">
        <v>18</v>
      </c>
      <c r="S11" s="664" t="e">
        <f t="shared" si="0"/>
        <v>#N/A</v>
      </c>
      <c r="T11" s="663" t="s">
        <v>18</v>
      </c>
      <c r="U11" s="664" t="e">
        <f t="shared" si="1"/>
        <v>#N/A</v>
      </c>
      <c r="V11" s="663" t="s">
        <v>18</v>
      </c>
      <c r="W11" s="664" t="e">
        <f t="shared" si="2"/>
        <v>#N/A</v>
      </c>
      <c r="X11" s="665"/>
      <c r="Y11" s="327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407"/>
      <c r="Q12" s="529">
        <f t="shared" si="6"/>
        <v>111</v>
      </c>
      <c r="R12" s="663" t="s">
        <v>18</v>
      </c>
      <c r="S12" s="664">
        <f t="shared" si="0"/>
        <v>100</v>
      </c>
      <c r="T12" s="663" t="s">
        <v>18</v>
      </c>
      <c r="U12" s="664">
        <f t="shared" si="1"/>
        <v>100</v>
      </c>
      <c r="V12" s="663" t="s">
        <v>18</v>
      </c>
      <c r="W12" s="664">
        <f t="shared" si="2"/>
        <v>100</v>
      </c>
      <c r="X12" s="665"/>
      <c r="Y12" s="327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407"/>
      <c r="Q13" s="529">
        <f t="shared" si="6"/>
        <v>111</v>
      </c>
      <c r="R13" s="663" t="s">
        <v>18</v>
      </c>
      <c r="S13" s="664">
        <f t="shared" si="0"/>
        <v>100</v>
      </c>
      <c r="T13" s="663" t="s">
        <v>18</v>
      </c>
      <c r="U13" s="664">
        <f t="shared" si="1"/>
        <v>100</v>
      </c>
      <c r="V13" s="663" t="s">
        <v>18</v>
      </c>
      <c r="W13" s="664">
        <f t="shared" si="2"/>
        <v>100</v>
      </c>
      <c r="X13" s="665"/>
      <c r="Y13" s="3271"/>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407"/>
      <c r="Q14" s="529">
        <f t="shared" si="6"/>
        <v>111</v>
      </c>
      <c r="R14" s="663" t="s">
        <v>18</v>
      </c>
      <c r="S14" s="664">
        <f t="shared" si="0"/>
        <v>100</v>
      </c>
      <c r="T14" s="663" t="s">
        <v>18</v>
      </c>
      <c r="U14" s="664">
        <f t="shared" si="1"/>
        <v>100</v>
      </c>
      <c r="V14" s="663" t="s">
        <v>18</v>
      </c>
      <c r="W14" s="664">
        <f t="shared" si="2"/>
        <v>100</v>
      </c>
      <c r="X14" s="665"/>
      <c r="Y14" s="3271"/>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05" t="s">
        <v>1691</v>
      </c>
      <c r="Q15" s="1262" t="str">
        <f t="shared" si="6"/>
        <v>居住社区成熟度</v>
      </c>
      <c r="R15" s="666" t="s">
        <v>18</v>
      </c>
      <c r="S15" s="667">
        <f t="shared" si="0"/>
        <v>100</v>
      </c>
      <c r="T15" s="666" t="s">
        <v>18</v>
      </c>
      <c r="U15" s="667">
        <f t="shared" si="1"/>
        <v>100</v>
      </c>
      <c r="V15" s="666" t="s">
        <v>18</v>
      </c>
      <c r="W15" s="667">
        <f t="shared" si="2"/>
        <v>100</v>
      </c>
      <c r="X15" s="1264"/>
      <c r="Y15" s="3398"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406"/>
      <c r="Q16" s="1262"/>
      <c r="R16" s="666"/>
      <c r="S16" s="667"/>
      <c r="T16" s="666"/>
      <c r="U16" s="667"/>
      <c r="V16" s="666"/>
      <c r="W16" s="667"/>
      <c r="X16" s="1264"/>
      <c r="Y16" s="3399"/>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06"/>
      <c r="Q17" s="1262" t="str">
        <f>B17</f>
        <v>交通便捷度</v>
      </c>
      <c r="R17" s="666" t="s">
        <v>18</v>
      </c>
      <c r="S17" s="667">
        <f>F17</f>
        <v>100</v>
      </c>
      <c r="T17" s="666" t="s">
        <v>18</v>
      </c>
      <c r="U17" s="667">
        <f>H17</f>
        <v>100</v>
      </c>
      <c r="V17" s="666" t="s">
        <v>18</v>
      </c>
      <c r="W17" s="667">
        <f>J17</f>
        <v>100</v>
      </c>
      <c r="X17" s="1264"/>
      <c r="Y17" s="3399"/>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406"/>
      <c r="Q18" s="1262"/>
      <c r="R18" s="666"/>
      <c r="S18" s="667"/>
      <c r="T18" s="666"/>
      <c r="U18" s="667"/>
      <c r="V18" s="666"/>
      <c r="W18" s="667"/>
      <c r="X18" s="1264"/>
      <c r="Y18" s="3399"/>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06"/>
      <c r="Q19" s="1262" t="str">
        <f>B19</f>
        <v>公共配套设施</v>
      </c>
      <c r="R19" s="666" t="s">
        <v>18</v>
      </c>
      <c r="S19" s="667">
        <f>F19</f>
        <v>100</v>
      </c>
      <c r="T19" s="666" t="s">
        <v>18</v>
      </c>
      <c r="U19" s="667">
        <f>H19</f>
        <v>100</v>
      </c>
      <c r="V19" s="666" t="s">
        <v>18</v>
      </c>
      <c r="W19" s="667">
        <f>J19</f>
        <v>100</v>
      </c>
      <c r="X19" s="1264"/>
      <c r="Y19" s="3399"/>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406"/>
      <c r="Q20" s="1262"/>
      <c r="R20" s="666"/>
      <c r="S20" s="667"/>
      <c r="T20" s="666"/>
      <c r="U20" s="667"/>
      <c r="V20" s="666"/>
      <c r="W20" s="667"/>
      <c r="X20" s="1264"/>
      <c r="Y20" s="3399"/>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06"/>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406"/>
      <c r="Q22" s="1262"/>
      <c r="R22" s="666"/>
      <c r="S22" s="667"/>
      <c r="T22" s="666"/>
      <c r="U22" s="667"/>
      <c r="V22" s="666"/>
      <c r="W22" s="667"/>
      <c r="X22" s="1264"/>
      <c r="Y22" s="3399"/>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06"/>
      <c r="Q23" s="1262" t="str">
        <f>B23</f>
        <v>自然及人文环境</v>
      </c>
      <c r="R23" s="666" t="s">
        <v>18</v>
      </c>
      <c r="S23" s="667">
        <f>F23</f>
        <v>100</v>
      </c>
      <c r="T23" s="666" t="s">
        <v>18</v>
      </c>
      <c r="U23" s="667">
        <f>H23</f>
        <v>100</v>
      </c>
      <c r="V23" s="666" t="s">
        <v>18</v>
      </c>
      <c r="W23" s="667">
        <f>J23</f>
        <v>100</v>
      </c>
      <c r="X23" s="1264"/>
      <c r="Y23" s="3399"/>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406"/>
      <c r="Q24" s="1262"/>
      <c r="R24" s="666"/>
      <c r="S24" s="667"/>
      <c r="T24" s="666"/>
      <c r="U24" s="667"/>
      <c r="V24" s="666"/>
      <c r="W24" s="667"/>
      <c r="X24" s="1264"/>
      <c r="Y24" s="3399"/>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40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9"/>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406"/>
      <c r="Q26" s="1262" t="str">
        <f t="shared" si="11"/>
        <v>朝向</v>
      </c>
      <c r="R26" s="666" t="s">
        <v>18</v>
      </c>
      <c r="S26" s="667">
        <f t="shared" si="12"/>
        <v>100</v>
      </c>
      <c r="T26" s="666" t="s">
        <v>18</v>
      </c>
      <c r="U26" s="667">
        <f t="shared" si="13"/>
        <v>100</v>
      </c>
      <c r="V26" s="666" t="s">
        <v>18</v>
      </c>
      <c r="W26" s="667">
        <f t="shared" si="14"/>
        <v>100</v>
      </c>
      <c r="X26" s="1264"/>
      <c r="Y26" s="3399"/>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406"/>
      <c r="Q27" s="529">
        <f t="shared" si="11"/>
        <v>111</v>
      </c>
      <c r="R27" s="663" t="s">
        <v>18</v>
      </c>
      <c r="S27" s="664">
        <f t="shared" si="12"/>
        <v>100</v>
      </c>
      <c r="T27" s="663" t="s">
        <v>18</v>
      </c>
      <c r="U27" s="664">
        <f t="shared" si="13"/>
        <v>100</v>
      </c>
      <c r="V27" s="663" t="s">
        <v>18</v>
      </c>
      <c r="W27" s="664">
        <f t="shared" si="14"/>
        <v>100</v>
      </c>
      <c r="X27" s="665"/>
      <c r="Y27" s="3399"/>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406"/>
      <c r="Q28" s="1262">
        <f t="shared" si="11"/>
        <v>111</v>
      </c>
      <c r="R28" s="666" t="s">
        <v>18</v>
      </c>
      <c r="S28" s="667">
        <f t="shared" si="12"/>
        <v>100</v>
      </c>
      <c r="T28" s="666" t="s">
        <v>18</v>
      </c>
      <c r="U28" s="667">
        <f t="shared" si="13"/>
        <v>100</v>
      </c>
      <c r="V28" s="666" t="s">
        <v>18</v>
      </c>
      <c r="W28" s="667">
        <f t="shared" si="14"/>
        <v>100</v>
      </c>
      <c r="X28" s="1264"/>
      <c r="Y28" s="3399"/>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406"/>
      <c r="Q29" s="1262">
        <f t="shared" si="11"/>
        <v>111</v>
      </c>
      <c r="R29" s="666" t="s">
        <v>18</v>
      </c>
      <c r="S29" s="667">
        <f t="shared" si="12"/>
        <v>100</v>
      </c>
      <c r="T29" s="666" t="s">
        <v>18</v>
      </c>
      <c r="U29" s="667">
        <f t="shared" si="13"/>
        <v>100</v>
      </c>
      <c r="V29" s="666" t="s">
        <v>18</v>
      </c>
      <c r="W29" s="667">
        <f t="shared" si="14"/>
        <v>100</v>
      </c>
      <c r="X29" s="1264"/>
      <c r="Y29" s="3399"/>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406"/>
      <c r="Q30" s="1262">
        <f t="shared" si="11"/>
        <v>111</v>
      </c>
      <c r="R30" s="666" t="s">
        <v>18</v>
      </c>
      <c r="S30" s="667">
        <f t="shared" si="12"/>
        <v>100</v>
      </c>
      <c r="T30" s="666" t="s">
        <v>18</v>
      </c>
      <c r="U30" s="667">
        <f t="shared" si="13"/>
        <v>100</v>
      </c>
      <c r="V30" s="666" t="s">
        <v>18</v>
      </c>
      <c r="W30" s="667">
        <f t="shared" si="14"/>
        <v>100</v>
      </c>
      <c r="X30" s="1264"/>
      <c r="Y30" s="3399"/>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406"/>
      <c r="Q31" s="1262">
        <f t="shared" si="11"/>
        <v>111</v>
      </c>
      <c r="R31" s="666" t="s">
        <v>18</v>
      </c>
      <c r="S31" s="667">
        <f t="shared" si="12"/>
        <v>100</v>
      </c>
      <c r="T31" s="666" t="s">
        <v>18</v>
      </c>
      <c r="U31" s="667">
        <f t="shared" si="13"/>
        <v>100</v>
      </c>
      <c r="V31" s="666" t="s">
        <v>18</v>
      </c>
      <c r="W31" s="667">
        <f t="shared" si="14"/>
        <v>100</v>
      </c>
      <c r="X31" s="1264"/>
      <c r="Y31" s="3399"/>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400" t="s">
        <v>1696</v>
      </c>
      <c r="Q32" s="1262" t="str">
        <f t="shared" si="11"/>
        <v>建筑类型</v>
      </c>
      <c r="R32" s="666" t="s">
        <v>18</v>
      </c>
      <c r="S32" s="667">
        <f t="shared" si="12"/>
        <v>100</v>
      </c>
      <c r="T32" s="666" t="s">
        <v>18</v>
      </c>
      <c r="U32" s="667">
        <f t="shared" si="13"/>
        <v>100</v>
      </c>
      <c r="V32" s="666" t="s">
        <v>18</v>
      </c>
      <c r="W32" s="667">
        <f t="shared" si="14"/>
        <v>100</v>
      </c>
      <c r="X32" s="1264"/>
      <c r="Y32" s="3403"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401"/>
      <c r="Q33" s="530" t="str">
        <f t="shared" si="11"/>
        <v>项目建筑规模</v>
      </c>
      <c r="R33" s="668" t="s">
        <v>18</v>
      </c>
      <c r="S33" s="669" t="e">
        <f t="shared" si="12"/>
        <v>#N/A</v>
      </c>
      <c r="T33" s="668" t="s">
        <v>18</v>
      </c>
      <c r="U33" s="669" t="e">
        <f t="shared" si="13"/>
        <v>#N/A</v>
      </c>
      <c r="V33" s="668" t="s">
        <v>18</v>
      </c>
      <c r="W33" s="669" t="e">
        <f t="shared" si="14"/>
        <v>#N/A</v>
      </c>
      <c r="X33" s="670"/>
      <c r="Y33" s="3403"/>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401"/>
      <c r="Q34" s="1262" t="str">
        <f t="shared" si="11"/>
        <v>建筑结构</v>
      </c>
      <c r="R34" s="666" t="s">
        <v>18</v>
      </c>
      <c r="S34" s="667">
        <f t="shared" si="12"/>
        <v>100</v>
      </c>
      <c r="T34" s="666" t="s">
        <v>18</v>
      </c>
      <c r="U34" s="667">
        <f t="shared" si="13"/>
        <v>100</v>
      </c>
      <c r="V34" s="666" t="s">
        <v>18</v>
      </c>
      <c r="W34" s="667">
        <f t="shared" si="14"/>
        <v>100</v>
      </c>
      <c r="X34" s="1264"/>
      <c r="Y34" s="3403"/>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401"/>
      <c r="Q35" s="1262" t="str">
        <f t="shared" si="11"/>
        <v>建筑品质</v>
      </c>
      <c r="R35" s="666" t="s">
        <v>18</v>
      </c>
      <c r="S35" s="667">
        <f t="shared" si="12"/>
        <v>100</v>
      </c>
      <c r="T35" s="666" t="s">
        <v>18</v>
      </c>
      <c r="U35" s="667">
        <f t="shared" si="13"/>
        <v>100</v>
      </c>
      <c r="V35" s="666" t="s">
        <v>18</v>
      </c>
      <c r="W35" s="667">
        <f t="shared" si="14"/>
        <v>100</v>
      </c>
      <c r="X35" s="1264"/>
      <c r="Y35" s="3403"/>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401"/>
      <c r="Q36" s="1262" t="str">
        <f t="shared" si="11"/>
        <v>公共部分装修</v>
      </c>
      <c r="R36" s="666" t="s">
        <v>18</v>
      </c>
      <c r="S36" s="667">
        <f t="shared" si="12"/>
        <v>100</v>
      </c>
      <c r="T36" s="666" t="s">
        <v>18</v>
      </c>
      <c r="U36" s="667">
        <f t="shared" si="13"/>
        <v>100</v>
      </c>
      <c r="V36" s="666" t="s">
        <v>18</v>
      </c>
      <c r="W36" s="667">
        <f t="shared" si="14"/>
        <v>100</v>
      </c>
      <c r="X36" s="1264"/>
      <c r="Y36" s="3403"/>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401"/>
      <c r="Q37" s="529" t="str">
        <f t="shared" si="11"/>
        <v>成新度</v>
      </c>
      <c r="R37" s="663" t="s">
        <v>18</v>
      </c>
      <c r="S37" s="664" t="e">
        <f t="shared" si="12"/>
        <v>#N/A</v>
      </c>
      <c r="T37" s="663" t="s">
        <v>18</v>
      </c>
      <c r="U37" s="664" t="e">
        <f t="shared" si="13"/>
        <v>#N/A</v>
      </c>
      <c r="V37" s="663" t="s">
        <v>18</v>
      </c>
      <c r="W37" s="664" t="e">
        <f t="shared" si="14"/>
        <v>#N/A</v>
      </c>
      <c r="X37" s="665"/>
      <c r="Y37" s="3403"/>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401" t="s">
        <v>1696</v>
      </c>
      <c r="Q38" s="1262" t="str">
        <f t="shared" si="11"/>
        <v>物业管理</v>
      </c>
      <c r="R38" s="666" t="s">
        <v>18</v>
      </c>
      <c r="S38" s="667">
        <f t="shared" si="12"/>
        <v>100</v>
      </c>
      <c r="T38" s="666" t="s">
        <v>18</v>
      </c>
      <c r="U38" s="667">
        <f t="shared" si="13"/>
        <v>100</v>
      </c>
      <c r="V38" s="666" t="s">
        <v>18</v>
      </c>
      <c r="W38" s="667">
        <f t="shared" si="14"/>
        <v>100</v>
      </c>
      <c r="X38" s="1264"/>
      <c r="Y38" s="3403"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401"/>
      <c r="Q39" s="1262" t="str">
        <f t="shared" si="11"/>
        <v>市政基础设施</v>
      </c>
      <c r="R39" s="666" t="s">
        <v>18</v>
      </c>
      <c r="S39" s="667">
        <f t="shared" si="12"/>
        <v>100</v>
      </c>
      <c r="T39" s="666" t="s">
        <v>18</v>
      </c>
      <c r="U39" s="667">
        <f t="shared" si="13"/>
        <v>100</v>
      </c>
      <c r="V39" s="666" t="s">
        <v>18</v>
      </c>
      <c r="W39" s="667">
        <f t="shared" si="14"/>
        <v>100</v>
      </c>
      <c r="X39" s="1264"/>
      <c r="Y39" s="3403"/>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401"/>
      <c r="Q40" s="1262" t="str">
        <f t="shared" si="11"/>
        <v>房型</v>
      </c>
      <c r="R40" s="666" t="s">
        <v>18</v>
      </c>
      <c r="S40" s="667">
        <f t="shared" si="12"/>
        <v>100</v>
      </c>
      <c r="T40" s="666" t="s">
        <v>18</v>
      </c>
      <c r="U40" s="667">
        <f t="shared" si="13"/>
        <v>100</v>
      </c>
      <c r="V40" s="666" t="s">
        <v>18</v>
      </c>
      <c r="W40" s="667">
        <f t="shared" si="14"/>
        <v>100</v>
      </c>
      <c r="X40" s="1264"/>
      <c r="Y40" s="3403"/>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401"/>
      <c r="Q41" s="530" t="str">
        <f t="shared" si="11"/>
        <v>单套/主力户型建筑面积</v>
      </c>
      <c r="R41" s="668" t="s">
        <v>18</v>
      </c>
      <c r="S41" s="669">
        <f t="shared" si="12"/>
        <v>100</v>
      </c>
      <c r="T41" s="668" t="s">
        <v>18</v>
      </c>
      <c r="U41" s="669">
        <f t="shared" si="13"/>
        <v>100</v>
      </c>
      <c r="V41" s="668" t="s">
        <v>18</v>
      </c>
      <c r="W41" s="669">
        <f t="shared" si="14"/>
        <v>100</v>
      </c>
      <c r="X41" s="670"/>
      <c r="Y41" s="3403"/>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401"/>
      <c r="Q42" s="1262" t="str">
        <f t="shared" si="11"/>
        <v>内部装修</v>
      </c>
      <c r="R42" s="666" t="s">
        <v>18</v>
      </c>
      <c r="S42" s="667">
        <f t="shared" si="12"/>
        <v>100</v>
      </c>
      <c r="T42" s="666" t="s">
        <v>18</v>
      </c>
      <c r="U42" s="667">
        <f t="shared" si="13"/>
        <v>100</v>
      </c>
      <c r="V42" s="666" t="s">
        <v>18</v>
      </c>
      <c r="W42" s="667">
        <f t="shared" si="14"/>
        <v>100</v>
      </c>
      <c r="X42" s="1264"/>
      <c r="Y42" s="3403"/>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401"/>
      <c r="Q43" s="1262" t="str">
        <f t="shared" si="11"/>
        <v>内部装修维护情况</v>
      </c>
      <c r="R43" s="666" t="s">
        <v>18</v>
      </c>
      <c r="S43" s="667">
        <f t="shared" si="12"/>
        <v>100</v>
      </c>
      <c r="T43" s="666" t="s">
        <v>18</v>
      </c>
      <c r="U43" s="667">
        <f t="shared" si="13"/>
        <v>100</v>
      </c>
      <c r="V43" s="666" t="s">
        <v>18</v>
      </c>
      <c r="W43" s="667">
        <f t="shared" si="14"/>
        <v>100</v>
      </c>
      <c r="X43" s="1264"/>
      <c r="Y43" s="3403"/>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401"/>
      <c r="Q44" s="529">
        <f t="shared" si="11"/>
        <v>111</v>
      </c>
      <c r="R44" s="663" t="s">
        <v>18</v>
      </c>
      <c r="S44" s="664">
        <f t="shared" si="12"/>
        <v>100</v>
      </c>
      <c r="T44" s="663" t="s">
        <v>18</v>
      </c>
      <c r="U44" s="664">
        <f t="shared" si="13"/>
        <v>100</v>
      </c>
      <c r="V44" s="663" t="s">
        <v>18</v>
      </c>
      <c r="W44" s="664">
        <f t="shared" si="14"/>
        <v>100</v>
      </c>
      <c r="X44" s="665"/>
      <c r="Y44" s="3403"/>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401"/>
      <c r="Q45" s="1262">
        <f t="shared" si="11"/>
        <v>111</v>
      </c>
      <c r="R45" s="666" t="s">
        <v>18</v>
      </c>
      <c r="S45" s="667">
        <f t="shared" si="12"/>
        <v>100</v>
      </c>
      <c r="T45" s="666" t="s">
        <v>18</v>
      </c>
      <c r="U45" s="667">
        <f t="shared" si="13"/>
        <v>100</v>
      </c>
      <c r="V45" s="666" t="s">
        <v>18</v>
      </c>
      <c r="W45" s="667">
        <f t="shared" si="14"/>
        <v>100</v>
      </c>
      <c r="X45" s="1264"/>
      <c r="Y45" s="3403"/>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402"/>
      <c r="Q46" s="1262">
        <f t="shared" si="11"/>
        <v>111</v>
      </c>
      <c r="R46" s="666" t="s">
        <v>17</v>
      </c>
      <c r="S46" s="667">
        <f t="shared" si="12"/>
        <v>100</v>
      </c>
      <c r="T46" s="666" t="s">
        <v>17</v>
      </c>
      <c r="U46" s="667">
        <f t="shared" si="13"/>
        <v>100</v>
      </c>
      <c r="V46" s="666" t="s">
        <v>17</v>
      </c>
      <c r="W46" s="667">
        <f t="shared" si="14"/>
        <v>100</v>
      </c>
      <c r="X46" s="1264"/>
      <c r="Y46" s="3404"/>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2"/>
      <c r="M47" s="2485"/>
      <c r="N47" s="2485"/>
      <c r="O47" s="2485"/>
      <c r="P47" s="3396" t="str">
        <f>A47</f>
        <v>成交单价（元/平方米）</v>
      </c>
      <c r="Q47" s="3396"/>
      <c r="R47" s="3397">
        <f>E47</f>
        <v>0</v>
      </c>
      <c r="S47" s="3397"/>
      <c r="T47" s="3397">
        <f>G47</f>
        <v>0</v>
      </c>
      <c r="U47" s="3397"/>
      <c r="V47" s="3397">
        <f>I47</f>
        <v>0</v>
      </c>
      <c r="W47" s="3397"/>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2"/>
      <c r="M49" s="2485"/>
      <c r="N49" s="2485"/>
      <c r="O49" s="2485"/>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1946.52</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15" t="s">
        <v>1775</v>
      </c>
      <c r="Q4" s="3416"/>
      <c r="R4" s="3421" t="s">
        <v>1771</v>
      </c>
      <c r="S4" s="3422"/>
      <c r="T4" s="3421" t="s">
        <v>1772</v>
      </c>
      <c r="U4" s="3422"/>
      <c r="V4" s="3397" t="s">
        <v>1773</v>
      </c>
      <c r="W4" s="3397"/>
      <c r="X4" s="1264"/>
      <c r="Y4" s="3421" t="s">
        <v>1775</v>
      </c>
      <c r="Z4" s="3422"/>
      <c r="AA4" s="3408" t="s">
        <v>1771</v>
      </c>
      <c r="AB4" s="3397" t="s">
        <v>1772</v>
      </c>
      <c r="AC4" s="3408" t="s">
        <v>1773</v>
      </c>
    </row>
    <row r="5" spans="1:29">
      <c r="A5" s="347"/>
      <c r="B5" s="348"/>
      <c r="C5" s="3429" t="s">
        <v>1673</v>
      </c>
      <c r="D5" s="3430"/>
      <c r="E5" s="3436" t="s">
        <v>1674</v>
      </c>
      <c r="F5" s="3437"/>
      <c r="G5" s="3429" t="s">
        <v>1675</v>
      </c>
      <c r="H5" s="3430"/>
      <c r="I5" s="3429" t="s">
        <v>1676</v>
      </c>
      <c r="J5" s="3430"/>
      <c r="K5" s="536"/>
      <c r="L5" s="2484"/>
      <c r="M5" s="2485"/>
      <c r="N5" s="2485"/>
      <c r="O5" s="2485"/>
      <c r="P5" s="3417"/>
      <c r="Q5" s="3418"/>
      <c r="R5" s="3423"/>
      <c r="S5" s="3424"/>
      <c r="T5" s="3423"/>
      <c r="U5" s="3424"/>
      <c r="V5" s="3397"/>
      <c r="W5" s="3397"/>
      <c r="X5" s="1264"/>
      <c r="Y5" s="3423"/>
      <c r="Z5" s="3424"/>
      <c r="AA5" s="3409"/>
      <c r="AB5" s="3397"/>
      <c r="AC5" s="3409"/>
    </row>
    <row r="6" spans="1:29" ht="15" thickBot="1">
      <c r="A6" s="349"/>
      <c r="B6" s="350"/>
      <c r="C6" s="3427" t="s">
        <v>1677</v>
      </c>
      <c r="D6" s="3428"/>
      <c r="E6" s="3434" t="s">
        <v>1677</v>
      </c>
      <c r="F6" s="3435"/>
      <c r="G6" s="3427" t="s">
        <v>1677</v>
      </c>
      <c r="H6" s="3428"/>
      <c r="I6" s="3427" t="s">
        <v>1677</v>
      </c>
      <c r="J6" s="3428"/>
      <c r="K6" s="536" t="s">
        <v>1678</v>
      </c>
      <c r="L6" s="2484"/>
      <c r="M6" s="2485"/>
      <c r="N6" s="2485"/>
      <c r="O6" s="2485"/>
      <c r="P6" s="3419"/>
      <c r="Q6" s="3420"/>
      <c r="R6" s="3423"/>
      <c r="S6" s="3424"/>
      <c r="T6" s="3425"/>
      <c r="U6" s="3426"/>
      <c r="V6" s="3397"/>
      <c r="W6" s="3397"/>
      <c r="X6" s="1264"/>
      <c r="Y6" s="3425"/>
      <c r="Z6" s="3426"/>
      <c r="AA6" s="3410"/>
      <c r="AB6" s="3397"/>
      <c r="AC6" s="3410"/>
    </row>
    <row r="7" spans="1:29" s="101" customFormat="1" ht="15" thickBot="1">
      <c r="A7" s="351" t="s">
        <v>1679</v>
      </c>
      <c r="B7" s="352"/>
      <c r="C7" s="353">
        <f>'数据-取费表'!B2</f>
        <v>45625</v>
      </c>
      <c r="D7" s="354">
        <v>100</v>
      </c>
      <c r="E7" s="355"/>
      <c r="F7" s="356">
        <f>SUMIF(58:58,YEAR(E7)&amp;"-"&amp;MONTH(E7),59:59)</f>
        <v>0</v>
      </c>
      <c r="G7" s="355"/>
      <c r="H7" s="354">
        <f>SUMIF(58:58,YEAR(G7)&amp;"-"&amp;MONTH(G7),59:59)</f>
        <v>0</v>
      </c>
      <c r="I7" s="355"/>
      <c r="J7" s="354">
        <f>SUMIF(58:58,YEAR(I7)&amp;"-"&amp;MONTH(I7),59:59)</f>
        <v>0</v>
      </c>
      <c r="K7" s="38"/>
      <c r="L7" s="2486"/>
      <c r="M7" s="2438"/>
      <c r="N7" s="2438"/>
      <c r="O7" s="2438"/>
      <c r="P7" s="3431" t="s">
        <v>1680</v>
      </c>
      <c r="Q7" s="3433"/>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50"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8"/>
      <c r="N8" s="2438"/>
      <c r="O8" s="2438"/>
      <c r="P8" s="3431" t="s">
        <v>1683</v>
      </c>
      <c r="Q8" s="3432"/>
      <c r="R8" s="663" t="s">
        <v>14</v>
      </c>
      <c r="S8" s="664">
        <f t="shared" si="0"/>
        <v>100</v>
      </c>
      <c r="T8" s="663" t="s">
        <v>14</v>
      </c>
      <c r="U8" s="664">
        <f t="shared" si="1"/>
        <v>100</v>
      </c>
      <c r="V8" s="663" t="s">
        <v>14</v>
      </c>
      <c r="W8" s="664">
        <f t="shared" si="2"/>
        <v>100</v>
      </c>
      <c r="X8" s="665"/>
      <c r="Y8" s="3431" t="s">
        <v>1683</v>
      </c>
      <c r="Z8" s="3432"/>
      <c r="AA8" s="50">
        <f t="shared" ref="AA8:AA46" si="3">D8/F8</f>
        <v>1</v>
      </c>
      <c r="AB8" s="50">
        <f t="shared" ref="AB8:AB46" si="4">D8/H8</f>
        <v>1</v>
      </c>
      <c r="AC8" s="50">
        <f t="shared" ref="AC8:AC46" si="5">D8/J8</f>
        <v>1</v>
      </c>
    </row>
    <row r="9" spans="1:29" s="101"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8"/>
      <c r="N9" s="2438"/>
      <c r="O9" s="2438"/>
      <c r="P9" s="3407"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407"/>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07"/>
      <c r="Q11" s="529" t="str">
        <f t="shared" si="6"/>
        <v>容积率</v>
      </c>
      <c r="R11" s="663" t="s">
        <v>14</v>
      </c>
      <c r="S11" s="664" t="e">
        <f t="shared" si="0"/>
        <v>#N/A</v>
      </c>
      <c r="T11" s="663" t="s">
        <v>14</v>
      </c>
      <c r="U11" s="664" t="e">
        <f t="shared" si="1"/>
        <v>#N/A</v>
      </c>
      <c r="V11" s="663" t="s">
        <v>14</v>
      </c>
      <c r="W11" s="664" t="e">
        <f t="shared" si="2"/>
        <v>#N/A</v>
      </c>
      <c r="X11" s="665"/>
      <c r="Y11" s="3271"/>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407"/>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07"/>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07"/>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05" t="s">
        <v>1691</v>
      </c>
      <c r="Q15" s="1262" t="str">
        <f t="shared" si="6"/>
        <v>商业繁华度</v>
      </c>
      <c r="R15" s="666" t="s">
        <v>14</v>
      </c>
      <c r="S15" s="667">
        <f t="shared" si="0"/>
        <v>100</v>
      </c>
      <c r="T15" s="666" t="s">
        <v>14</v>
      </c>
      <c r="U15" s="667">
        <f t="shared" si="1"/>
        <v>100</v>
      </c>
      <c r="V15" s="666" t="s">
        <v>14</v>
      </c>
      <c r="W15" s="667">
        <f t="shared" si="2"/>
        <v>100</v>
      </c>
      <c r="X15" s="1264"/>
      <c r="Y15" s="3398"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0"/>
      <c r="M16" s="2485"/>
      <c r="N16" s="2485"/>
      <c r="O16" s="2485"/>
      <c r="P16" s="3406"/>
      <c r="Q16" s="1262"/>
      <c r="R16" s="666"/>
      <c r="S16" s="667"/>
      <c r="T16" s="666"/>
      <c r="U16" s="667"/>
      <c r="V16" s="666"/>
      <c r="W16" s="667"/>
      <c r="X16" s="1264"/>
      <c r="Y16" s="3399"/>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06"/>
      <c r="Q17" s="1262" t="str">
        <f>B17</f>
        <v>交通便捷度</v>
      </c>
      <c r="R17" s="666" t="s">
        <v>14</v>
      </c>
      <c r="S17" s="667">
        <f>F17</f>
        <v>100</v>
      </c>
      <c r="T17" s="666" t="s">
        <v>14</v>
      </c>
      <c r="U17" s="667">
        <f>H17</f>
        <v>100</v>
      </c>
      <c r="V17" s="666" t="s">
        <v>14</v>
      </c>
      <c r="W17" s="667">
        <f>J17</f>
        <v>100</v>
      </c>
      <c r="X17" s="1264"/>
      <c r="Y17" s="339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0"/>
      <c r="M18" s="2485"/>
      <c r="N18" s="2485"/>
      <c r="O18" s="2485"/>
      <c r="P18" s="3406"/>
      <c r="Q18" s="1262"/>
      <c r="R18" s="666"/>
      <c r="S18" s="667"/>
      <c r="T18" s="666"/>
      <c r="U18" s="667"/>
      <c r="V18" s="666"/>
      <c r="W18" s="667"/>
      <c r="X18" s="1264"/>
      <c r="Y18" s="3399"/>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06"/>
      <c r="Q19" s="1262" t="str">
        <f>B19</f>
        <v>公共配套设施</v>
      </c>
      <c r="R19" s="666" t="s">
        <v>14</v>
      </c>
      <c r="S19" s="667">
        <f>F19</f>
        <v>100</v>
      </c>
      <c r="T19" s="666" t="s">
        <v>14</v>
      </c>
      <c r="U19" s="667">
        <f>H19</f>
        <v>100</v>
      </c>
      <c r="V19" s="666" t="s">
        <v>14</v>
      </c>
      <c r="W19" s="667">
        <f>J19</f>
        <v>100</v>
      </c>
      <c r="X19" s="1264"/>
      <c r="Y19" s="339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0"/>
      <c r="M20" s="2485"/>
      <c r="N20" s="2485"/>
      <c r="O20" s="2485"/>
      <c r="P20" s="3406"/>
      <c r="Q20" s="1262"/>
      <c r="R20" s="666"/>
      <c r="S20" s="667"/>
      <c r="T20" s="666"/>
      <c r="U20" s="667"/>
      <c r="V20" s="666"/>
      <c r="W20" s="667"/>
      <c r="X20" s="1264"/>
      <c r="Y20" s="3399"/>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06"/>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0"/>
      <c r="M22" s="2485"/>
      <c r="N22" s="2485"/>
      <c r="O22" s="2485"/>
      <c r="P22" s="3406"/>
      <c r="Q22" s="1262"/>
      <c r="R22" s="666"/>
      <c r="S22" s="667"/>
      <c r="T22" s="666"/>
      <c r="U22" s="667"/>
      <c r="V22" s="666"/>
      <c r="W22" s="667"/>
      <c r="X22" s="1264"/>
      <c r="Y22" s="3399"/>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06"/>
      <c r="Q23" s="1262" t="str">
        <f>B23</f>
        <v>自然及人文环境</v>
      </c>
      <c r="R23" s="666" t="s">
        <v>14</v>
      </c>
      <c r="S23" s="667">
        <f>F23</f>
        <v>100</v>
      </c>
      <c r="T23" s="666" t="s">
        <v>14</v>
      </c>
      <c r="U23" s="667">
        <f>H23</f>
        <v>100</v>
      </c>
      <c r="V23" s="666" t="s">
        <v>14</v>
      </c>
      <c r="W23" s="667">
        <f>J23</f>
        <v>100</v>
      </c>
      <c r="X23" s="1264"/>
      <c r="Y23" s="3399"/>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0"/>
      <c r="M24" s="2485"/>
      <c r="N24" s="2485"/>
      <c r="O24" s="2485"/>
      <c r="P24" s="3406"/>
      <c r="Q24" s="1262"/>
      <c r="R24" s="666"/>
      <c r="S24" s="667"/>
      <c r="T24" s="666"/>
      <c r="U24" s="667"/>
      <c r="V24" s="666"/>
      <c r="W24" s="667"/>
      <c r="X24" s="1264"/>
      <c r="Y24" s="3399"/>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06"/>
      <c r="Q25" s="1262" t="str">
        <f t="shared" ref="Q25:Q46" si="11">B25</f>
        <v>临街状况</v>
      </c>
      <c r="R25" s="666" t="s">
        <v>14</v>
      </c>
      <c r="S25" s="667">
        <f>F25</f>
        <v>100</v>
      </c>
      <c r="T25" s="666" t="s">
        <v>14</v>
      </c>
      <c r="U25" s="667">
        <f>H25</f>
        <v>100</v>
      </c>
      <c r="V25" s="666" t="s">
        <v>14</v>
      </c>
      <c r="W25" s="667">
        <f>J25</f>
        <v>100</v>
      </c>
      <c r="X25" s="1264"/>
      <c r="Y25" s="3399"/>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06"/>
      <c r="Q26" s="1262" t="str">
        <f t="shared" si="11"/>
        <v>平面位置/可视性</v>
      </c>
      <c r="R26" s="666" t="s">
        <v>14</v>
      </c>
      <c r="S26" s="667">
        <f>F26</f>
        <v>100</v>
      </c>
      <c r="T26" s="666" t="s">
        <v>14</v>
      </c>
      <c r="U26" s="667">
        <f>H26</f>
        <v>100</v>
      </c>
      <c r="V26" s="666" t="s">
        <v>14</v>
      </c>
      <c r="W26" s="667">
        <f>J26</f>
        <v>100</v>
      </c>
      <c r="X26" s="1264"/>
      <c r="Y26" s="3399"/>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6"/>
      <c r="M27" s="2438"/>
      <c r="N27" s="2438"/>
      <c r="O27" s="2438"/>
      <c r="P27" s="3406"/>
      <c r="Q27" s="529" t="str">
        <f t="shared" si="11"/>
        <v>人流量</v>
      </c>
      <c r="R27" s="663" t="s">
        <v>14</v>
      </c>
      <c r="S27" s="664">
        <f>F27</f>
        <v>100</v>
      </c>
      <c r="T27" s="663" t="s">
        <v>14</v>
      </c>
      <c r="U27" s="664">
        <f>H27</f>
        <v>100</v>
      </c>
      <c r="V27" s="663" t="s">
        <v>14</v>
      </c>
      <c r="W27" s="664">
        <f>J27</f>
        <v>100</v>
      </c>
      <c r="X27" s="665"/>
      <c r="Y27" s="3399"/>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06"/>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9"/>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06"/>
      <c r="Q29" s="1262">
        <f t="shared" si="11"/>
        <v>111</v>
      </c>
      <c r="R29" s="666" t="s">
        <v>14</v>
      </c>
      <c r="S29" s="667">
        <f t="shared" si="12"/>
        <v>100</v>
      </c>
      <c r="T29" s="666" t="s">
        <v>14</v>
      </c>
      <c r="U29" s="667">
        <f t="shared" si="13"/>
        <v>100</v>
      </c>
      <c r="V29" s="666" t="s">
        <v>14</v>
      </c>
      <c r="W29" s="667">
        <f t="shared" si="14"/>
        <v>100</v>
      </c>
      <c r="X29" s="1264"/>
      <c r="Y29" s="339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06"/>
      <c r="Q30" s="1262">
        <f t="shared" si="11"/>
        <v>111</v>
      </c>
      <c r="R30" s="666" t="s">
        <v>14</v>
      </c>
      <c r="S30" s="667">
        <f t="shared" si="12"/>
        <v>100</v>
      </c>
      <c r="T30" s="666" t="s">
        <v>14</v>
      </c>
      <c r="U30" s="667">
        <f t="shared" si="13"/>
        <v>100</v>
      </c>
      <c r="V30" s="666" t="s">
        <v>14</v>
      </c>
      <c r="W30" s="667">
        <f t="shared" si="14"/>
        <v>100</v>
      </c>
      <c r="X30" s="1264"/>
      <c r="Y30" s="3399"/>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06"/>
      <c r="Q31" s="1262">
        <f t="shared" si="11"/>
        <v>111</v>
      </c>
      <c r="R31" s="666" t="s">
        <v>14</v>
      </c>
      <c r="S31" s="667">
        <f t="shared" si="12"/>
        <v>100</v>
      </c>
      <c r="T31" s="666" t="s">
        <v>14</v>
      </c>
      <c r="U31" s="667">
        <f t="shared" si="13"/>
        <v>100</v>
      </c>
      <c r="V31" s="666" t="s">
        <v>14</v>
      </c>
      <c r="W31" s="667">
        <f t="shared" si="14"/>
        <v>100</v>
      </c>
      <c r="X31" s="1264"/>
      <c r="Y31" s="3399"/>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0"/>
      <c r="M32" s="2485"/>
      <c r="N32" s="2485"/>
      <c r="O32" s="2485"/>
      <c r="P32" s="3400" t="s">
        <v>1696</v>
      </c>
      <c r="Q32" s="1262" t="str">
        <f t="shared" si="11"/>
        <v>商业类型</v>
      </c>
      <c r="R32" s="666" t="s">
        <v>14</v>
      </c>
      <c r="S32" s="667">
        <f t="shared" si="12"/>
        <v>100</v>
      </c>
      <c r="T32" s="666" t="s">
        <v>14</v>
      </c>
      <c r="U32" s="667">
        <f t="shared" si="13"/>
        <v>100</v>
      </c>
      <c r="V32" s="666" t="s">
        <v>14</v>
      </c>
      <c r="W32" s="667">
        <f t="shared" si="14"/>
        <v>100</v>
      </c>
      <c r="X32" s="1264"/>
      <c r="Y32" s="3403"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01"/>
      <c r="Q33" s="530" t="str">
        <f t="shared" si="11"/>
        <v>项目建筑规模</v>
      </c>
      <c r="R33" s="668" t="s">
        <v>14</v>
      </c>
      <c r="S33" s="669" t="e">
        <f t="shared" si="12"/>
        <v>#N/A</v>
      </c>
      <c r="T33" s="668" t="s">
        <v>14</v>
      </c>
      <c r="U33" s="669" t="e">
        <f t="shared" si="13"/>
        <v>#N/A</v>
      </c>
      <c r="V33" s="668" t="s">
        <v>14</v>
      </c>
      <c r="W33" s="669" t="e">
        <f t="shared" si="14"/>
        <v>#N/A</v>
      </c>
      <c r="X33" s="670"/>
      <c r="Y33" s="3403"/>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01"/>
      <c r="Q34" s="1262" t="str">
        <f t="shared" si="11"/>
        <v>建筑结构</v>
      </c>
      <c r="R34" s="666" t="s">
        <v>14</v>
      </c>
      <c r="S34" s="667">
        <f t="shared" si="12"/>
        <v>100</v>
      </c>
      <c r="T34" s="666" t="s">
        <v>14</v>
      </c>
      <c r="U34" s="667">
        <f t="shared" si="13"/>
        <v>100</v>
      </c>
      <c r="V34" s="666" t="s">
        <v>14</v>
      </c>
      <c r="W34" s="667">
        <f t="shared" si="14"/>
        <v>100</v>
      </c>
      <c r="X34" s="1264"/>
      <c r="Y34" s="3403"/>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401"/>
      <c r="Q35" s="1262" t="str">
        <f t="shared" si="11"/>
        <v>公共部分装修</v>
      </c>
      <c r="R35" s="666" t="s">
        <v>14</v>
      </c>
      <c r="S35" s="667">
        <f t="shared" si="12"/>
        <v>100</v>
      </c>
      <c r="T35" s="666" t="s">
        <v>14</v>
      </c>
      <c r="U35" s="667">
        <f t="shared" si="13"/>
        <v>100</v>
      </c>
      <c r="V35" s="666" t="s">
        <v>14</v>
      </c>
      <c r="W35" s="667">
        <f t="shared" si="14"/>
        <v>100</v>
      </c>
      <c r="X35" s="1264"/>
      <c r="Y35" s="3403"/>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01"/>
      <c r="Q36" s="1262" t="str">
        <f t="shared" si="11"/>
        <v>成新度</v>
      </c>
      <c r="R36" s="666" t="s">
        <v>14</v>
      </c>
      <c r="S36" s="667" t="e">
        <f t="shared" si="12"/>
        <v>#N/A</v>
      </c>
      <c r="T36" s="666" t="s">
        <v>14</v>
      </c>
      <c r="U36" s="667" t="e">
        <f t="shared" si="13"/>
        <v>#N/A</v>
      </c>
      <c r="V36" s="666" t="s">
        <v>14</v>
      </c>
      <c r="W36" s="667" t="e">
        <f t="shared" si="14"/>
        <v>#N/A</v>
      </c>
      <c r="X36" s="1264"/>
      <c r="Y36" s="3403"/>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401"/>
      <c r="Q37" s="529" t="str">
        <f t="shared" si="11"/>
        <v>市政基础设施</v>
      </c>
      <c r="R37" s="663" t="s">
        <v>14</v>
      </c>
      <c r="S37" s="664">
        <f t="shared" si="12"/>
        <v>100</v>
      </c>
      <c r="T37" s="663" t="s">
        <v>14</v>
      </c>
      <c r="U37" s="664">
        <f t="shared" si="13"/>
        <v>100</v>
      </c>
      <c r="V37" s="663" t="s">
        <v>14</v>
      </c>
      <c r="W37" s="664">
        <f t="shared" si="14"/>
        <v>100</v>
      </c>
      <c r="X37" s="665"/>
      <c r="Y37" s="3403"/>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0"/>
      <c r="M38" s="2485"/>
      <c r="N38" s="2485"/>
      <c r="O38" s="2485"/>
      <c r="P38" s="3401" t="s">
        <v>1696</v>
      </c>
      <c r="Q38" s="1262" t="str">
        <f t="shared" si="11"/>
        <v>业态</v>
      </c>
      <c r="R38" s="666" t="s">
        <v>14</v>
      </c>
      <c r="S38" s="667">
        <f t="shared" si="12"/>
        <v>100</v>
      </c>
      <c r="T38" s="666" t="s">
        <v>14</v>
      </c>
      <c r="U38" s="667">
        <f t="shared" si="13"/>
        <v>100</v>
      </c>
      <c r="V38" s="666" t="s">
        <v>14</v>
      </c>
      <c r="W38" s="667">
        <f t="shared" si="14"/>
        <v>100</v>
      </c>
      <c r="X38" s="1264"/>
      <c r="Y38" s="3403"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0"/>
      <c r="M39" s="2485"/>
      <c r="N39" s="2485"/>
      <c r="O39" s="2485"/>
      <c r="P39" s="3401"/>
      <c r="Q39" s="1262" t="str">
        <f t="shared" si="11"/>
        <v>层高</v>
      </c>
      <c r="R39" s="666" t="s">
        <v>14</v>
      </c>
      <c r="S39" s="667">
        <f t="shared" si="12"/>
        <v>100</v>
      </c>
      <c r="T39" s="666" t="s">
        <v>14</v>
      </c>
      <c r="U39" s="667">
        <f t="shared" si="13"/>
        <v>100</v>
      </c>
      <c r="V39" s="666" t="s">
        <v>14</v>
      </c>
      <c r="W39" s="667">
        <f t="shared" si="14"/>
        <v>100</v>
      </c>
      <c r="X39" s="1264"/>
      <c r="Y39" s="3403"/>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01"/>
      <c r="Q40" s="1262" t="str">
        <f t="shared" si="11"/>
        <v>单套建筑面积</v>
      </c>
      <c r="R40" s="666" t="s">
        <v>14</v>
      </c>
      <c r="S40" s="667">
        <f t="shared" si="12"/>
        <v>100</v>
      </c>
      <c r="T40" s="666" t="s">
        <v>14</v>
      </c>
      <c r="U40" s="667">
        <f t="shared" si="13"/>
        <v>100</v>
      </c>
      <c r="V40" s="666" t="s">
        <v>14</v>
      </c>
      <c r="W40" s="667">
        <f t="shared" si="14"/>
        <v>100</v>
      </c>
      <c r="X40" s="1264"/>
      <c r="Y40" s="3403"/>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01"/>
      <c r="Q41" s="530" t="str">
        <f t="shared" si="11"/>
        <v>进深比</v>
      </c>
      <c r="R41" s="668" t="s">
        <v>14</v>
      </c>
      <c r="S41" s="669">
        <f t="shared" si="12"/>
        <v>100</v>
      </c>
      <c r="T41" s="668" t="s">
        <v>14</v>
      </c>
      <c r="U41" s="669">
        <f t="shared" si="13"/>
        <v>100</v>
      </c>
      <c r="V41" s="668" t="s">
        <v>14</v>
      </c>
      <c r="W41" s="669">
        <f t="shared" si="14"/>
        <v>100</v>
      </c>
      <c r="X41" s="670"/>
      <c r="Y41" s="3403"/>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0"/>
      <c r="M42" s="2485"/>
      <c r="N42" s="2485"/>
      <c r="O42" s="2485"/>
      <c r="P42" s="3401"/>
      <c r="Q42" s="1262" t="str">
        <f t="shared" si="11"/>
        <v>内部装修</v>
      </c>
      <c r="R42" s="666" t="s">
        <v>14</v>
      </c>
      <c r="S42" s="667">
        <f t="shared" si="12"/>
        <v>100</v>
      </c>
      <c r="T42" s="666" t="s">
        <v>14</v>
      </c>
      <c r="U42" s="667">
        <f t="shared" si="13"/>
        <v>100</v>
      </c>
      <c r="V42" s="666" t="s">
        <v>14</v>
      </c>
      <c r="W42" s="667">
        <f t="shared" si="14"/>
        <v>100</v>
      </c>
      <c r="X42" s="1264"/>
      <c r="Y42" s="3403"/>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0"/>
      <c r="M43" s="2485"/>
      <c r="N43" s="2485"/>
      <c r="O43" s="2485"/>
      <c r="P43" s="3401"/>
      <c r="Q43" s="1262" t="str">
        <f t="shared" si="11"/>
        <v>内部装修维护情况</v>
      </c>
      <c r="R43" s="666" t="s">
        <v>14</v>
      </c>
      <c r="S43" s="667">
        <f t="shared" si="12"/>
        <v>100</v>
      </c>
      <c r="T43" s="666" t="s">
        <v>14</v>
      </c>
      <c r="U43" s="667">
        <f t="shared" si="13"/>
        <v>100</v>
      </c>
      <c r="V43" s="666" t="s">
        <v>14</v>
      </c>
      <c r="W43" s="667">
        <f t="shared" si="14"/>
        <v>100</v>
      </c>
      <c r="X43" s="1264"/>
      <c r="Y43" s="3403"/>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401"/>
      <c r="Q44" s="529">
        <f t="shared" si="11"/>
        <v>111</v>
      </c>
      <c r="R44" s="663" t="s">
        <v>14</v>
      </c>
      <c r="S44" s="664">
        <f t="shared" si="12"/>
        <v>100</v>
      </c>
      <c r="T44" s="663" t="s">
        <v>14</v>
      </c>
      <c r="U44" s="664">
        <f t="shared" si="13"/>
        <v>100</v>
      </c>
      <c r="V44" s="663" t="s">
        <v>14</v>
      </c>
      <c r="W44" s="664">
        <f t="shared" si="14"/>
        <v>100</v>
      </c>
      <c r="X44" s="665"/>
      <c r="Y44" s="3403"/>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01"/>
      <c r="Q45" s="1262">
        <f t="shared" si="11"/>
        <v>111</v>
      </c>
      <c r="R45" s="666" t="s">
        <v>14</v>
      </c>
      <c r="S45" s="667">
        <f t="shared" si="12"/>
        <v>100</v>
      </c>
      <c r="T45" s="666" t="s">
        <v>14</v>
      </c>
      <c r="U45" s="667">
        <f t="shared" si="13"/>
        <v>100</v>
      </c>
      <c r="V45" s="666" t="s">
        <v>14</v>
      </c>
      <c r="W45" s="667">
        <f t="shared" si="14"/>
        <v>100</v>
      </c>
      <c r="X45" s="1264"/>
      <c r="Y45" s="3403"/>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02"/>
      <c r="Q46" s="1262">
        <f t="shared" si="11"/>
        <v>111</v>
      </c>
      <c r="R46" s="666" t="s">
        <v>14</v>
      </c>
      <c r="S46" s="667">
        <f t="shared" si="12"/>
        <v>100</v>
      </c>
      <c r="T46" s="666" t="s">
        <v>14</v>
      </c>
      <c r="U46" s="667">
        <f t="shared" si="13"/>
        <v>100</v>
      </c>
      <c r="V46" s="666" t="s">
        <v>14</v>
      </c>
      <c r="W46" s="667">
        <f t="shared" si="14"/>
        <v>100</v>
      </c>
      <c r="X46" s="1264"/>
      <c r="Y46" s="3404"/>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2"/>
      <c r="M47" s="2485"/>
      <c r="N47" s="2485"/>
      <c r="O47" s="2485"/>
      <c r="P47" s="3396" t="str">
        <f>A47</f>
        <v>成交单价（元/平方米）</v>
      </c>
      <c r="Q47" s="3396"/>
      <c r="R47" s="3397">
        <f>E47</f>
        <v>0</v>
      </c>
      <c r="S47" s="3397"/>
      <c r="T47" s="3397">
        <f>G47</f>
        <v>0</v>
      </c>
      <c r="U47" s="3397"/>
      <c r="V47" s="3397">
        <f>I47</f>
        <v>0</v>
      </c>
      <c r="W47" s="3397"/>
      <c r="X47" s="384"/>
      <c r="Y47" s="672"/>
      <c r="Z47" s="384"/>
      <c r="AA47" s="384"/>
      <c r="AB47" s="384"/>
      <c r="AC47" s="384"/>
    </row>
    <row r="48" spans="1:29" ht="15" thickBot="1">
      <c r="A48" s="422" t="s">
        <v>1793</v>
      </c>
      <c r="B48" s="423"/>
      <c r="C48" s="1081" t="e">
        <f>R49</f>
        <v>#DIV/0!</v>
      </c>
      <c r="D48" s="2140" t="s">
        <v>2138</v>
      </c>
      <c r="E48" s="1082" t="e">
        <f>R48</f>
        <v>#DIV/0!</v>
      </c>
      <c r="F48" s="2141"/>
      <c r="G48" s="1081" t="e">
        <f>T48</f>
        <v>#DIV/0!</v>
      </c>
      <c r="H48" s="2141"/>
      <c r="I48" s="1082" t="e">
        <f>V48</f>
        <v>#DIV/0!</v>
      </c>
      <c r="J48" s="2141"/>
      <c r="K48" s="2143">
        <f>F48+H48+J48</f>
        <v>0</v>
      </c>
      <c r="L48" s="2492"/>
      <c r="M48" s="2485"/>
      <c r="N48" s="2485"/>
      <c r="O48" s="2485"/>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2"/>
      <c r="M49" s="2485"/>
      <c r="N49" s="2485"/>
      <c r="O49" s="2485"/>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7"/>
      <c r="Q58" s="2508"/>
      <c r="R58" s="2508"/>
      <c r="S58" s="2508"/>
      <c r="T58" s="2508"/>
      <c r="U58" s="2508"/>
      <c r="V58" s="2508"/>
      <c r="W58" s="2508"/>
      <c r="X58" s="2508"/>
      <c r="Y58" s="2508"/>
      <c r="Z58" s="2508"/>
      <c r="AA58" s="2508"/>
      <c r="AB58" s="2508"/>
      <c r="AC58" s="2508"/>
    </row>
    <row r="59" spans="1:29" s="101" customFormat="1">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4.4">
      <c r="A61" s="454" t="s">
        <v>1681</v>
      </c>
      <c r="B61" s="443"/>
      <c r="C61" s="455" t="s">
        <v>1776</v>
      </c>
      <c r="D61" s="31"/>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4.4" thickBot="1">
      <c r="A62" s="454"/>
      <c r="B62" s="443"/>
      <c r="C62" s="444">
        <v>100</v>
      </c>
      <c r="D62" s="445"/>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8"/>
      <c r="S87" s="2438"/>
      <c r="T87" s="2438"/>
      <c r="U87" s="2438"/>
      <c r="V87" s="2438"/>
      <c r="W87" s="2438"/>
      <c r="X87" s="2438"/>
      <c r="Y87" s="2438"/>
      <c r="Z87" s="2438"/>
      <c r="AA87" s="2438"/>
      <c r="AB87" s="2438"/>
      <c r="AC87" s="2438"/>
    </row>
    <row r="88" spans="1:29" s="101" customFormat="1" ht="14.4" thickTop="1">
      <c r="A88" s="369"/>
      <c r="B88" s="468" t="str">
        <f>B26</f>
        <v>平面位置/可视性</v>
      </c>
      <c r="C88" s="484"/>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4.4" thickBot="1">
      <c r="A89" s="369"/>
      <c r="B89" s="473"/>
      <c r="C89" s="490"/>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1946.52</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44" t="s">
        <v>1775</v>
      </c>
      <c r="Q4" s="3445"/>
      <c r="R4" s="3448" t="s">
        <v>1771</v>
      </c>
      <c r="S4" s="3449"/>
      <c r="T4" s="3448" t="s">
        <v>1772</v>
      </c>
      <c r="U4" s="3449"/>
      <c r="V4" s="3450" t="s">
        <v>1773</v>
      </c>
      <c r="W4" s="3450"/>
      <c r="X4" s="1808"/>
      <c r="Y4" s="3448" t="s">
        <v>1775</v>
      </c>
      <c r="Z4" s="3449"/>
      <c r="AA4" s="3452" t="s">
        <v>1771</v>
      </c>
      <c r="AB4" s="3452" t="s">
        <v>1772</v>
      </c>
      <c r="AC4" s="3441" t="s">
        <v>1773</v>
      </c>
    </row>
    <row r="5" spans="1:29">
      <c r="A5" s="347"/>
      <c r="B5" s="348"/>
      <c r="C5" s="3429" t="s">
        <v>1673</v>
      </c>
      <c r="D5" s="3430"/>
      <c r="E5" s="3436" t="s">
        <v>1674</v>
      </c>
      <c r="F5" s="3437"/>
      <c r="G5" s="3429" t="s">
        <v>1675</v>
      </c>
      <c r="H5" s="3430"/>
      <c r="I5" s="3429" t="s">
        <v>1676</v>
      </c>
      <c r="J5" s="3430"/>
      <c r="K5" s="536"/>
      <c r="L5" s="2484"/>
      <c r="M5" s="2485"/>
      <c r="N5" s="2485"/>
      <c r="O5" s="2485"/>
      <c r="P5" s="3446"/>
      <c r="Q5" s="3418"/>
      <c r="R5" s="3423"/>
      <c r="S5" s="3424"/>
      <c r="T5" s="3423"/>
      <c r="U5" s="3424"/>
      <c r="V5" s="3397"/>
      <c r="W5" s="3397"/>
      <c r="X5" s="1264"/>
      <c r="Y5" s="3423"/>
      <c r="Z5" s="3424"/>
      <c r="AA5" s="3409"/>
      <c r="AB5" s="3409"/>
      <c r="AC5" s="3442"/>
    </row>
    <row r="6" spans="1:29" ht="15" thickBot="1">
      <c r="A6" s="349"/>
      <c r="B6" s="350"/>
      <c r="C6" s="3427" t="s">
        <v>1677</v>
      </c>
      <c r="D6" s="3428"/>
      <c r="E6" s="3434" t="s">
        <v>1677</v>
      </c>
      <c r="F6" s="3435"/>
      <c r="G6" s="3427" t="s">
        <v>1677</v>
      </c>
      <c r="H6" s="3428"/>
      <c r="I6" s="3427" t="s">
        <v>1677</v>
      </c>
      <c r="J6" s="3428"/>
      <c r="K6" s="536" t="s">
        <v>1678</v>
      </c>
      <c r="L6" s="2484"/>
      <c r="M6" s="2485"/>
      <c r="N6" s="2485"/>
      <c r="O6" s="2485"/>
      <c r="P6" s="3447"/>
      <c r="Q6" s="3420"/>
      <c r="R6" s="3423"/>
      <c r="S6" s="3424"/>
      <c r="T6" s="3425"/>
      <c r="U6" s="3426"/>
      <c r="V6" s="3397"/>
      <c r="W6" s="3397"/>
      <c r="X6" s="1264"/>
      <c r="Y6" s="3425"/>
      <c r="Z6" s="3426"/>
      <c r="AA6" s="3410"/>
      <c r="AB6" s="3410"/>
      <c r="AC6" s="3443"/>
    </row>
    <row r="7" spans="1:29" s="101" customFormat="1" ht="15" thickBot="1">
      <c r="A7" s="351" t="s">
        <v>1679</v>
      </c>
      <c r="B7" s="352"/>
      <c r="C7" s="353">
        <f>'数据-取费表'!B2</f>
        <v>45625</v>
      </c>
      <c r="D7" s="354">
        <v>100</v>
      </c>
      <c r="E7" s="355"/>
      <c r="F7" s="356">
        <f>SUMIF(59:59,YEAR(E7)&amp;"-"&amp;MONTH(E7),60:60)</f>
        <v>0</v>
      </c>
      <c r="G7" s="355"/>
      <c r="H7" s="354">
        <f>SUMIF(59:59,YEAR(G7)&amp;"-"&amp;MONTH(G7),60:60)</f>
        <v>0</v>
      </c>
      <c r="I7" s="355"/>
      <c r="J7" s="354">
        <f>SUMIF(59:59,YEAR(I7)&amp;"-"&amp;MONTH(I7),60:60)</f>
        <v>0</v>
      </c>
      <c r="K7" s="38"/>
      <c r="L7" s="2486"/>
      <c r="M7" s="2438"/>
      <c r="N7" s="2438"/>
      <c r="O7" s="2438"/>
      <c r="P7" s="3451" t="s">
        <v>1680</v>
      </c>
      <c r="Q7" s="3433"/>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8"/>
      <c r="N8" s="2438"/>
      <c r="O8" s="2438"/>
      <c r="P8" s="3451" t="s">
        <v>1683</v>
      </c>
      <c r="Q8" s="3432"/>
      <c r="R8" s="663" t="s">
        <v>14</v>
      </c>
      <c r="S8" s="664">
        <f t="shared" si="0"/>
        <v>100</v>
      </c>
      <c r="T8" s="663" t="s">
        <v>14</v>
      </c>
      <c r="U8" s="664">
        <f t="shared" si="1"/>
        <v>100</v>
      </c>
      <c r="V8" s="663" t="s">
        <v>14</v>
      </c>
      <c r="W8" s="664">
        <f t="shared" si="2"/>
        <v>100</v>
      </c>
      <c r="X8" s="665"/>
      <c r="Y8" s="3431" t="s">
        <v>1683</v>
      </c>
      <c r="Z8" s="3432"/>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8"/>
      <c r="N9" s="2438"/>
      <c r="O9" s="2438"/>
      <c r="P9" s="3407"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801">
        <f t="shared" si="5"/>
        <v>1</v>
      </c>
    </row>
    <row r="10" spans="1:29" s="365" customFormat="1" ht="28.8">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407"/>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07"/>
      <c r="Q11" s="529" t="str">
        <f t="shared" si="6"/>
        <v>容积率</v>
      </c>
      <c r="R11" s="663" t="s">
        <v>14</v>
      </c>
      <c r="S11" s="664">
        <f t="shared" si="0"/>
        <v>100</v>
      </c>
      <c r="T11" s="663" t="s">
        <v>14</v>
      </c>
      <c r="U11" s="664">
        <f t="shared" si="1"/>
        <v>100</v>
      </c>
      <c r="V11" s="663" t="s">
        <v>14</v>
      </c>
      <c r="W11" s="664">
        <f t="shared" si="2"/>
        <v>100</v>
      </c>
      <c r="X11" s="665"/>
      <c r="Y11" s="3271"/>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407"/>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407"/>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407"/>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05" t="s">
        <v>1691</v>
      </c>
      <c r="Q15" s="1262" t="str">
        <f t="shared" si="6"/>
        <v>办公集聚程度</v>
      </c>
      <c r="R15" s="666" t="s">
        <v>14</v>
      </c>
      <c r="S15" s="667">
        <f t="shared" si="0"/>
        <v>100</v>
      </c>
      <c r="T15" s="666" t="s">
        <v>14</v>
      </c>
      <c r="U15" s="667">
        <f t="shared" si="1"/>
        <v>100</v>
      </c>
      <c r="V15" s="666" t="s">
        <v>14</v>
      </c>
      <c r="W15" s="667">
        <f t="shared" si="2"/>
        <v>100</v>
      </c>
      <c r="X15" s="1264"/>
      <c r="Y15" s="3398"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0"/>
      <c r="M16" s="2485"/>
      <c r="N16" s="2485"/>
      <c r="O16" s="2485"/>
      <c r="P16" s="3406"/>
      <c r="Q16" s="1262"/>
      <c r="R16" s="666"/>
      <c r="S16" s="667"/>
      <c r="T16" s="666"/>
      <c r="U16" s="667"/>
      <c r="V16" s="666"/>
      <c r="W16" s="667"/>
      <c r="X16" s="1264"/>
      <c r="Y16" s="3399"/>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06"/>
      <c r="Q17" s="1262" t="str">
        <f>B17</f>
        <v>交通便捷度</v>
      </c>
      <c r="R17" s="666" t="s">
        <v>14</v>
      </c>
      <c r="S17" s="667">
        <f>F17</f>
        <v>100</v>
      </c>
      <c r="T17" s="666" t="s">
        <v>14</v>
      </c>
      <c r="U17" s="667">
        <f>H17</f>
        <v>100</v>
      </c>
      <c r="V17" s="666" t="s">
        <v>14</v>
      </c>
      <c r="W17" s="667">
        <f>J17</f>
        <v>100</v>
      </c>
      <c r="X17" s="1264"/>
      <c r="Y17" s="3399"/>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0"/>
      <c r="M18" s="2485"/>
      <c r="N18" s="2485"/>
      <c r="O18" s="2485"/>
      <c r="P18" s="3406"/>
      <c r="Q18" s="1262"/>
      <c r="R18" s="666"/>
      <c r="S18" s="667"/>
      <c r="T18" s="666"/>
      <c r="U18" s="667"/>
      <c r="V18" s="666"/>
      <c r="W18" s="667"/>
      <c r="X18" s="1264"/>
      <c r="Y18" s="3399"/>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06"/>
      <c r="Q19" s="1262" t="str">
        <f>B19</f>
        <v>公共配套设施</v>
      </c>
      <c r="R19" s="666" t="s">
        <v>14</v>
      </c>
      <c r="S19" s="667">
        <f>F19</f>
        <v>100</v>
      </c>
      <c r="T19" s="666" t="s">
        <v>14</v>
      </c>
      <c r="U19" s="667">
        <f>H19</f>
        <v>100</v>
      </c>
      <c r="V19" s="666" t="s">
        <v>14</v>
      </c>
      <c r="W19" s="667">
        <f>J19</f>
        <v>100</v>
      </c>
      <c r="X19" s="1264"/>
      <c r="Y19" s="3399"/>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0"/>
      <c r="M20" s="2485"/>
      <c r="N20" s="2485"/>
      <c r="O20" s="2485"/>
      <c r="P20" s="3406"/>
      <c r="Q20" s="1262"/>
      <c r="R20" s="666"/>
      <c r="S20" s="667"/>
      <c r="T20" s="666"/>
      <c r="U20" s="667"/>
      <c r="V20" s="666"/>
      <c r="W20" s="667"/>
      <c r="X20" s="1264"/>
      <c r="Y20" s="3399"/>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06"/>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0"/>
      <c r="M22" s="2485"/>
      <c r="N22" s="2485"/>
      <c r="O22" s="2485"/>
      <c r="P22" s="3406"/>
      <c r="Q22" s="1262"/>
      <c r="R22" s="666"/>
      <c r="S22" s="667"/>
      <c r="T22" s="666"/>
      <c r="U22" s="667"/>
      <c r="V22" s="666"/>
      <c r="W22" s="667"/>
      <c r="X22" s="1264"/>
      <c r="Y22" s="3399"/>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06"/>
      <c r="Q23" s="1262" t="str">
        <f>B23</f>
        <v>环境质量</v>
      </c>
      <c r="R23" s="666" t="s">
        <v>14</v>
      </c>
      <c r="S23" s="667">
        <f>F23</f>
        <v>100</v>
      </c>
      <c r="T23" s="666" t="s">
        <v>14</v>
      </c>
      <c r="U23" s="667">
        <f>H23</f>
        <v>100</v>
      </c>
      <c r="V23" s="666" t="s">
        <v>14</v>
      </c>
      <c r="W23" s="667">
        <f>J23</f>
        <v>100</v>
      </c>
      <c r="X23" s="1264"/>
      <c r="Y23" s="3399"/>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0"/>
      <c r="M24" s="2485"/>
      <c r="N24" s="2485"/>
      <c r="O24" s="2485"/>
      <c r="P24" s="3406"/>
      <c r="Q24" s="1262"/>
      <c r="R24" s="666"/>
      <c r="S24" s="667"/>
      <c r="T24" s="666"/>
      <c r="U24" s="667"/>
      <c r="V24" s="666"/>
      <c r="W24" s="667"/>
      <c r="X24" s="1264"/>
      <c r="Y24" s="3399"/>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406"/>
      <c r="Q25" s="1262" t="str">
        <f>B25</f>
        <v>毗邻道路的类型与等级</v>
      </c>
      <c r="R25" s="666" t="s">
        <v>14</v>
      </c>
      <c r="S25" s="667">
        <f>F25</f>
        <v>100</v>
      </c>
      <c r="T25" s="666" t="s">
        <v>14</v>
      </c>
      <c r="U25" s="667">
        <f>H25</f>
        <v>100</v>
      </c>
      <c r="V25" s="666" t="s">
        <v>14</v>
      </c>
      <c r="W25" s="667">
        <f>J25</f>
        <v>100</v>
      </c>
      <c r="X25" s="1264"/>
      <c r="Y25" s="339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406"/>
      <c r="Q26" s="1262"/>
      <c r="R26" s="666"/>
      <c r="S26" s="667"/>
      <c r="T26" s="666"/>
      <c r="U26" s="667"/>
      <c r="V26" s="666"/>
      <c r="W26" s="667"/>
      <c r="X26" s="1264"/>
      <c r="Y26" s="3399"/>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06"/>
      <c r="Q27" s="1262" t="str">
        <f t="shared" ref="Q27:Q47" si="11">B27</f>
        <v>楼层</v>
      </c>
      <c r="R27" s="666" t="s">
        <v>14</v>
      </c>
      <c r="S27" s="667">
        <f>F27</f>
        <v>100</v>
      </c>
      <c r="T27" s="666" t="s">
        <v>14</v>
      </c>
      <c r="U27" s="667">
        <f>H27</f>
        <v>100</v>
      </c>
      <c r="V27" s="666" t="s">
        <v>14</v>
      </c>
      <c r="W27" s="667">
        <f>J27</f>
        <v>100</v>
      </c>
      <c r="X27" s="1264"/>
      <c r="Y27" s="3399"/>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406"/>
      <c r="Q28" s="529" t="str">
        <f t="shared" si="11"/>
        <v>朝向</v>
      </c>
      <c r="R28" s="663" t="s">
        <v>14</v>
      </c>
      <c r="S28" s="664">
        <f>F28</f>
        <v>100</v>
      </c>
      <c r="T28" s="663" t="s">
        <v>14</v>
      </c>
      <c r="U28" s="664">
        <f>H28</f>
        <v>100</v>
      </c>
      <c r="V28" s="663" t="s">
        <v>14</v>
      </c>
      <c r="W28" s="664">
        <f>J28</f>
        <v>100</v>
      </c>
      <c r="X28" s="665"/>
      <c r="Y28" s="3399"/>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406"/>
      <c r="Q29" s="1262">
        <f t="shared" si="11"/>
        <v>111</v>
      </c>
      <c r="R29" s="666" t="s">
        <v>14</v>
      </c>
      <c r="S29" s="667">
        <f t="shared" ref="S29:S47" si="12">F29</f>
        <v>100</v>
      </c>
      <c r="T29" s="666" t="s">
        <v>14</v>
      </c>
      <c r="U29" s="667">
        <f t="shared" ref="U29:U47" si="13">H29</f>
        <v>100</v>
      </c>
      <c r="V29" s="666" t="s">
        <v>14</v>
      </c>
      <c r="W29" s="667">
        <f t="shared" ref="W29:W47" si="14">J29</f>
        <v>100</v>
      </c>
      <c r="X29" s="1264"/>
      <c r="Y29" s="339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406"/>
      <c r="Q30" s="1262">
        <f t="shared" si="11"/>
        <v>111</v>
      </c>
      <c r="R30" s="666" t="s">
        <v>14</v>
      </c>
      <c r="S30" s="667">
        <f t="shared" si="12"/>
        <v>100</v>
      </c>
      <c r="T30" s="666" t="s">
        <v>14</v>
      </c>
      <c r="U30" s="667">
        <f t="shared" si="13"/>
        <v>100</v>
      </c>
      <c r="V30" s="666" t="s">
        <v>14</v>
      </c>
      <c r="W30" s="667">
        <f t="shared" si="14"/>
        <v>100</v>
      </c>
      <c r="X30" s="1264"/>
      <c r="Y30" s="339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406"/>
      <c r="Q31" s="1262">
        <f t="shared" si="11"/>
        <v>111</v>
      </c>
      <c r="R31" s="666" t="s">
        <v>14</v>
      </c>
      <c r="S31" s="667">
        <f t="shared" si="12"/>
        <v>100</v>
      </c>
      <c r="T31" s="666" t="s">
        <v>14</v>
      </c>
      <c r="U31" s="667">
        <f t="shared" si="13"/>
        <v>100</v>
      </c>
      <c r="V31" s="666" t="s">
        <v>14</v>
      </c>
      <c r="W31" s="667">
        <f t="shared" si="14"/>
        <v>100</v>
      </c>
      <c r="X31" s="1264"/>
      <c r="Y31" s="3399"/>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406"/>
      <c r="Q32" s="1262">
        <f t="shared" si="11"/>
        <v>111</v>
      </c>
      <c r="R32" s="666" t="s">
        <v>14</v>
      </c>
      <c r="S32" s="667">
        <f t="shared" si="12"/>
        <v>100</v>
      </c>
      <c r="T32" s="666" t="s">
        <v>14</v>
      </c>
      <c r="U32" s="667">
        <f t="shared" si="13"/>
        <v>100</v>
      </c>
      <c r="V32" s="666" t="s">
        <v>14</v>
      </c>
      <c r="W32" s="667">
        <f t="shared" si="14"/>
        <v>100</v>
      </c>
      <c r="X32" s="1264"/>
      <c r="Y32" s="3399"/>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0"/>
      <c r="M33" s="2485"/>
      <c r="N33" s="2485"/>
      <c r="O33" s="2485"/>
      <c r="P33" s="3400" t="s">
        <v>1696</v>
      </c>
      <c r="Q33" s="1262" t="str">
        <f t="shared" si="11"/>
        <v>建筑类型</v>
      </c>
      <c r="R33" s="666" t="s">
        <v>14</v>
      </c>
      <c r="S33" s="667">
        <f t="shared" si="12"/>
        <v>100</v>
      </c>
      <c r="T33" s="666" t="s">
        <v>14</v>
      </c>
      <c r="U33" s="667">
        <f t="shared" si="13"/>
        <v>100</v>
      </c>
      <c r="V33" s="666" t="s">
        <v>14</v>
      </c>
      <c r="W33" s="667">
        <f t="shared" si="14"/>
        <v>100</v>
      </c>
      <c r="X33" s="1264"/>
      <c r="Y33" s="3403"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01"/>
      <c r="Q34" s="530" t="str">
        <f t="shared" si="11"/>
        <v>项目建筑规模</v>
      </c>
      <c r="R34" s="668" t="s">
        <v>14</v>
      </c>
      <c r="S34" s="669" t="e">
        <f t="shared" si="12"/>
        <v>#N/A</v>
      </c>
      <c r="T34" s="668" t="s">
        <v>14</v>
      </c>
      <c r="U34" s="669" t="e">
        <f t="shared" si="13"/>
        <v>#N/A</v>
      </c>
      <c r="V34" s="668" t="s">
        <v>14</v>
      </c>
      <c r="W34" s="669" t="e">
        <f t="shared" si="14"/>
        <v>#N/A</v>
      </c>
      <c r="X34" s="670"/>
      <c r="Y34" s="3403"/>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01"/>
      <c r="Q35" s="1262" t="str">
        <f t="shared" si="11"/>
        <v>建筑结构</v>
      </c>
      <c r="R35" s="666" t="s">
        <v>14</v>
      </c>
      <c r="S35" s="667">
        <f t="shared" si="12"/>
        <v>100</v>
      </c>
      <c r="T35" s="666" t="s">
        <v>14</v>
      </c>
      <c r="U35" s="667">
        <f t="shared" si="13"/>
        <v>100</v>
      </c>
      <c r="V35" s="666" t="s">
        <v>14</v>
      </c>
      <c r="W35" s="667">
        <f t="shared" si="14"/>
        <v>100</v>
      </c>
      <c r="X35" s="1264"/>
      <c r="Y35" s="3403"/>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01"/>
      <c r="Q36" s="1262" t="str">
        <f t="shared" si="11"/>
        <v>公共部分装修</v>
      </c>
      <c r="R36" s="666" t="s">
        <v>14</v>
      </c>
      <c r="S36" s="667">
        <f t="shared" si="12"/>
        <v>100</v>
      </c>
      <c r="T36" s="666" t="s">
        <v>14</v>
      </c>
      <c r="U36" s="667">
        <f t="shared" si="13"/>
        <v>100</v>
      </c>
      <c r="V36" s="666" t="s">
        <v>14</v>
      </c>
      <c r="W36" s="667">
        <f t="shared" si="14"/>
        <v>100</v>
      </c>
      <c r="X36" s="1264"/>
      <c r="Y36" s="3403"/>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01"/>
      <c r="Q37" s="1262" t="str">
        <f t="shared" si="11"/>
        <v>成新度</v>
      </c>
      <c r="R37" s="666" t="s">
        <v>14</v>
      </c>
      <c r="S37" s="667" t="e">
        <f t="shared" si="12"/>
        <v>#N/A</v>
      </c>
      <c r="T37" s="666" t="s">
        <v>14</v>
      </c>
      <c r="U37" s="667" t="e">
        <f t="shared" si="13"/>
        <v>#N/A</v>
      </c>
      <c r="V37" s="666" t="s">
        <v>14</v>
      </c>
      <c r="W37" s="667" t="e">
        <f t="shared" si="14"/>
        <v>#N/A</v>
      </c>
      <c r="X37" s="1264"/>
      <c r="Y37" s="3403"/>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401"/>
      <c r="Q38" s="529" t="str">
        <f t="shared" si="11"/>
        <v>写字楼等级</v>
      </c>
      <c r="R38" s="663" t="s">
        <v>14</v>
      </c>
      <c r="S38" s="664">
        <f t="shared" si="12"/>
        <v>100</v>
      </c>
      <c r="T38" s="663" t="s">
        <v>14</v>
      </c>
      <c r="U38" s="664">
        <f t="shared" si="13"/>
        <v>100</v>
      </c>
      <c r="V38" s="663" t="s">
        <v>14</v>
      </c>
      <c r="W38" s="664">
        <f t="shared" si="14"/>
        <v>100</v>
      </c>
      <c r="X38" s="665"/>
      <c r="Y38" s="3403"/>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01" t="s">
        <v>1696</v>
      </c>
      <c r="Q39" s="1262" t="str">
        <f t="shared" si="11"/>
        <v>物业管理</v>
      </c>
      <c r="R39" s="666" t="s">
        <v>14</v>
      </c>
      <c r="S39" s="667">
        <f t="shared" si="12"/>
        <v>100</v>
      </c>
      <c r="T39" s="666" t="s">
        <v>14</v>
      </c>
      <c r="U39" s="667">
        <f t="shared" si="13"/>
        <v>100</v>
      </c>
      <c r="V39" s="666" t="s">
        <v>14</v>
      </c>
      <c r="W39" s="667">
        <f t="shared" si="14"/>
        <v>100</v>
      </c>
      <c r="X39" s="1264"/>
      <c r="Y39" s="3403"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01"/>
      <c r="Q40" s="1262" t="str">
        <f t="shared" si="11"/>
        <v>市政基础设施</v>
      </c>
      <c r="R40" s="666" t="s">
        <v>14</v>
      </c>
      <c r="S40" s="667">
        <f t="shared" si="12"/>
        <v>100</v>
      </c>
      <c r="T40" s="666" t="s">
        <v>14</v>
      </c>
      <c r="U40" s="667">
        <f t="shared" si="13"/>
        <v>100</v>
      </c>
      <c r="V40" s="666" t="s">
        <v>14</v>
      </c>
      <c r="W40" s="667">
        <f t="shared" si="14"/>
        <v>100</v>
      </c>
      <c r="X40" s="1264"/>
      <c r="Y40" s="3403"/>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01"/>
      <c r="Q41" s="1262" t="str">
        <f t="shared" si="11"/>
        <v>层高</v>
      </c>
      <c r="R41" s="666" t="s">
        <v>14</v>
      </c>
      <c r="S41" s="667">
        <f t="shared" si="12"/>
        <v>100</v>
      </c>
      <c r="T41" s="666" t="s">
        <v>14</v>
      </c>
      <c r="U41" s="667">
        <f t="shared" si="13"/>
        <v>100</v>
      </c>
      <c r="V41" s="666" t="s">
        <v>14</v>
      </c>
      <c r="W41" s="667">
        <f t="shared" si="14"/>
        <v>100</v>
      </c>
      <c r="X41" s="1264"/>
      <c r="Y41" s="3403"/>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01"/>
      <c r="Q42" s="530" t="str">
        <f t="shared" si="11"/>
        <v>单套建筑面积</v>
      </c>
      <c r="R42" s="668" t="s">
        <v>14</v>
      </c>
      <c r="S42" s="669">
        <f t="shared" si="12"/>
        <v>100</v>
      </c>
      <c r="T42" s="668" t="s">
        <v>14</v>
      </c>
      <c r="U42" s="669">
        <f t="shared" si="13"/>
        <v>100</v>
      </c>
      <c r="V42" s="668" t="s">
        <v>14</v>
      </c>
      <c r="W42" s="669">
        <f t="shared" si="14"/>
        <v>100</v>
      </c>
      <c r="X42" s="670"/>
      <c r="Y42" s="3403"/>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01"/>
      <c r="Q43" s="1262" t="str">
        <f t="shared" si="11"/>
        <v>内部装修</v>
      </c>
      <c r="R43" s="666" t="s">
        <v>14</v>
      </c>
      <c r="S43" s="667">
        <f t="shared" si="12"/>
        <v>100</v>
      </c>
      <c r="T43" s="666" t="s">
        <v>14</v>
      </c>
      <c r="U43" s="667">
        <f t="shared" si="13"/>
        <v>100</v>
      </c>
      <c r="V43" s="666" t="s">
        <v>14</v>
      </c>
      <c r="W43" s="667">
        <f t="shared" si="14"/>
        <v>100</v>
      </c>
      <c r="X43" s="1264"/>
      <c r="Y43" s="3403"/>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0"/>
      <c r="M44" s="2485"/>
      <c r="N44" s="2485"/>
      <c r="O44" s="2485"/>
      <c r="P44" s="3401"/>
      <c r="Q44" s="1262" t="str">
        <f t="shared" si="11"/>
        <v>内部装修维护情况</v>
      </c>
      <c r="R44" s="666" t="s">
        <v>14</v>
      </c>
      <c r="S44" s="667">
        <f t="shared" si="12"/>
        <v>100</v>
      </c>
      <c r="T44" s="666" t="s">
        <v>14</v>
      </c>
      <c r="U44" s="667">
        <f t="shared" si="13"/>
        <v>100</v>
      </c>
      <c r="V44" s="666" t="s">
        <v>14</v>
      </c>
      <c r="W44" s="667">
        <f t="shared" si="14"/>
        <v>100</v>
      </c>
      <c r="X44" s="1264"/>
      <c r="Y44" s="3403"/>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401"/>
      <c r="Q45" s="529">
        <f t="shared" si="11"/>
        <v>111</v>
      </c>
      <c r="R45" s="663" t="s">
        <v>14</v>
      </c>
      <c r="S45" s="664">
        <f t="shared" si="12"/>
        <v>100</v>
      </c>
      <c r="T45" s="663" t="s">
        <v>14</v>
      </c>
      <c r="U45" s="664">
        <f t="shared" si="13"/>
        <v>100</v>
      </c>
      <c r="V45" s="663" t="s">
        <v>14</v>
      </c>
      <c r="W45" s="664">
        <f t="shared" si="14"/>
        <v>100</v>
      </c>
      <c r="X45" s="665"/>
      <c r="Y45" s="3403"/>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01"/>
      <c r="Q46" s="1262">
        <f t="shared" si="11"/>
        <v>111</v>
      </c>
      <c r="R46" s="666" t="s">
        <v>14</v>
      </c>
      <c r="S46" s="667">
        <f t="shared" si="12"/>
        <v>100</v>
      </c>
      <c r="T46" s="666" t="s">
        <v>14</v>
      </c>
      <c r="U46" s="667">
        <f t="shared" si="13"/>
        <v>100</v>
      </c>
      <c r="V46" s="666" t="s">
        <v>14</v>
      </c>
      <c r="W46" s="667">
        <f t="shared" si="14"/>
        <v>100</v>
      </c>
      <c r="X46" s="1264"/>
      <c r="Y46" s="3403"/>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02"/>
      <c r="Q47" s="1262">
        <f t="shared" si="11"/>
        <v>111</v>
      </c>
      <c r="R47" s="666" t="s">
        <v>14</v>
      </c>
      <c r="S47" s="667">
        <f t="shared" si="12"/>
        <v>100</v>
      </c>
      <c r="T47" s="666" t="s">
        <v>14</v>
      </c>
      <c r="U47" s="667">
        <f t="shared" si="13"/>
        <v>100</v>
      </c>
      <c r="V47" s="666" t="s">
        <v>14</v>
      </c>
      <c r="W47" s="667">
        <f t="shared" si="14"/>
        <v>100</v>
      </c>
      <c r="X47" s="1264"/>
      <c r="Y47" s="3404"/>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2"/>
      <c r="M48" s="2485"/>
      <c r="N48" s="2485"/>
      <c r="O48" s="2485"/>
      <c r="P48" s="3407" t="str">
        <f>A48</f>
        <v>成交单价（元/平方米）</v>
      </c>
      <c r="Q48" s="3396"/>
      <c r="R48" s="3397">
        <f>E48</f>
        <v>0</v>
      </c>
      <c r="S48" s="3397"/>
      <c r="T48" s="3397">
        <f>G48</f>
        <v>0</v>
      </c>
      <c r="U48" s="3397"/>
      <c r="V48" s="3397">
        <f>I48</f>
        <v>0</v>
      </c>
      <c r="W48" s="3397"/>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407" t="str">
        <f>A49</f>
        <v>比较价值（元/平方米）</v>
      </c>
      <c r="Q49" s="3396"/>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2"/>
      <c r="M50" s="2485"/>
      <c r="N50" s="2485"/>
      <c r="O50" s="2485"/>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1" customFormat="1">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4.4">
      <c r="A62" s="454" t="s">
        <v>1681</v>
      </c>
      <c r="B62" s="443"/>
      <c r="C62" s="455" t="s">
        <v>1776</v>
      </c>
      <c r="D62" s="31"/>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ht="14.4">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4.4"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1946.52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11" t="s">
        <v>1770</v>
      </c>
      <c r="D4" s="3412"/>
      <c r="E4" s="3413" t="s">
        <v>1771</v>
      </c>
      <c r="F4" s="3414"/>
      <c r="G4" s="3411" t="s">
        <v>1772</v>
      </c>
      <c r="H4" s="3412"/>
      <c r="I4" s="3411" t="s">
        <v>1773</v>
      </c>
      <c r="J4" s="3412"/>
      <c r="K4" s="536" t="s">
        <v>1774</v>
      </c>
      <c r="L4" s="859"/>
      <c r="M4" s="860"/>
      <c r="N4" s="860"/>
      <c r="O4" s="860"/>
      <c r="P4" s="3415" t="s">
        <v>1775</v>
      </c>
      <c r="Q4" s="3416"/>
      <c r="R4" s="3421" t="s">
        <v>1771</v>
      </c>
      <c r="S4" s="3422"/>
      <c r="T4" s="3421" t="s">
        <v>1772</v>
      </c>
      <c r="U4" s="3422"/>
      <c r="V4" s="3397" t="s">
        <v>1773</v>
      </c>
      <c r="W4" s="3397"/>
      <c r="X4" s="1264"/>
      <c r="Y4" s="3421" t="s">
        <v>1775</v>
      </c>
      <c r="Z4" s="3422"/>
      <c r="AA4" s="3408" t="s">
        <v>1771</v>
      </c>
      <c r="AB4" s="3409" t="s">
        <v>1772</v>
      </c>
      <c r="AC4" s="3408" t="s">
        <v>1773</v>
      </c>
    </row>
    <row r="5" spans="1:29">
      <c r="A5" s="347"/>
      <c r="B5" s="348"/>
      <c r="C5" s="3429" t="s">
        <v>1673</v>
      </c>
      <c r="D5" s="3430"/>
      <c r="E5" s="3436" t="s">
        <v>1674</v>
      </c>
      <c r="F5" s="3437"/>
      <c r="G5" s="3429" t="s">
        <v>1675</v>
      </c>
      <c r="H5" s="3430"/>
      <c r="I5" s="3429" t="s">
        <v>1676</v>
      </c>
      <c r="J5" s="3430"/>
      <c r="K5" s="536"/>
      <c r="L5" s="859"/>
      <c r="M5" s="860"/>
      <c r="N5" s="860"/>
      <c r="O5" s="860"/>
      <c r="P5" s="3417"/>
      <c r="Q5" s="3418"/>
      <c r="R5" s="3423"/>
      <c r="S5" s="3424"/>
      <c r="T5" s="3423"/>
      <c r="U5" s="3424"/>
      <c r="V5" s="3397"/>
      <c r="W5" s="3397"/>
      <c r="X5" s="1264"/>
      <c r="Y5" s="3423"/>
      <c r="Z5" s="3424"/>
      <c r="AA5" s="3409"/>
      <c r="AB5" s="3409"/>
      <c r="AC5" s="3409"/>
    </row>
    <row r="6" spans="1:29" ht="15" thickBot="1">
      <c r="A6" s="349"/>
      <c r="B6" s="350"/>
      <c r="C6" s="3427" t="s">
        <v>1677</v>
      </c>
      <c r="D6" s="3428"/>
      <c r="E6" s="3434" t="s">
        <v>1677</v>
      </c>
      <c r="F6" s="3435"/>
      <c r="G6" s="3427" t="s">
        <v>1677</v>
      </c>
      <c r="H6" s="3428"/>
      <c r="I6" s="3427" t="s">
        <v>1677</v>
      </c>
      <c r="J6" s="3428"/>
      <c r="K6" s="536" t="s">
        <v>1678</v>
      </c>
      <c r="L6" s="859"/>
      <c r="M6" s="860"/>
      <c r="N6" s="860"/>
      <c r="O6" s="860"/>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SUMIF(52:52,YEAR(E7)&amp;"-"&amp;MONTH(E7),53:53)</f>
        <v>0</v>
      </c>
      <c r="G7" s="355"/>
      <c r="H7" s="354">
        <f>SUMIF(52:52,YEAR(G7)&amp;"-"&amp;MONTH(G7),53:53)</f>
        <v>0</v>
      </c>
      <c r="I7" s="355"/>
      <c r="J7" s="354">
        <f>SUMIF(52:52,YEAR(I7)&amp;"-"&amp;MONTH(I7),53:53)</f>
        <v>0</v>
      </c>
      <c r="K7" s="38"/>
      <c r="L7" s="861"/>
      <c r="M7" s="862"/>
      <c r="N7" s="862"/>
      <c r="O7" s="862"/>
      <c r="P7" s="3431" t="s">
        <v>1680</v>
      </c>
      <c r="Q7" s="3433"/>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1" t="s">
        <v>1683</v>
      </c>
      <c r="Q8" s="3432"/>
      <c r="R8" s="663" t="s">
        <v>14</v>
      </c>
      <c r="S8" s="664">
        <f t="shared" si="0"/>
        <v>100</v>
      </c>
      <c r="T8" s="663" t="s">
        <v>14</v>
      </c>
      <c r="U8" s="664">
        <f t="shared" si="1"/>
        <v>100</v>
      </c>
      <c r="V8" s="663" t="s">
        <v>14</v>
      </c>
      <c r="W8" s="664">
        <f t="shared" si="2"/>
        <v>100</v>
      </c>
      <c r="X8" s="665"/>
      <c r="Y8" s="3431" t="s">
        <v>1683</v>
      </c>
      <c r="Z8" s="3432"/>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96"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396"/>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6"/>
      <c r="Q11" s="529" t="str">
        <f t="shared" si="6"/>
        <v>容积率</v>
      </c>
      <c r="R11" s="663" t="s">
        <v>14</v>
      </c>
      <c r="S11" s="664">
        <f t="shared" si="0"/>
        <v>100</v>
      </c>
      <c r="T11" s="663" t="s">
        <v>14</v>
      </c>
      <c r="U11" s="664">
        <f t="shared" si="1"/>
        <v>100</v>
      </c>
      <c r="V11" s="663" t="s">
        <v>14</v>
      </c>
      <c r="W11" s="664">
        <f t="shared" si="2"/>
        <v>100</v>
      </c>
      <c r="X11" s="665"/>
      <c r="Y11" s="327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96"/>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96"/>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96"/>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8" t="s">
        <v>1691</v>
      </c>
      <c r="Q15" s="1262" t="str">
        <f t="shared" si="6"/>
        <v>产业集聚程度</v>
      </c>
      <c r="R15" s="666" t="s">
        <v>14</v>
      </c>
      <c r="S15" s="667">
        <f t="shared" si="0"/>
        <v>100</v>
      </c>
      <c r="T15" s="666" t="s">
        <v>14</v>
      </c>
      <c r="U15" s="667">
        <f t="shared" si="1"/>
        <v>100</v>
      </c>
      <c r="V15" s="666" t="s">
        <v>14</v>
      </c>
      <c r="W15" s="667">
        <f t="shared" si="2"/>
        <v>100</v>
      </c>
      <c r="X15" s="1264"/>
      <c r="Y15" s="3398"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9"/>
      <c r="Q16" s="1262"/>
      <c r="R16" s="666"/>
      <c r="S16" s="667"/>
      <c r="T16" s="666"/>
      <c r="U16" s="667"/>
      <c r="V16" s="666"/>
      <c r="W16" s="667"/>
      <c r="X16" s="1264"/>
      <c r="Y16" s="3399"/>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9"/>
      <c r="Q17" s="1262" t="str">
        <f>B17</f>
        <v>交通便捷度</v>
      </c>
      <c r="R17" s="666" t="s">
        <v>14</v>
      </c>
      <c r="S17" s="667">
        <f>F17</f>
        <v>100</v>
      </c>
      <c r="T17" s="666" t="s">
        <v>14</v>
      </c>
      <c r="U17" s="667">
        <f>H17</f>
        <v>100</v>
      </c>
      <c r="V17" s="666" t="s">
        <v>14</v>
      </c>
      <c r="W17" s="667">
        <f>J17</f>
        <v>100</v>
      </c>
      <c r="X17" s="1264"/>
      <c r="Y17" s="339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9"/>
      <c r="Q18" s="1262"/>
      <c r="R18" s="666"/>
      <c r="S18" s="667"/>
      <c r="T18" s="666"/>
      <c r="U18" s="667"/>
      <c r="V18" s="666"/>
      <c r="W18" s="667"/>
      <c r="X18" s="1264"/>
      <c r="Y18" s="3399"/>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9"/>
      <c r="Q19" s="1262" t="str">
        <f>B19</f>
        <v>公共配套设施</v>
      </c>
      <c r="R19" s="666" t="s">
        <v>14</v>
      </c>
      <c r="S19" s="667">
        <f>F19</f>
        <v>100</v>
      </c>
      <c r="T19" s="666" t="s">
        <v>14</v>
      </c>
      <c r="U19" s="667">
        <f>H19</f>
        <v>100</v>
      </c>
      <c r="V19" s="666" t="s">
        <v>14</v>
      </c>
      <c r="W19" s="667">
        <f>J19</f>
        <v>100</v>
      </c>
      <c r="X19" s="1264"/>
      <c r="Y19" s="339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9"/>
      <c r="Q20" s="1262"/>
      <c r="R20" s="666"/>
      <c r="S20" s="667"/>
      <c r="T20" s="666"/>
      <c r="U20" s="667"/>
      <c r="V20" s="666"/>
      <c r="W20" s="667"/>
      <c r="X20" s="1264"/>
      <c r="Y20" s="3399"/>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9"/>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9"/>
      <c r="Q22" s="1262"/>
      <c r="R22" s="666"/>
      <c r="S22" s="667"/>
      <c r="T22" s="666"/>
      <c r="U22" s="667"/>
      <c r="V22" s="666"/>
      <c r="W22" s="667"/>
      <c r="X22" s="1264"/>
      <c r="Y22" s="3399"/>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9"/>
      <c r="Q23" s="1262" t="str">
        <f>B23</f>
        <v>环境质量</v>
      </c>
      <c r="R23" s="666" t="s">
        <v>14</v>
      </c>
      <c r="S23" s="667">
        <f>F23</f>
        <v>100</v>
      </c>
      <c r="T23" s="666" t="s">
        <v>14</v>
      </c>
      <c r="U23" s="667">
        <f>H23</f>
        <v>100</v>
      </c>
      <c r="V23" s="666" t="s">
        <v>14</v>
      </c>
      <c r="W23" s="667">
        <f>J23</f>
        <v>100</v>
      </c>
      <c r="X23" s="1264"/>
      <c r="Y23" s="3399"/>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9"/>
      <c r="Q24" s="1262"/>
      <c r="R24" s="666"/>
      <c r="S24" s="667"/>
      <c r="T24" s="666"/>
      <c r="U24" s="667"/>
      <c r="V24" s="666"/>
      <c r="W24" s="667"/>
      <c r="X24" s="1264"/>
      <c r="Y24" s="339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9"/>
      <c r="Q25" s="1262">
        <f>B25</f>
        <v>111</v>
      </c>
      <c r="R25" s="666" t="s">
        <v>14</v>
      </c>
      <c r="S25" s="667">
        <f>F25</f>
        <v>100</v>
      </c>
      <c r="T25" s="666" t="s">
        <v>14</v>
      </c>
      <c r="U25" s="667">
        <f>H25</f>
        <v>100</v>
      </c>
      <c r="V25" s="666" t="s">
        <v>14</v>
      </c>
      <c r="W25" s="667">
        <f>J25</f>
        <v>100</v>
      </c>
      <c r="X25" s="1264"/>
      <c r="Y25" s="339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9"/>
      <c r="Q26" s="1262">
        <f t="shared" ref="Q26:Q40" si="11">B26</f>
        <v>111</v>
      </c>
      <c r="R26" s="666" t="s">
        <v>14</v>
      </c>
      <c r="S26" s="667">
        <f>F26</f>
        <v>100</v>
      </c>
      <c r="T26" s="666" t="s">
        <v>14</v>
      </c>
      <c r="U26" s="667">
        <f>H26</f>
        <v>100</v>
      </c>
      <c r="V26" s="666" t="s">
        <v>14</v>
      </c>
      <c r="W26" s="667">
        <f>J26</f>
        <v>100</v>
      </c>
      <c r="X26" s="1264"/>
      <c r="Y26" s="3399"/>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9"/>
      <c r="Q27" s="529">
        <f t="shared" si="11"/>
        <v>111</v>
      </c>
      <c r="R27" s="663" t="s">
        <v>14</v>
      </c>
      <c r="S27" s="664">
        <f>F27</f>
        <v>100</v>
      </c>
      <c r="T27" s="663" t="s">
        <v>14</v>
      </c>
      <c r="U27" s="664">
        <f>H27</f>
        <v>100</v>
      </c>
      <c r="V27" s="663" t="s">
        <v>14</v>
      </c>
      <c r="W27" s="664">
        <f>J27</f>
        <v>100</v>
      </c>
      <c r="X27" s="665"/>
      <c r="Y27" s="3399"/>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9"/>
      <c r="Q28" s="1262">
        <f t="shared" si="11"/>
        <v>111</v>
      </c>
      <c r="R28" s="666" t="s">
        <v>14</v>
      </c>
      <c r="S28" s="667">
        <f t="shared" ref="S28:S40" si="12">F28</f>
        <v>100</v>
      </c>
      <c r="T28" s="666" t="s">
        <v>14</v>
      </c>
      <c r="U28" s="667">
        <f t="shared" ref="U28:U40" si="13">H28</f>
        <v>100</v>
      </c>
      <c r="V28" s="666" t="s">
        <v>14</v>
      </c>
      <c r="W28" s="667">
        <f t="shared" ref="W28:W40" si="14">J28</f>
        <v>100</v>
      </c>
      <c r="X28" s="1264"/>
      <c r="Y28" s="3399"/>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53" t="s">
        <v>1696</v>
      </c>
      <c r="Q29" s="1262" t="str">
        <f t="shared" si="11"/>
        <v>建筑类型</v>
      </c>
      <c r="R29" s="666" t="s">
        <v>14</v>
      </c>
      <c r="S29" s="667">
        <f t="shared" si="12"/>
        <v>100</v>
      </c>
      <c r="T29" s="666" t="s">
        <v>14</v>
      </c>
      <c r="U29" s="667">
        <f t="shared" si="13"/>
        <v>100</v>
      </c>
      <c r="V29" s="666" t="s">
        <v>14</v>
      </c>
      <c r="W29" s="667">
        <f t="shared" si="14"/>
        <v>100</v>
      </c>
      <c r="X29" s="1264"/>
      <c r="Y29" s="3403"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3"/>
      <c r="Q30" s="530" t="str">
        <f t="shared" si="11"/>
        <v>项目建筑规模</v>
      </c>
      <c r="R30" s="668" t="s">
        <v>14</v>
      </c>
      <c r="S30" s="669" t="e">
        <f t="shared" si="12"/>
        <v>#N/A</v>
      </c>
      <c r="T30" s="668" t="s">
        <v>14</v>
      </c>
      <c r="U30" s="669" t="e">
        <f t="shared" si="13"/>
        <v>#N/A</v>
      </c>
      <c r="V30" s="668" t="s">
        <v>14</v>
      </c>
      <c r="W30" s="669" t="e">
        <f t="shared" si="14"/>
        <v>#N/A</v>
      </c>
      <c r="X30" s="670"/>
      <c r="Y30" s="3403"/>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3"/>
      <c r="Q31" s="1262" t="str">
        <f t="shared" si="11"/>
        <v>建筑结构</v>
      </c>
      <c r="R31" s="666" t="s">
        <v>14</v>
      </c>
      <c r="S31" s="667">
        <f t="shared" si="12"/>
        <v>100</v>
      </c>
      <c r="T31" s="666" t="s">
        <v>14</v>
      </c>
      <c r="U31" s="667">
        <f t="shared" si="13"/>
        <v>100</v>
      </c>
      <c r="V31" s="666" t="s">
        <v>14</v>
      </c>
      <c r="W31" s="667">
        <f t="shared" si="14"/>
        <v>100</v>
      </c>
      <c r="X31" s="1264"/>
      <c r="Y31" s="3403"/>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3"/>
      <c r="Q32" s="1262" t="str">
        <f t="shared" si="11"/>
        <v>公共部分装修</v>
      </c>
      <c r="R32" s="666" t="s">
        <v>14</v>
      </c>
      <c r="S32" s="667">
        <f t="shared" si="12"/>
        <v>100</v>
      </c>
      <c r="T32" s="666" t="s">
        <v>14</v>
      </c>
      <c r="U32" s="667">
        <f t="shared" si="13"/>
        <v>100</v>
      </c>
      <c r="V32" s="666" t="s">
        <v>14</v>
      </c>
      <c r="W32" s="667">
        <f t="shared" si="14"/>
        <v>100</v>
      </c>
      <c r="X32" s="1264"/>
      <c r="Y32" s="3403"/>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3"/>
      <c r="Q33" s="1262" t="str">
        <f t="shared" si="11"/>
        <v>成新度</v>
      </c>
      <c r="R33" s="666" t="s">
        <v>14</v>
      </c>
      <c r="S33" s="667" t="e">
        <f t="shared" si="12"/>
        <v>#N/A</v>
      </c>
      <c r="T33" s="666" t="s">
        <v>14</v>
      </c>
      <c r="U33" s="667" t="e">
        <f t="shared" si="13"/>
        <v>#N/A</v>
      </c>
      <c r="V33" s="666" t="s">
        <v>14</v>
      </c>
      <c r="W33" s="667" t="e">
        <f t="shared" si="14"/>
        <v>#N/A</v>
      </c>
      <c r="X33" s="1264"/>
      <c r="Y33" s="3403"/>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3"/>
      <c r="Q34" s="529" t="str">
        <f t="shared" si="11"/>
        <v>物业管理</v>
      </c>
      <c r="R34" s="663" t="s">
        <v>14</v>
      </c>
      <c r="S34" s="664">
        <f t="shared" si="12"/>
        <v>100</v>
      </c>
      <c r="T34" s="663" t="s">
        <v>14</v>
      </c>
      <c r="U34" s="664">
        <f t="shared" si="13"/>
        <v>100</v>
      </c>
      <c r="V34" s="663" t="s">
        <v>14</v>
      </c>
      <c r="W34" s="664">
        <f t="shared" si="14"/>
        <v>100</v>
      </c>
      <c r="X34" s="665"/>
      <c r="Y34" s="340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3" t="s">
        <v>1696</v>
      </c>
      <c r="Q35" s="1262" t="str">
        <f t="shared" si="11"/>
        <v>市政基础设施</v>
      </c>
      <c r="R35" s="666" t="s">
        <v>14</v>
      </c>
      <c r="S35" s="667">
        <f t="shared" si="12"/>
        <v>100</v>
      </c>
      <c r="T35" s="666" t="s">
        <v>14</v>
      </c>
      <c r="U35" s="667">
        <f t="shared" si="13"/>
        <v>100</v>
      </c>
      <c r="V35" s="666" t="s">
        <v>14</v>
      </c>
      <c r="W35" s="667">
        <f t="shared" si="14"/>
        <v>100</v>
      </c>
      <c r="X35" s="1264"/>
      <c r="Y35" s="3403"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3"/>
      <c r="Q36" s="1262" t="str">
        <f t="shared" si="11"/>
        <v>内部装修</v>
      </c>
      <c r="R36" s="666" t="s">
        <v>14</v>
      </c>
      <c r="S36" s="667">
        <f t="shared" si="12"/>
        <v>100</v>
      </c>
      <c r="T36" s="666" t="s">
        <v>14</v>
      </c>
      <c r="U36" s="667">
        <f t="shared" si="13"/>
        <v>100</v>
      </c>
      <c r="V36" s="666" t="s">
        <v>14</v>
      </c>
      <c r="W36" s="667">
        <f t="shared" si="14"/>
        <v>100</v>
      </c>
      <c r="X36" s="1264"/>
      <c r="Y36" s="3403"/>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3"/>
      <c r="Q37" s="1262" t="str">
        <f t="shared" si="11"/>
        <v>内部装修状况</v>
      </c>
      <c r="R37" s="666" t="s">
        <v>14</v>
      </c>
      <c r="S37" s="667">
        <f t="shared" si="12"/>
        <v>100</v>
      </c>
      <c r="T37" s="666" t="s">
        <v>14</v>
      </c>
      <c r="U37" s="667">
        <f t="shared" si="13"/>
        <v>100</v>
      </c>
      <c r="V37" s="666" t="s">
        <v>14</v>
      </c>
      <c r="W37" s="667">
        <f t="shared" si="14"/>
        <v>100</v>
      </c>
      <c r="X37" s="1264"/>
      <c r="Y37" s="3403"/>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3"/>
      <c r="Q38" s="530">
        <f t="shared" si="11"/>
        <v>111</v>
      </c>
      <c r="R38" s="668" t="s">
        <v>14</v>
      </c>
      <c r="S38" s="669">
        <f t="shared" si="12"/>
        <v>100</v>
      </c>
      <c r="T38" s="668" t="s">
        <v>14</v>
      </c>
      <c r="U38" s="669">
        <f t="shared" si="13"/>
        <v>100</v>
      </c>
      <c r="V38" s="668" t="s">
        <v>14</v>
      </c>
      <c r="W38" s="669">
        <f t="shared" si="14"/>
        <v>100</v>
      </c>
      <c r="X38" s="670"/>
      <c r="Y38" s="3403"/>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3"/>
      <c r="Q39" s="1262">
        <f t="shared" si="11"/>
        <v>111</v>
      </c>
      <c r="R39" s="666" t="s">
        <v>14</v>
      </c>
      <c r="S39" s="667">
        <f t="shared" si="12"/>
        <v>100</v>
      </c>
      <c r="T39" s="666" t="s">
        <v>14</v>
      </c>
      <c r="U39" s="667">
        <f t="shared" si="13"/>
        <v>100</v>
      </c>
      <c r="V39" s="666" t="s">
        <v>14</v>
      </c>
      <c r="W39" s="667">
        <f t="shared" si="14"/>
        <v>100</v>
      </c>
      <c r="X39" s="1264"/>
      <c r="Y39" s="3403"/>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4"/>
      <c r="Q40" s="1262">
        <f t="shared" si="11"/>
        <v>111</v>
      </c>
      <c r="R40" s="666" t="s">
        <v>14</v>
      </c>
      <c r="S40" s="667">
        <f t="shared" si="12"/>
        <v>100</v>
      </c>
      <c r="T40" s="666" t="s">
        <v>14</v>
      </c>
      <c r="U40" s="667">
        <f t="shared" si="13"/>
        <v>100</v>
      </c>
      <c r="V40" s="666" t="s">
        <v>14</v>
      </c>
      <c r="W40" s="667">
        <f t="shared" si="14"/>
        <v>100</v>
      </c>
      <c r="X40" s="1264"/>
      <c r="Y40" s="3404"/>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96" t="str">
        <f>A41</f>
        <v>成交单价（元/平方米）</v>
      </c>
      <c r="Q41" s="3396"/>
      <c r="R41" s="3397">
        <f>E41</f>
        <v>0</v>
      </c>
      <c r="S41" s="3397"/>
      <c r="T41" s="3397">
        <f>G41</f>
        <v>0</v>
      </c>
      <c r="U41" s="3397"/>
      <c r="V41" s="3397">
        <f>I41</f>
        <v>0</v>
      </c>
      <c r="W41" s="3397"/>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6"/>
      <c r="O54" s="2537"/>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受贵公司委托，我公司对北京市平谷区谷丰东路30号院14号楼-1至5层101房地产抵押价值进行了预评估。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谷丰东路30号院14号楼-1至5层101房地产，为北京燕山盛祥石油化工有限公司所有。根据《国有土地使用证》[]，估价对象（分摊）出让国有建设用地使用权面积为0平方米，建筑面积为1946.52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谷丰东路30号院14号楼-1至5层101房地产,属北京燕山盛祥石油化工有限公司开发建设的工业项目，该项目尚在开发建设中。根据《国有土地使用证》[]，估价对象（分摊）出让国有建设用地使用权面积为0平方米，规划建筑面积为1946.52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平谷区谷丰东路30号院14号楼-1至5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2024年11月29日（评估专业人员实地查勘之日）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厂房，土地取得方式为出让，出让国有建设用地使用权剩余土地使用年限为24.66，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24.66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15" t="s">
        <v>1775</v>
      </c>
      <c r="Q4" s="3416"/>
      <c r="R4" s="3421" t="s">
        <v>1771</v>
      </c>
      <c r="S4" s="3422"/>
      <c r="T4" s="3421" t="s">
        <v>1772</v>
      </c>
      <c r="U4" s="3422"/>
      <c r="V4" s="3397" t="s">
        <v>1773</v>
      </c>
      <c r="W4" s="3397"/>
      <c r="X4" s="1264"/>
      <c r="Y4" s="3421" t="s">
        <v>1775</v>
      </c>
      <c r="Z4" s="3422"/>
      <c r="AA4" s="3408" t="s">
        <v>1771</v>
      </c>
      <c r="AB4" s="3409" t="s">
        <v>1772</v>
      </c>
      <c r="AC4" s="3408" t="s">
        <v>1773</v>
      </c>
    </row>
    <row r="5" spans="1:29">
      <c r="A5" s="347"/>
      <c r="B5" s="348"/>
      <c r="C5" s="3429" t="s">
        <v>1673</v>
      </c>
      <c r="D5" s="3430"/>
      <c r="E5" s="3436" t="s">
        <v>1674</v>
      </c>
      <c r="F5" s="3437"/>
      <c r="G5" s="3429" t="s">
        <v>1675</v>
      </c>
      <c r="H5" s="3430"/>
      <c r="I5" s="3429" t="s">
        <v>1676</v>
      </c>
      <c r="J5" s="3430"/>
      <c r="K5" s="536"/>
      <c r="L5" s="2484"/>
      <c r="M5" s="2485"/>
      <c r="N5" s="2485"/>
      <c r="O5" s="2485"/>
      <c r="P5" s="3417"/>
      <c r="Q5" s="3418"/>
      <c r="R5" s="3423"/>
      <c r="S5" s="3424"/>
      <c r="T5" s="3423"/>
      <c r="U5" s="3424"/>
      <c r="V5" s="3397"/>
      <c r="W5" s="3397"/>
      <c r="X5" s="1264"/>
      <c r="Y5" s="3423"/>
      <c r="Z5" s="3424"/>
      <c r="AA5" s="3409"/>
      <c r="AB5" s="3409"/>
      <c r="AC5" s="3409"/>
    </row>
    <row r="6" spans="1:29" ht="15" thickBot="1">
      <c r="A6" s="349"/>
      <c r="B6" s="350"/>
      <c r="C6" s="3427" t="s">
        <v>1677</v>
      </c>
      <c r="D6" s="3428"/>
      <c r="E6" s="3434" t="s">
        <v>1677</v>
      </c>
      <c r="F6" s="3435"/>
      <c r="G6" s="3427" t="s">
        <v>1677</v>
      </c>
      <c r="H6" s="3428"/>
      <c r="I6" s="3427" t="s">
        <v>1677</v>
      </c>
      <c r="J6" s="3428"/>
      <c r="K6" s="536" t="s">
        <v>1678</v>
      </c>
      <c r="L6" s="2484"/>
      <c r="M6" s="2485"/>
      <c r="N6" s="2485"/>
      <c r="O6" s="2485"/>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SUMIF(48:48,YEAR(E7)&amp;"-"&amp;MONTH(E7),49:49)</f>
        <v>0</v>
      </c>
      <c r="G7" s="355"/>
      <c r="H7" s="354">
        <f>SUMIF(48:48,YEAR(G7)&amp;"-"&amp;MONTH(G7),49:49)</f>
        <v>0</v>
      </c>
      <c r="I7" s="355"/>
      <c r="J7" s="354">
        <f>SUMIF(48:48,YEAR(I7)&amp;"-"&amp;MONTH(I7),49:49)</f>
        <v>0</v>
      </c>
      <c r="K7" s="38"/>
      <c r="L7" s="2486"/>
      <c r="M7" s="2438"/>
      <c r="N7" s="2438"/>
      <c r="O7" s="2438"/>
      <c r="P7" s="3431" t="s">
        <v>1680</v>
      </c>
      <c r="Q7" s="3433"/>
      <c r="R7" s="663" t="s">
        <v>14</v>
      </c>
      <c r="S7" s="664">
        <f t="shared" ref="S7:S14" si="0">F7</f>
        <v>0</v>
      </c>
      <c r="T7" s="663" t="s">
        <v>14</v>
      </c>
      <c r="U7" s="664">
        <f t="shared" ref="U7:U14" si="1">H7</f>
        <v>0</v>
      </c>
      <c r="V7" s="663" t="s">
        <v>14</v>
      </c>
      <c r="W7" s="664">
        <f t="shared" ref="W7:W14" si="2">J7</f>
        <v>0</v>
      </c>
      <c r="X7" s="665"/>
      <c r="Y7" s="3431" t="s">
        <v>1680</v>
      </c>
      <c r="Z7" s="3432"/>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431" t="s">
        <v>1683</v>
      </c>
      <c r="Q8" s="3432"/>
      <c r="R8" s="663" t="s">
        <v>14</v>
      </c>
      <c r="S8" s="664">
        <f t="shared" si="0"/>
        <v>100</v>
      </c>
      <c r="T8" s="663" t="s">
        <v>14</v>
      </c>
      <c r="U8" s="664">
        <f t="shared" si="1"/>
        <v>100</v>
      </c>
      <c r="V8" s="663" t="s">
        <v>14</v>
      </c>
      <c r="W8" s="664">
        <f t="shared" si="2"/>
        <v>100</v>
      </c>
      <c r="X8" s="665"/>
      <c r="Y8" s="3431" t="s">
        <v>1683</v>
      </c>
      <c r="Z8" s="3432"/>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396" t="s">
        <v>1686</v>
      </c>
      <c r="Q9" s="529" t="str">
        <f t="shared" ref="Q9:Q14" si="6">B9</f>
        <v>用途</v>
      </c>
      <c r="R9" s="663" t="s">
        <v>14</v>
      </c>
      <c r="S9" s="664">
        <f t="shared" si="0"/>
        <v>100</v>
      </c>
      <c r="T9" s="663" t="s">
        <v>14</v>
      </c>
      <c r="U9" s="664">
        <f t="shared" si="1"/>
        <v>100</v>
      </c>
      <c r="V9" s="663" t="s">
        <v>14</v>
      </c>
      <c r="W9" s="664">
        <f t="shared" si="2"/>
        <v>100</v>
      </c>
      <c r="X9" s="665"/>
      <c r="Y9" s="3271" t="s">
        <v>1687</v>
      </c>
      <c r="Z9" s="50" t="str">
        <f t="shared" ref="Z9:Z14" si="7">Q9</f>
        <v>用途</v>
      </c>
      <c r="AA9" s="50">
        <f t="shared" si="3"/>
        <v>1</v>
      </c>
      <c r="AB9" s="50">
        <f t="shared" si="4"/>
        <v>1</v>
      </c>
      <c r="AC9" s="50">
        <f t="shared" si="5"/>
        <v>1</v>
      </c>
    </row>
    <row r="10" spans="1:29" s="365" customFormat="1" ht="28.8">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396"/>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396"/>
      <c r="Q11" s="529">
        <f t="shared" si="6"/>
        <v>111</v>
      </c>
      <c r="R11" s="663" t="s">
        <v>14</v>
      </c>
      <c r="S11" s="664">
        <f t="shared" si="0"/>
        <v>100</v>
      </c>
      <c r="T11" s="663" t="s">
        <v>14</v>
      </c>
      <c r="U11" s="664">
        <f t="shared" si="1"/>
        <v>100</v>
      </c>
      <c r="V11" s="663" t="s">
        <v>14</v>
      </c>
      <c r="W11" s="664">
        <f t="shared" si="2"/>
        <v>100</v>
      </c>
      <c r="X11" s="665"/>
      <c r="Y11" s="3271"/>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396"/>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396"/>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398" t="s">
        <v>1691</v>
      </c>
      <c r="Q14" s="1262" t="str">
        <f t="shared" si="6"/>
        <v>交通便捷度</v>
      </c>
      <c r="R14" s="666" t="s">
        <v>14</v>
      </c>
      <c r="S14" s="667">
        <f t="shared" si="0"/>
        <v>100</v>
      </c>
      <c r="T14" s="666" t="s">
        <v>14</v>
      </c>
      <c r="U14" s="667">
        <f t="shared" si="1"/>
        <v>100</v>
      </c>
      <c r="V14" s="666" t="s">
        <v>14</v>
      </c>
      <c r="W14" s="667">
        <f t="shared" si="2"/>
        <v>100</v>
      </c>
      <c r="X14" s="1264"/>
      <c r="Y14" s="3398"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399"/>
      <c r="Q15" s="1262"/>
      <c r="R15" s="666"/>
      <c r="S15" s="667"/>
      <c r="T15" s="666"/>
      <c r="U15" s="667"/>
      <c r="V15" s="666"/>
      <c r="W15" s="667"/>
      <c r="X15" s="1264"/>
      <c r="Y15" s="3399"/>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399"/>
      <c r="Q16" s="1262" t="str">
        <f>B16</f>
        <v>公共配套设施</v>
      </c>
      <c r="R16" s="666" t="s">
        <v>14</v>
      </c>
      <c r="S16" s="667">
        <f>F16</f>
        <v>100</v>
      </c>
      <c r="T16" s="666" t="s">
        <v>14</v>
      </c>
      <c r="U16" s="667">
        <f>H16</f>
        <v>100</v>
      </c>
      <c r="V16" s="666" t="s">
        <v>14</v>
      </c>
      <c r="W16" s="667">
        <f>J16</f>
        <v>100</v>
      </c>
      <c r="X16" s="1264"/>
      <c r="Y16" s="3399"/>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399"/>
      <c r="Q17" s="1262"/>
      <c r="R17" s="666"/>
      <c r="S17" s="667"/>
      <c r="T17" s="666"/>
      <c r="U17" s="667"/>
      <c r="V17" s="666"/>
      <c r="W17" s="667"/>
      <c r="X17" s="1264"/>
      <c r="Y17" s="3399"/>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399"/>
      <c r="Q18" s="1262" t="str">
        <f>B18</f>
        <v>基础设施水平</v>
      </c>
      <c r="R18" s="666" t="s">
        <v>14</v>
      </c>
      <c r="S18" s="667">
        <f>F18</f>
        <v>100</v>
      </c>
      <c r="T18" s="666" t="s">
        <v>14</v>
      </c>
      <c r="U18" s="667">
        <f>H18</f>
        <v>100</v>
      </c>
      <c r="V18" s="666" t="s">
        <v>14</v>
      </c>
      <c r="W18" s="667">
        <f>J18</f>
        <v>100</v>
      </c>
      <c r="X18" s="1264"/>
      <c r="Y18" s="3399"/>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399"/>
      <c r="Q19" s="1262"/>
      <c r="R19" s="666"/>
      <c r="S19" s="667"/>
      <c r="T19" s="666"/>
      <c r="U19" s="667"/>
      <c r="V19" s="666"/>
      <c r="W19" s="667"/>
      <c r="X19" s="1264"/>
      <c r="Y19" s="3399"/>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399"/>
      <c r="Q20" s="1262" t="str">
        <f>B20</f>
        <v>自然及人文环境</v>
      </c>
      <c r="R20" s="666" t="s">
        <v>14</v>
      </c>
      <c r="S20" s="667">
        <f>F20</f>
        <v>100</v>
      </c>
      <c r="T20" s="666" t="s">
        <v>14</v>
      </c>
      <c r="U20" s="667">
        <f>H20</f>
        <v>100</v>
      </c>
      <c r="V20" s="666" t="s">
        <v>14</v>
      </c>
      <c r="W20" s="667">
        <f>J20</f>
        <v>100</v>
      </c>
      <c r="X20" s="1264"/>
      <c r="Y20" s="339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399"/>
      <c r="Q21" s="1262"/>
      <c r="R21" s="666"/>
      <c r="S21" s="667"/>
      <c r="T21" s="666"/>
      <c r="U21" s="667"/>
      <c r="V21" s="666"/>
      <c r="W21" s="667"/>
      <c r="X21" s="1264"/>
      <c r="Y21" s="3399"/>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399"/>
      <c r="Q22" s="1262" t="str">
        <f>B22</f>
        <v>楼层</v>
      </c>
      <c r="R22" s="666" t="s">
        <v>14</v>
      </c>
      <c r="S22" s="667">
        <f>F22</f>
        <v>100</v>
      </c>
      <c r="T22" s="666" t="s">
        <v>14</v>
      </c>
      <c r="U22" s="667">
        <f>H22</f>
        <v>100</v>
      </c>
      <c r="V22" s="666" t="s">
        <v>14</v>
      </c>
      <c r="W22" s="667">
        <f>J22</f>
        <v>100</v>
      </c>
      <c r="X22" s="1264"/>
      <c r="Y22" s="339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399"/>
      <c r="Q23" s="1262">
        <f>B23</f>
        <v>111</v>
      </c>
      <c r="R23" s="666" t="s">
        <v>14</v>
      </c>
      <c r="S23" s="667">
        <f>F23</f>
        <v>100</v>
      </c>
      <c r="T23" s="666" t="s">
        <v>14</v>
      </c>
      <c r="U23" s="667">
        <f>H23</f>
        <v>100</v>
      </c>
      <c r="V23" s="666" t="s">
        <v>14</v>
      </c>
      <c r="W23" s="667">
        <f>J23</f>
        <v>100</v>
      </c>
      <c r="X23" s="1264"/>
      <c r="Y23" s="339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399"/>
      <c r="Q24" s="1262">
        <f t="shared" ref="Q24:Q36" si="11">B24</f>
        <v>111</v>
      </c>
      <c r="R24" s="666" t="s">
        <v>14</v>
      </c>
      <c r="S24" s="667">
        <f>F24</f>
        <v>100</v>
      </c>
      <c r="T24" s="666" t="s">
        <v>14</v>
      </c>
      <c r="U24" s="667">
        <f>H24</f>
        <v>100</v>
      </c>
      <c r="V24" s="666" t="s">
        <v>14</v>
      </c>
      <c r="W24" s="667">
        <f>J24</f>
        <v>100</v>
      </c>
      <c r="X24" s="1264"/>
      <c r="Y24" s="3399"/>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399"/>
      <c r="Q25" s="529">
        <f t="shared" si="11"/>
        <v>111</v>
      </c>
      <c r="R25" s="663" t="s">
        <v>14</v>
      </c>
      <c r="S25" s="664">
        <f>F25</f>
        <v>100</v>
      </c>
      <c r="T25" s="663" t="s">
        <v>14</v>
      </c>
      <c r="U25" s="664">
        <f>H25</f>
        <v>100</v>
      </c>
      <c r="V25" s="663" t="s">
        <v>14</v>
      </c>
      <c r="W25" s="664">
        <f>J25</f>
        <v>100</v>
      </c>
      <c r="X25" s="665"/>
      <c r="Y25" s="3399"/>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53"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3"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03"/>
      <c r="Q27" s="530" t="str">
        <f t="shared" si="11"/>
        <v>项目停车位配比</v>
      </c>
      <c r="R27" s="668" t="s">
        <v>14</v>
      </c>
      <c r="S27" s="669">
        <f t="shared" si="12"/>
        <v>100</v>
      </c>
      <c r="T27" s="668" t="s">
        <v>14</v>
      </c>
      <c r="U27" s="669">
        <f t="shared" si="13"/>
        <v>100</v>
      </c>
      <c r="V27" s="668" t="s">
        <v>14</v>
      </c>
      <c r="W27" s="669">
        <f t="shared" si="14"/>
        <v>100</v>
      </c>
      <c r="X27" s="670"/>
      <c r="Y27" s="3403"/>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03"/>
      <c r="Q28" s="1262" t="str">
        <f t="shared" si="11"/>
        <v>公共部分装修</v>
      </c>
      <c r="R28" s="666" t="s">
        <v>14</v>
      </c>
      <c r="S28" s="667">
        <f t="shared" si="12"/>
        <v>100</v>
      </c>
      <c r="T28" s="666" t="s">
        <v>14</v>
      </c>
      <c r="U28" s="667">
        <f t="shared" si="13"/>
        <v>100</v>
      </c>
      <c r="V28" s="666" t="s">
        <v>14</v>
      </c>
      <c r="W28" s="667">
        <f t="shared" si="14"/>
        <v>100</v>
      </c>
      <c r="X28" s="1264"/>
      <c r="Y28" s="3403"/>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03"/>
      <c r="Q29" s="1262" t="str">
        <f t="shared" si="11"/>
        <v>成新率</v>
      </c>
      <c r="R29" s="666" t="s">
        <v>14</v>
      </c>
      <c r="S29" s="667" t="e">
        <f t="shared" si="12"/>
        <v>#N/A</v>
      </c>
      <c r="T29" s="666" t="s">
        <v>14</v>
      </c>
      <c r="U29" s="667" t="e">
        <f t="shared" si="13"/>
        <v>#N/A</v>
      </c>
      <c r="V29" s="666" t="s">
        <v>14</v>
      </c>
      <c r="W29" s="667" t="e">
        <f t="shared" si="14"/>
        <v>#N/A</v>
      </c>
      <c r="X29" s="1264"/>
      <c r="Y29" s="3403"/>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03"/>
      <c r="Q30" s="1262" t="str">
        <f t="shared" si="11"/>
        <v>物业等级</v>
      </c>
      <c r="R30" s="666" t="s">
        <v>14</v>
      </c>
      <c r="S30" s="667">
        <f t="shared" si="12"/>
        <v>100</v>
      </c>
      <c r="T30" s="666" t="s">
        <v>14</v>
      </c>
      <c r="U30" s="667">
        <f t="shared" si="13"/>
        <v>100</v>
      </c>
      <c r="V30" s="666" t="s">
        <v>14</v>
      </c>
      <c r="W30" s="667">
        <f t="shared" si="14"/>
        <v>100</v>
      </c>
      <c r="X30" s="1264"/>
      <c r="Y30" s="3403"/>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403"/>
      <c r="Q31" s="529" t="str">
        <f t="shared" si="11"/>
        <v>停车位面积</v>
      </c>
      <c r="R31" s="663" t="s">
        <v>14</v>
      </c>
      <c r="S31" s="664" t="e">
        <f t="shared" si="12"/>
        <v>#N/A</v>
      </c>
      <c r="T31" s="663" t="s">
        <v>14</v>
      </c>
      <c r="U31" s="664" t="e">
        <f t="shared" si="13"/>
        <v>#N/A</v>
      </c>
      <c r="V31" s="663" t="s">
        <v>14</v>
      </c>
      <c r="W31" s="664" t="e">
        <f t="shared" si="14"/>
        <v>#N/A</v>
      </c>
      <c r="X31" s="665"/>
      <c r="Y31" s="3403"/>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03" t="s">
        <v>1696</v>
      </c>
      <c r="Q32" s="1262" t="str">
        <f t="shared" si="11"/>
        <v>车位类型</v>
      </c>
      <c r="R32" s="666" t="s">
        <v>14</v>
      </c>
      <c r="S32" s="667">
        <f t="shared" si="12"/>
        <v>100</v>
      </c>
      <c r="T32" s="666" t="s">
        <v>14</v>
      </c>
      <c r="U32" s="667">
        <f t="shared" si="13"/>
        <v>100</v>
      </c>
      <c r="V32" s="666" t="s">
        <v>14</v>
      </c>
      <c r="W32" s="667">
        <f t="shared" si="14"/>
        <v>100</v>
      </c>
      <c r="X32" s="1264"/>
      <c r="Y32" s="3403"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03"/>
      <c r="Q33" s="1262" t="str">
        <f t="shared" si="11"/>
        <v>是否直接入户</v>
      </c>
      <c r="R33" s="666" t="s">
        <v>14</v>
      </c>
      <c r="S33" s="667">
        <f t="shared" si="12"/>
        <v>100</v>
      </c>
      <c r="T33" s="666" t="s">
        <v>14</v>
      </c>
      <c r="U33" s="667">
        <f t="shared" si="13"/>
        <v>100</v>
      </c>
      <c r="V33" s="666" t="s">
        <v>14</v>
      </c>
      <c r="W33" s="667">
        <f t="shared" si="14"/>
        <v>100</v>
      </c>
      <c r="X33" s="1264"/>
      <c r="Y33" s="3403"/>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03"/>
      <c r="Q34" s="1262">
        <f t="shared" si="11"/>
        <v>111</v>
      </c>
      <c r="R34" s="666" t="s">
        <v>14</v>
      </c>
      <c r="S34" s="667">
        <f t="shared" si="12"/>
        <v>100</v>
      </c>
      <c r="T34" s="666" t="s">
        <v>14</v>
      </c>
      <c r="U34" s="667">
        <f t="shared" si="13"/>
        <v>100</v>
      </c>
      <c r="V34" s="666" t="s">
        <v>14</v>
      </c>
      <c r="W34" s="667">
        <f t="shared" si="14"/>
        <v>100</v>
      </c>
      <c r="X34" s="1264"/>
      <c r="Y34" s="3403"/>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03"/>
      <c r="Q35" s="530">
        <f t="shared" si="11"/>
        <v>111</v>
      </c>
      <c r="R35" s="668" t="s">
        <v>14</v>
      </c>
      <c r="S35" s="669">
        <f t="shared" si="12"/>
        <v>100</v>
      </c>
      <c r="T35" s="668" t="s">
        <v>14</v>
      </c>
      <c r="U35" s="669">
        <f t="shared" si="13"/>
        <v>100</v>
      </c>
      <c r="V35" s="668" t="s">
        <v>14</v>
      </c>
      <c r="W35" s="669">
        <f t="shared" si="14"/>
        <v>100</v>
      </c>
      <c r="X35" s="670"/>
      <c r="Y35" s="3403"/>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03"/>
      <c r="Q36" s="1262">
        <f t="shared" si="11"/>
        <v>111</v>
      </c>
      <c r="R36" s="666" t="s">
        <v>14</v>
      </c>
      <c r="S36" s="667">
        <f t="shared" si="12"/>
        <v>100</v>
      </c>
      <c r="T36" s="666" t="s">
        <v>14</v>
      </c>
      <c r="U36" s="667">
        <f t="shared" si="13"/>
        <v>100</v>
      </c>
      <c r="V36" s="666" t="s">
        <v>14</v>
      </c>
      <c r="W36" s="667">
        <f t="shared" si="14"/>
        <v>100</v>
      </c>
      <c r="X36" s="1264"/>
      <c r="Y36" s="3403"/>
      <c r="Z36" s="1263">
        <f t="shared" si="15"/>
        <v>111</v>
      </c>
      <c r="AA36" s="1263">
        <f t="shared" si="3"/>
        <v>1</v>
      </c>
      <c r="AB36" s="1263">
        <f t="shared" si="4"/>
        <v>1</v>
      </c>
      <c r="AC36" s="1263">
        <f t="shared" si="5"/>
        <v>1</v>
      </c>
    </row>
    <row r="37" spans="1:29" ht="14.4">
      <c r="A37" s="415" t="s">
        <v>1844</v>
      </c>
      <c r="B37" s="1820" t="s">
        <v>3356</v>
      </c>
      <c r="C37" s="1080" t="s">
        <v>0</v>
      </c>
      <c r="D37" s="417"/>
      <c r="E37" s="418"/>
      <c r="F37" s="419"/>
      <c r="G37" s="420"/>
      <c r="H37" s="421"/>
      <c r="I37" s="418"/>
      <c r="J37" s="421"/>
      <c r="K37" s="544"/>
      <c r="L37" s="2492"/>
      <c r="M37" s="2485"/>
      <c r="N37" s="2485"/>
      <c r="O37" s="2485"/>
      <c r="P37" s="3396" t="str">
        <f>A37</f>
        <v>成交单价</v>
      </c>
      <c r="Q37" s="3396"/>
      <c r="R37" s="3397">
        <f>E37</f>
        <v>0</v>
      </c>
      <c r="S37" s="3397"/>
      <c r="T37" s="3397">
        <f>G37</f>
        <v>0</v>
      </c>
      <c r="U37" s="3397"/>
      <c r="V37" s="3397">
        <f>I37</f>
        <v>0</v>
      </c>
      <c r="W37" s="3397"/>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393" t="str">
        <f>A39</f>
        <v>估价对象XX用房的比较价值（楼面单价，元/平方米）</v>
      </c>
      <c r="Q39" s="3394"/>
      <c r="R39" s="3454" t="e">
        <f>IF(F1="售价",ROUND(IF(D38="简单平均",AVERAGE(R38:W38),R38*F38+T38*H38+V38*J38),0),ROUND(IF(D38="简单平均",AVERAGE(R38:V38),R38*F38+T38*H38+V38*J38),1))</f>
        <v>#DIV/0!</v>
      </c>
      <c r="S39" s="3454"/>
      <c r="T39" s="3454"/>
      <c r="U39" s="3454"/>
      <c r="V39" s="3454"/>
      <c r="W39" s="3454"/>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5"/>
      <c r="Q48" s="2508"/>
      <c r="R48" s="2508"/>
      <c r="S48" s="2508"/>
      <c r="T48" s="2508"/>
      <c r="U48" s="2508"/>
      <c r="V48" s="2508"/>
      <c r="W48" s="2508"/>
      <c r="X48" s="2508"/>
      <c r="Y48" s="2508"/>
      <c r="Z48" s="2508"/>
      <c r="AA48" s="2508"/>
      <c r="AB48" s="2508"/>
      <c r="AC48" s="2508"/>
    </row>
    <row r="49" spans="1:29" s="101" customFormat="1">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4.4">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4.4"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4.4"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15" t="s">
        <v>1775</v>
      </c>
      <c r="Q4" s="3416"/>
      <c r="R4" s="3421" t="s">
        <v>1771</v>
      </c>
      <c r="S4" s="3422"/>
      <c r="T4" s="3421" t="s">
        <v>1772</v>
      </c>
      <c r="U4" s="3422"/>
      <c r="V4" s="3397" t="s">
        <v>1773</v>
      </c>
      <c r="W4" s="3397"/>
      <c r="X4" s="1264"/>
      <c r="Y4" s="3421" t="s">
        <v>1775</v>
      </c>
      <c r="Z4" s="3422"/>
      <c r="AA4" s="3408" t="s">
        <v>1771</v>
      </c>
      <c r="AB4" s="3409" t="s">
        <v>1772</v>
      </c>
      <c r="AC4" s="3408" t="s">
        <v>1773</v>
      </c>
    </row>
    <row r="5" spans="1:29">
      <c r="A5" s="347"/>
      <c r="B5" s="348"/>
      <c r="C5" s="3429" t="s">
        <v>1673</v>
      </c>
      <c r="D5" s="3430"/>
      <c r="E5" s="3436" t="s">
        <v>1674</v>
      </c>
      <c r="F5" s="3437"/>
      <c r="G5" s="3429" t="s">
        <v>1675</v>
      </c>
      <c r="H5" s="3430"/>
      <c r="I5" s="3429" t="s">
        <v>1676</v>
      </c>
      <c r="J5" s="3430"/>
      <c r="K5" s="536"/>
      <c r="L5" s="2484"/>
      <c r="M5" s="2485"/>
      <c r="N5" s="2485"/>
      <c r="O5" s="2485"/>
      <c r="P5" s="3417"/>
      <c r="Q5" s="3418"/>
      <c r="R5" s="3423"/>
      <c r="S5" s="3424"/>
      <c r="T5" s="3423"/>
      <c r="U5" s="3424"/>
      <c r="V5" s="3397"/>
      <c r="W5" s="3397"/>
      <c r="X5" s="1264"/>
      <c r="Y5" s="3423"/>
      <c r="Z5" s="3424"/>
      <c r="AA5" s="3409"/>
      <c r="AB5" s="3409"/>
      <c r="AC5" s="3409"/>
    </row>
    <row r="6" spans="1:29" ht="15" thickBot="1">
      <c r="A6" s="349"/>
      <c r="B6" s="350"/>
      <c r="C6" s="3427" t="s">
        <v>1677</v>
      </c>
      <c r="D6" s="3428"/>
      <c r="E6" s="3434" t="s">
        <v>1677</v>
      </c>
      <c r="F6" s="3435"/>
      <c r="G6" s="3427" t="s">
        <v>1677</v>
      </c>
      <c r="H6" s="3428"/>
      <c r="I6" s="3427" t="s">
        <v>1677</v>
      </c>
      <c r="J6" s="3428"/>
      <c r="K6" s="536" t="s">
        <v>1678</v>
      </c>
      <c r="L6" s="2484"/>
      <c r="M6" s="2485"/>
      <c r="N6" s="2485"/>
      <c r="O6" s="2485"/>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SUMIF(46:46,YEAR(E7)&amp;"-"&amp;MONTH(E7),47:47)</f>
        <v>0</v>
      </c>
      <c r="G7" s="1821"/>
      <c r="H7" s="354">
        <f>SUMIF(46:46,YEAR(G7)&amp;"-"&amp;MONTH(G7),47:47)</f>
        <v>0</v>
      </c>
      <c r="I7" s="355"/>
      <c r="J7" s="354">
        <f>SUMIF(46:46,YEAR(I7)&amp;"-"&amp;MONTH(I7),47:47)</f>
        <v>0</v>
      </c>
      <c r="K7" s="38"/>
      <c r="L7" s="2486"/>
      <c r="M7" s="2438"/>
      <c r="N7" s="2438"/>
      <c r="O7" s="2438"/>
      <c r="P7" s="3431" t="s">
        <v>1680</v>
      </c>
      <c r="Q7" s="3433"/>
      <c r="R7" s="663" t="s">
        <v>14</v>
      </c>
      <c r="S7" s="664">
        <f t="shared" ref="S7:S14" si="0">F7</f>
        <v>0</v>
      </c>
      <c r="T7" s="663" t="s">
        <v>14</v>
      </c>
      <c r="U7" s="664">
        <f t="shared" ref="U7:U14" si="1">H7</f>
        <v>0</v>
      </c>
      <c r="V7" s="663" t="s">
        <v>14</v>
      </c>
      <c r="W7" s="664">
        <f t="shared" ref="W7:W14" si="2">J7</f>
        <v>0</v>
      </c>
      <c r="X7" s="665"/>
      <c r="Y7" s="3431" t="s">
        <v>1680</v>
      </c>
      <c r="Z7" s="3432"/>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431" t="s">
        <v>1683</v>
      </c>
      <c r="Q8" s="3432"/>
      <c r="R8" s="663" t="s">
        <v>14</v>
      </c>
      <c r="S8" s="664">
        <f t="shared" si="0"/>
        <v>100</v>
      </c>
      <c r="T8" s="663" t="s">
        <v>14</v>
      </c>
      <c r="U8" s="664">
        <f t="shared" si="1"/>
        <v>100</v>
      </c>
      <c r="V8" s="663" t="s">
        <v>14</v>
      </c>
      <c r="W8" s="664">
        <f t="shared" si="2"/>
        <v>100</v>
      </c>
      <c r="X8" s="665"/>
      <c r="Y8" s="3431" t="s">
        <v>1683</v>
      </c>
      <c r="Z8" s="3432"/>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396" t="s">
        <v>1686</v>
      </c>
      <c r="Q9" s="529" t="str">
        <f t="shared" ref="Q9:Q14" si="6">B9</f>
        <v>用途</v>
      </c>
      <c r="R9" s="663" t="s">
        <v>14</v>
      </c>
      <c r="S9" s="664">
        <f t="shared" si="0"/>
        <v>100</v>
      </c>
      <c r="T9" s="663" t="s">
        <v>14</v>
      </c>
      <c r="U9" s="664">
        <f t="shared" si="1"/>
        <v>100</v>
      </c>
      <c r="V9" s="663" t="s">
        <v>14</v>
      </c>
      <c r="W9" s="664">
        <f t="shared" si="2"/>
        <v>100</v>
      </c>
      <c r="X9" s="665"/>
      <c r="Y9" s="3271" t="s">
        <v>1687</v>
      </c>
      <c r="Z9" s="50" t="str">
        <f t="shared" ref="Z9:Z14" si="7">Q9</f>
        <v>用途</v>
      </c>
      <c r="AA9" s="50">
        <f t="shared" si="3"/>
        <v>1</v>
      </c>
      <c r="AB9" s="50">
        <f t="shared" si="4"/>
        <v>1</v>
      </c>
      <c r="AC9" s="50">
        <f t="shared" si="5"/>
        <v>1</v>
      </c>
    </row>
    <row r="10" spans="1:29" s="365" customFormat="1" ht="28.8">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396"/>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396"/>
      <c r="Q11" s="529">
        <f t="shared" si="6"/>
        <v>111</v>
      </c>
      <c r="R11" s="663" t="s">
        <v>14</v>
      </c>
      <c r="S11" s="664">
        <f t="shared" si="0"/>
        <v>100</v>
      </c>
      <c r="T11" s="663" t="s">
        <v>14</v>
      </c>
      <c r="U11" s="664">
        <f t="shared" si="1"/>
        <v>100</v>
      </c>
      <c r="V11" s="663" t="s">
        <v>14</v>
      </c>
      <c r="W11" s="664">
        <f t="shared" si="2"/>
        <v>100</v>
      </c>
      <c r="X11" s="665"/>
      <c r="Y11" s="327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396"/>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396"/>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398" t="s">
        <v>1691</v>
      </c>
      <c r="Q14" s="1262" t="str">
        <f t="shared" si="6"/>
        <v>交通便捷度</v>
      </c>
      <c r="R14" s="666" t="s">
        <v>14</v>
      </c>
      <c r="S14" s="667">
        <f t="shared" si="0"/>
        <v>100</v>
      </c>
      <c r="T14" s="666" t="s">
        <v>14</v>
      </c>
      <c r="U14" s="667">
        <f t="shared" si="1"/>
        <v>100</v>
      </c>
      <c r="V14" s="666" t="s">
        <v>14</v>
      </c>
      <c r="W14" s="667">
        <f t="shared" si="2"/>
        <v>100</v>
      </c>
      <c r="X14" s="1264"/>
      <c r="Y14" s="3398"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399"/>
      <c r="Q15" s="1262"/>
      <c r="R15" s="666"/>
      <c r="S15" s="667"/>
      <c r="T15" s="666"/>
      <c r="U15" s="667"/>
      <c r="V15" s="666"/>
      <c r="W15" s="667"/>
      <c r="X15" s="1264"/>
      <c r="Y15" s="3399"/>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399"/>
      <c r="Q16" s="1262" t="str">
        <f>B16</f>
        <v>公共配套设施</v>
      </c>
      <c r="R16" s="666" t="s">
        <v>14</v>
      </c>
      <c r="S16" s="667">
        <f>F16</f>
        <v>100</v>
      </c>
      <c r="T16" s="666" t="s">
        <v>14</v>
      </c>
      <c r="U16" s="667">
        <f>H16</f>
        <v>100</v>
      </c>
      <c r="V16" s="666" t="s">
        <v>14</v>
      </c>
      <c r="W16" s="667">
        <f>J16</f>
        <v>100</v>
      </c>
      <c r="X16" s="1264"/>
      <c r="Y16" s="3399"/>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399"/>
      <c r="Q17" s="1262"/>
      <c r="R17" s="666"/>
      <c r="S17" s="667"/>
      <c r="T17" s="666"/>
      <c r="U17" s="667"/>
      <c r="V17" s="666"/>
      <c r="W17" s="667"/>
      <c r="X17" s="1264"/>
      <c r="Y17" s="3399"/>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399"/>
      <c r="Q18" s="1262" t="str">
        <f>B18</f>
        <v>基础设施水平</v>
      </c>
      <c r="R18" s="666" t="s">
        <v>14</v>
      </c>
      <c r="S18" s="667">
        <f>F18</f>
        <v>100</v>
      </c>
      <c r="T18" s="666" t="s">
        <v>14</v>
      </c>
      <c r="U18" s="667">
        <f>H18</f>
        <v>100</v>
      </c>
      <c r="V18" s="666" t="s">
        <v>14</v>
      </c>
      <c r="W18" s="667">
        <f>J18</f>
        <v>100</v>
      </c>
      <c r="X18" s="1264"/>
      <c r="Y18" s="3399"/>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399"/>
      <c r="Q19" s="1262"/>
      <c r="R19" s="666"/>
      <c r="S19" s="667"/>
      <c r="T19" s="666"/>
      <c r="U19" s="667"/>
      <c r="V19" s="666"/>
      <c r="W19" s="667"/>
      <c r="X19" s="1264"/>
      <c r="Y19" s="3399"/>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399"/>
      <c r="Q20" s="1262" t="str">
        <f>B20</f>
        <v>自然及人文环境</v>
      </c>
      <c r="R20" s="666" t="s">
        <v>14</v>
      </c>
      <c r="S20" s="667">
        <f>F20</f>
        <v>100</v>
      </c>
      <c r="T20" s="666" t="s">
        <v>14</v>
      </c>
      <c r="U20" s="667">
        <f>H20</f>
        <v>100</v>
      </c>
      <c r="V20" s="666" t="s">
        <v>14</v>
      </c>
      <c r="W20" s="667">
        <f>J20</f>
        <v>100</v>
      </c>
      <c r="X20" s="1264"/>
      <c r="Y20" s="339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399"/>
      <c r="Q21" s="1262"/>
      <c r="R21" s="666"/>
      <c r="S21" s="667"/>
      <c r="T21" s="666"/>
      <c r="U21" s="667"/>
      <c r="V21" s="666"/>
      <c r="W21" s="667"/>
      <c r="X21" s="1264"/>
      <c r="Y21" s="3399"/>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399"/>
      <c r="Q22" s="1262" t="str">
        <f>B22</f>
        <v>楼层</v>
      </c>
      <c r="R22" s="666" t="s">
        <v>14</v>
      </c>
      <c r="S22" s="667">
        <f>F22</f>
        <v>100</v>
      </c>
      <c r="T22" s="666" t="s">
        <v>14</v>
      </c>
      <c r="U22" s="667">
        <f>H22</f>
        <v>100</v>
      </c>
      <c r="V22" s="666" t="s">
        <v>14</v>
      </c>
      <c r="W22" s="667">
        <f>J22</f>
        <v>100</v>
      </c>
      <c r="X22" s="1264"/>
      <c r="Y22" s="339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399"/>
      <c r="Q23" s="1262">
        <f>B23</f>
        <v>111</v>
      </c>
      <c r="R23" s="666" t="s">
        <v>14</v>
      </c>
      <c r="S23" s="667">
        <f>F23</f>
        <v>100</v>
      </c>
      <c r="T23" s="666" t="s">
        <v>14</v>
      </c>
      <c r="U23" s="667">
        <f>H23</f>
        <v>100</v>
      </c>
      <c r="V23" s="666" t="s">
        <v>14</v>
      </c>
      <c r="W23" s="667">
        <f>J23</f>
        <v>100</v>
      </c>
      <c r="X23" s="1264"/>
      <c r="Y23" s="339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399"/>
      <c r="Q24" s="1262">
        <f t="shared" ref="Q24:Q34" si="11">B24</f>
        <v>111</v>
      </c>
      <c r="R24" s="666" t="s">
        <v>14</v>
      </c>
      <c r="S24" s="667">
        <f>F24</f>
        <v>100</v>
      </c>
      <c r="T24" s="666" t="s">
        <v>14</v>
      </c>
      <c r="U24" s="667">
        <f>H24</f>
        <v>100</v>
      </c>
      <c r="V24" s="666" t="s">
        <v>14</v>
      </c>
      <c r="W24" s="667">
        <f>J24</f>
        <v>100</v>
      </c>
      <c r="X24" s="1264"/>
      <c r="Y24" s="3399"/>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399"/>
      <c r="Q25" s="529">
        <f t="shared" si="11"/>
        <v>111</v>
      </c>
      <c r="R25" s="663" t="s">
        <v>14</v>
      </c>
      <c r="S25" s="664">
        <f>F25</f>
        <v>100</v>
      </c>
      <c r="T25" s="663" t="s">
        <v>14</v>
      </c>
      <c r="U25" s="664">
        <f>H25</f>
        <v>100</v>
      </c>
      <c r="V25" s="663" t="s">
        <v>14</v>
      </c>
      <c r="W25" s="664">
        <f>J25</f>
        <v>100</v>
      </c>
      <c r="X25" s="665"/>
      <c r="Y25" s="3399"/>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53"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3"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03"/>
      <c r="Q27" s="530" t="str">
        <f t="shared" si="11"/>
        <v>成新率</v>
      </c>
      <c r="R27" s="668" t="s">
        <v>14</v>
      </c>
      <c r="S27" s="669" t="e">
        <f t="shared" si="12"/>
        <v>#N/A</v>
      </c>
      <c r="T27" s="668" t="s">
        <v>14</v>
      </c>
      <c r="U27" s="669" t="e">
        <f t="shared" si="13"/>
        <v>#N/A</v>
      </c>
      <c r="V27" s="668" t="s">
        <v>14</v>
      </c>
      <c r="W27" s="669" t="e">
        <f t="shared" si="14"/>
        <v>#N/A</v>
      </c>
      <c r="X27" s="670"/>
      <c r="Y27" s="3403"/>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03"/>
      <c r="Q28" s="1262" t="str">
        <f t="shared" si="11"/>
        <v>物业等级</v>
      </c>
      <c r="R28" s="666" t="s">
        <v>14</v>
      </c>
      <c r="S28" s="667">
        <f t="shared" si="12"/>
        <v>100</v>
      </c>
      <c r="T28" s="666" t="s">
        <v>14</v>
      </c>
      <c r="U28" s="667">
        <f t="shared" si="13"/>
        <v>100</v>
      </c>
      <c r="V28" s="666" t="s">
        <v>14</v>
      </c>
      <c r="W28" s="667">
        <f t="shared" si="14"/>
        <v>100</v>
      </c>
      <c r="X28" s="1264"/>
      <c r="Y28" s="3403"/>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03"/>
      <c r="Q29" s="1262" t="str">
        <f t="shared" si="11"/>
        <v>有无电梯</v>
      </c>
      <c r="R29" s="666" t="s">
        <v>14</v>
      </c>
      <c r="S29" s="667">
        <f t="shared" si="12"/>
        <v>100</v>
      </c>
      <c r="T29" s="666" t="s">
        <v>14</v>
      </c>
      <c r="U29" s="667">
        <f t="shared" si="13"/>
        <v>100</v>
      </c>
      <c r="V29" s="666" t="s">
        <v>14</v>
      </c>
      <c r="W29" s="667">
        <f t="shared" si="14"/>
        <v>100</v>
      </c>
      <c r="X29" s="1264"/>
      <c r="Y29" s="3403"/>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03"/>
      <c r="Q30" s="1262" t="str">
        <f t="shared" si="11"/>
        <v>建筑面积</v>
      </c>
      <c r="R30" s="666" t="s">
        <v>14</v>
      </c>
      <c r="S30" s="667" t="e">
        <f t="shared" si="12"/>
        <v>#N/A</v>
      </c>
      <c r="T30" s="666" t="s">
        <v>14</v>
      </c>
      <c r="U30" s="667" t="e">
        <f t="shared" si="13"/>
        <v>#N/A</v>
      </c>
      <c r="V30" s="666" t="s">
        <v>14</v>
      </c>
      <c r="W30" s="667" t="e">
        <f t="shared" si="14"/>
        <v>#N/A</v>
      </c>
      <c r="X30" s="1264"/>
      <c r="Y30" s="3403"/>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403"/>
      <c r="Q31" s="529" t="str">
        <f t="shared" si="11"/>
        <v>是否封闭</v>
      </c>
      <c r="R31" s="663" t="s">
        <v>14</v>
      </c>
      <c r="S31" s="664">
        <f t="shared" si="12"/>
        <v>100</v>
      </c>
      <c r="T31" s="663" t="s">
        <v>14</v>
      </c>
      <c r="U31" s="664">
        <f t="shared" si="13"/>
        <v>100</v>
      </c>
      <c r="V31" s="663" t="s">
        <v>14</v>
      </c>
      <c r="W31" s="664">
        <f t="shared" si="14"/>
        <v>100</v>
      </c>
      <c r="X31" s="665"/>
      <c r="Y31" s="340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03" t="s">
        <v>1696</v>
      </c>
      <c r="Q32" s="1262">
        <f t="shared" si="11"/>
        <v>111</v>
      </c>
      <c r="R32" s="666" t="s">
        <v>14</v>
      </c>
      <c r="S32" s="667">
        <f t="shared" si="12"/>
        <v>100</v>
      </c>
      <c r="T32" s="666" t="s">
        <v>14</v>
      </c>
      <c r="U32" s="667">
        <f t="shared" si="13"/>
        <v>100</v>
      </c>
      <c r="V32" s="666" t="s">
        <v>14</v>
      </c>
      <c r="W32" s="667">
        <f t="shared" si="14"/>
        <v>100</v>
      </c>
      <c r="X32" s="1264"/>
      <c r="Y32" s="3403"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03"/>
      <c r="Q33" s="1262">
        <f t="shared" si="11"/>
        <v>111</v>
      </c>
      <c r="R33" s="666" t="s">
        <v>14</v>
      </c>
      <c r="S33" s="667">
        <f t="shared" si="12"/>
        <v>100</v>
      </c>
      <c r="T33" s="666" t="s">
        <v>14</v>
      </c>
      <c r="U33" s="667">
        <f t="shared" si="13"/>
        <v>100</v>
      </c>
      <c r="V33" s="666" t="s">
        <v>14</v>
      </c>
      <c r="W33" s="667">
        <f t="shared" si="14"/>
        <v>100</v>
      </c>
      <c r="X33" s="1264"/>
      <c r="Y33" s="3403"/>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403"/>
      <c r="Q34" s="1262">
        <f t="shared" si="11"/>
        <v>111</v>
      </c>
      <c r="R34" s="666" t="s">
        <v>14</v>
      </c>
      <c r="S34" s="667">
        <f t="shared" si="12"/>
        <v>100</v>
      </c>
      <c r="T34" s="666" t="s">
        <v>14</v>
      </c>
      <c r="U34" s="667">
        <f t="shared" si="13"/>
        <v>100</v>
      </c>
      <c r="V34" s="666" t="s">
        <v>14</v>
      </c>
      <c r="W34" s="667">
        <f t="shared" si="14"/>
        <v>100</v>
      </c>
      <c r="X34" s="1264"/>
      <c r="Y34" s="3403"/>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2"/>
      <c r="M35" s="2485"/>
      <c r="N35" s="2485"/>
      <c r="O35" s="2485"/>
      <c r="P35" s="3396" t="str">
        <f>A35</f>
        <v>成交单价（元/平方米）</v>
      </c>
      <c r="Q35" s="3396"/>
      <c r="R35" s="3397">
        <f>E35</f>
        <v>0</v>
      </c>
      <c r="S35" s="3397"/>
      <c r="T35" s="3397">
        <f>G35</f>
        <v>0</v>
      </c>
      <c r="U35" s="3397"/>
      <c r="V35" s="3397">
        <f>I35</f>
        <v>0</v>
      </c>
      <c r="W35" s="3397"/>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2"/>
      <c r="M37" s="2485"/>
      <c r="N37" s="2485"/>
      <c r="O37" s="2485"/>
      <c r="P37" s="3393" t="str">
        <f>A37</f>
        <v>估价对象XX用房的比较价值（楼面单价，元/平方米）</v>
      </c>
      <c r="Q37" s="3394"/>
      <c r="R37" s="3454" t="e">
        <f>IF(F1="售价",ROUND(IF(D36="简单平均",AVERAGE(R36:W36),R36*F36+T36*H36+V36*J36),0),ROUND(IF(D36="简单平均",AVERAGE(R36:V36),R36*F36+T36*H36+V36*J36),1))</f>
        <v>#DIV/0!</v>
      </c>
      <c r="S37" s="3454"/>
      <c r="T37" s="3454"/>
      <c r="U37" s="3454"/>
      <c r="V37" s="3454"/>
      <c r="W37" s="3454"/>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8"/>
      <c r="Q46" s="2508"/>
      <c r="R46" s="2508"/>
      <c r="S46" s="2508"/>
      <c r="T46" s="2508"/>
      <c r="U46" s="2508"/>
      <c r="V46" s="2508"/>
      <c r="W46" s="2508"/>
      <c r="X46" s="2508"/>
      <c r="Y46" s="2508"/>
      <c r="Z46" s="2508"/>
      <c r="AA46" s="2508"/>
      <c r="AB46" s="2508"/>
      <c r="AC46" s="2508"/>
      <c r="AD46" s="2508"/>
    </row>
    <row r="47" spans="1:30" s="101" customFormat="1">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4.4">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4.4"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4.4"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15" t="s">
        <v>1775</v>
      </c>
      <c r="Q4" s="3416"/>
      <c r="R4" s="3421" t="s">
        <v>1771</v>
      </c>
      <c r="S4" s="3422"/>
      <c r="T4" s="3421" t="s">
        <v>1772</v>
      </c>
      <c r="U4" s="3422"/>
      <c r="V4" s="3397" t="s">
        <v>1773</v>
      </c>
      <c r="W4" s="3397"/>
      <c r="X4" s="1264"/>
      <c r="Y4" s="3421" t="s">
        <v>1775</v>
      </c>
      <c r="Z4" s="3422"/>
      <c r="AA4" s="3408" t="s">
        <v>1771</v>
      </c>
      <c r="AB4" s="3409" t="s">
        <v>1772</v>
      </c>
      <c r="AC4" s="3408" t="s">
        <v>1773</v>
      </c>
    </row>
    <row r="5" spans="1:29">
      <c r="A5" s="347"/>
      <c r="B5" s="348"/>
      <c r="C5" s="3429" t="s">
        <v>1673</v>
      </c>
      <c r="D5" s="3430"/>
      <c r="E5" s="3436" t="s">
        <v>1674</v>
      </c>
      <c r="F5" s="3437"/>
      <c r="G5" s="3429" t="s">
        <v>1675</v>
      </c>
      <c r="H5" s="3430"/>
      <c r="I5" s="3429" t="s">
        <v>1676</v>
      </c>
      <c r="J5" s="3430"/>
      <c r="K5" s="536"/>
      <c r="L5" s="2484"/>
      <c r="M5" s="2485"/>
      <c r="N5" s="2485"/>
      <c r="O5" s="2485"/>
      <c r="P5" s="3417"/>
      <c r="Q5" s="3418"/>
      <c r="R5" s="3423"/>
      <c r="S5" s="3424"/>
      <c r="T5" s="3423"/>
      <c r="U5" s="3424"/>
      <c r="V5" s="3397"/>
      <c r="W5" s="3397"/>
      <c r="X5" s="1264"/>
      <c r="Y5" s="3423"/>
      <c r="Z5" s="3424"/>
      <c r="AA5" s="3409"/>
      <c r="AB5" s="3409"/>
      <c r="AC5" s="3409"/>
    </row>
    <row r="6" spans="1:29" ht="15" thickBot="1">
      <c r="A6" s="349"/>
      <c r="B6" s="350"/>
      <c r="C6" s="3427" t="s">
        <v>1677</v>
      </c>
      <c r="D6" s="3428"/>
      <c r="E6" s="3434" t="s">
        <v>1677</v>
      </c>
      <c r="F6" s="3435"/>
      <c r="G6" s="3427" t="s">
        <v>1677</v>
      </c>
      <c r="H6" s="3428"/>
      <c r="I6" s="3427" t="s">
        <v>1677</v>
      </c>
      <c r="J6" s="3428"/>
      <c r="K6" s="536" t="s">
        <v>1678</v>
      </c>
      <c r="L6" s="2484"/>
      <c r="M6" s="2485"/>
      <c r="N6" s="2485"/>
      <c r="O6" s="2485"/>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431" t="s">
        <v>1680</v>
      </c>
      <c r="Q7" s="3433"/>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431" t="s">
        <v>1683</v>
      </c>
      <c r="Q8" s="3432"/>
      <c r="R8" s="663" t="s">
        <v>14</v>
      </c>
      <c r="S8" s="664">
        <f t="shared" si="0"/>
        <v>0</v>
      </c>
      <c r="T8" s="663" t="s">
        <v>14</v>
      </c>
      <c r="U8" s="664">
        <f t="shared" si="1"/>
        <v>0</v>
      </c>
      <c r="V8" s="663" t="s">
        <v>14</v>
      </c>
      <c r="W8" s="664">
        <f t="shared" si="2"/>
        <v>0</v>
      </c>
      <c r="X8" s="665"/>
      <c r="Y8" s="3431" t="s">
        <v>1683</v>
      </c>
      <c r="Z8" s="3432"/>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96"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130</v>
      </c>
      <c r="G10" s="401"/>
      <c r="H10" s="118">
        <f>ROUND(100/'数据-取费表'!G16,0)</f>
        <v>130</v>
      </c>
      <c r="I10" s="401"/>
      <c r="J10" s="118">
        <f>ROUND(100/'数据-取费表'!G16,0)</f>
        <v>130</v>
      </c>
      <c r="K10" s="591"/>
      <c r="L10" s="2487"/>
      <c r="M10" s="2488"/>
      <c r="N10" s="2488"/>
      <c r="O10" s="2539"/>
      <c r="P10" s="3396"/>
      <c r="Q10" s="529" t="str">
        <f t="shared" si="6"/>
        <v>土地使用年限（年）</v>
      </c>
      <c r="R10" s="663" t="s">
        <v>14</v>
      </c>
      <c r="S10" s="664">
        <f t="shared" si="0"/>
        <v>130</v>
      </c>
      <c r="T10" s="663" t="s">
        <v>14</v>
      </c>
      <c r="U10" s="664">
        <f t="shared" si="1"/>
        <v>130</v>
      </c>
      <c r="V10" s="663" t="s">
        <v>14</v>
      </c>
      <c r="W10" s="664">
        <f t="shared" si="2"/>
        <v>130</v>
      </c>
      <c r="X10" s="665"/>
      <c r="Y10" s="3271"/>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396"/>
      <c r="Q11" s="529" t="str">
        <f t="shared" si="6"/>
        <v>容积率</v>
      </c>
      <c r="R11" s="663" t="s">
        <v>14</v>
      </c>
      <c r="S11" s="664" t="e">
        <f t="shared" si="0"/>
        <v>#N/A</v>
      </c>
      <c r="T11" s="663" t="s">
        <v>14</v>
      </c>
      <c r="U11" s="664" t="e">
        <f t="shared" si="1"/>
        <v>#N/A</v>
      </c>
      <c r="V11" s="663" t="s">
        <v>14</v>
      </c>
      <c r="W11" s="664" t="e">
        <f t="shared" si="2"/>
        <v>#N/A</v>
      </c>
      <c r="X11" s="665"/>
      <c r="Y11" s="3271"/>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396"/>
      <c r="Q12" s="529" t="str">
        <f t="shared" si="6"/>
        <v>配建</v>
      </c>
      <c r="R12" s="663" t="s">
        <v>14</v>
      </c>
      <c r="S12" s="664">
        <f t="shared" si="0"/>
        <v>100</v>
      </c>
      <c r="T12" s="663" t="s">
        <v>14</v>
      </c>
      <c r="U12" s="664">
        <f t="shared" si="1"/>
        <v>100</v>
      </c>
      <c r="V12" s="663" t="s">
        <v>14</v>
      </c>
      <c r="W12" s="664">
        <f t="shared" si="2"/>
        <v>100</v>
      </c>
      <c r="X12" s="665"/>
      <c r="Y12" s="327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396"/>
      <c r="Q13" s="529">
        <f t="shared" si="6"/>
        <v>111</v>
      </c>
      <c r="R13" s="663" t="s">
        <v>14</v>
      </c>
      <c r="S13" s="664">
        <f t="shared" si="0"/>
        <v>100</v>
      </c>
      <c r="T13" s="663" t="s">
        <v>14</v>
      </c>
      <c r="U13" s="664">
        <f t="shared" si="1"/>
        <v>100</v>
      </c>
      <c r="V13" s="663" t="s">
        <v>14</v>
      </c>
      <c r="W13" s="664">
        <f t="shared" si="2"/>
        <v>100</v>
      </c>
      <c r="X13" s="665"/>
      <c r="Y13" s="3271"/>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396"/>
      <c r="Q14" s="529">
        <f t="shared" si="6"/>
        <v>111</v>
      </c>
      <c r="R14" s="663" t="s">
        <v>14</v>
      </c>
      <c r="S14" s="664">
        <f t="shared" si="0"/>
        <v>100</v>
      </c>
      <c r="T14" s="663" t="s">
        <v>14</v>
      </c>
      <c r="U14" s="664">
        <f t="shared" si="1"/>
        <v>100</v>
      </c>
      <c r="V14" s="663" t="s">
        <v>14</v>
      </c>
      <c r="W14" s="664">
        <f t="shared" si="2"/>
        <v>100</v>
      </c>
      <c r="X14" s="665"/>
      <c r="Y14" s="3271"/>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398" t="s">
        <v>1691</v>
      </c>
      <c r="Q15" s="1262" t="str">
        <f t="shared" si="6"/>
        <v>居住社区成熟度</v>
      </c>
      <c r="R15" s="666" t="s">
        <v>14</v>
      </c>
      <c r="S15" s="667">
        <f t="shared" si="0"/>
        <v>100</v>
      </c>
      <c r="T15" s="666" t="s">
        <v>14</v>
      </c>
      <c r="U15" s="667">
        <f t="shared" si="1"/>
        <v>100</v>
      </c>
      <c r="V15" s="666" t="s">
        <v>14</v>
      </c>
      <c r="W15" s="667">
        <f t="shared" si="2"/>
        <v>100</v>
      </c>
      <c r="X15" s="1264"/>
      <c r="Y15" s="3398"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399"/>
      <c r="Q16" s="1262"/>
      <c r="R16" s="666"/>
      <c r="S16" s="667"/>
      <c r="T16" s="666"/>
      <c r="U16" s="667"/>
      <c r="V16" s="666"/>
      <c r="W16" s="667"/>
      <c r="X16" s="1264"/>
      <c r="Y16" s="3399"/>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399"/>
      <c r="Q17" s="1262" t="str">
        <f>B17</f>
        <v>商业繁华度</v>
      </c>
      <c r="R17" s="666" t="s">
        <v>14</v>
      </c>
      <c r="S17" s="667">
        <f>F17</f>
        <v>100</v>
      </c>
      <c r="T17" s="666" t="s">
        <v>14</v>
      </c>
      <c r="U17" s="667">
        <f>H17</f>
        <v>100</v>
      </c>
      <c r="V17" s="666" t="s">
        <v>14</v>
      </c>
      <c r="W17" s="667">
        <f>J17</f>
        <v>100</v>
      </c>
      <c r="X17" s="1264"/>
      <c r="Y17" s="3399"/>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399"/>
      <c r="Q18" s="1262"/>
      <c r="R18" s="666"/>
      <c r="S18" s="667"/>
      <c r="T18" s="666"/>
      <c r="U18" s="667"/>
      <c r="V18" s="666"/>
      <c r="W18" s="667"/>
      <c r="X18" s="1264"/>
      <c r="Y18" s="3399"/>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399"/>
      <c r="Q19" s="1262" t="str">
        <f>B19</f>
        <v>办公集聚程度</v>
      </c>
      <c r="R19" s="666" t="s">
        <v>14</v>
      </c>
      <c r="S19" s="667">
        <f>F19</f>
        <v>100</v>
      </c>
      <c r="T19" s="666" t="s">
        <v>14</v>
      </c>
      <c r="U19" s="667">
        <f>H19</f>
        <v>100</v>
      </c>
      <c r="V19" s="666" t="s">
        <v>14</v>
      </c>
      <c r="W19" s="667">
        <f>J19</f>
        <v>100</v>
      </c>
      <c r="X19" s="1264"/>
      <c r="Y19" s="3399"/>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399"/>
      <c r="Q20" s="1262"/>
      <c r="R20" s="666"/>
      <c r="S20" s="667"/>
      <c r="T20" s="666"/>
      <c r="U20" s="667"/>
      <c r="V20" s="666"/>
      <c r="W20" s="667"/>
      <c r="X20" s="1264"/>
      <c r="Y20" s="3399"/>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399"/>
      <c r="Q21" s="1262" t="str">
        <f>B21</f>
        <v>交通便捷度</v>
      </c>
      <c r="R21" s="666" t="s">
        <v>14</v>
      </c>
      <c r="S21" s="667">
        <f>F21</f>
        <v>100</v>
      </c>
      <c r="T21" s="666" t="s">
        <v>14</v>
      </c>
      <c r="U21" s="667">
        <f>H21</f>
        <v>100</v>
      </c>
      <c r="V21" s="666" t="s">
        <v>14</v>
      </c>
      <c r="W21" s="667">
        <f>J21</f>
        <v>100</v>
      </c>
      <c r="X21" s="1264"/>
      <c r="Y21" s="3399"/>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399"/>
      <c r="Q22" s="1262"/>
      <c r="R22" s="666"/>
      <c r="S22" s="667"/>
      <c r="T22" s="666"/>
      <c r="U22" s="667"/>
      <c r="V22" s="666"/>
      <c r="W22" s="667"/>
      <c r="X22" s="1264"/>
      <c r="Y22" s="3399"/>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399"/>
      <c r="Q23" s="1262" t="str">
        <f t="shared" ref="Q23:Q37" si="8">B23</f>
        <v>区域土地利用方向</v>
      </c>
      <c r="R23" s="666" t="s">
        <v>14</v>
      </c>
      <c r="S23" s="667">
        <f>F23</f>
        <v>100</v>
      </c>
      <c r="T23" s="666" t="s">
        <v>14</v>
      </c>
      <c r="U23" s="667">
        <f>H23</f>
        <v>100</v>
      </c>
      <c r="V23" s="666" t="s">
        <v>14</v>
      </c>
      <c r="W23" s="667">
        <f>J23</f>
        <v>100</v>
      </c>
      <c r="X23" s="1264"/>
      <c r="Y23" s="3399"/>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399"/>
      <c r="Q24" s="1262"/>
      <c r="R24" s="666"/>
      <c r="S24" s="667"/>
      <c r="T24" s="666"/>
      <c r="U24" s="667"/>
      <c r="V24" s="666"/>
      <c r="W24" s="667"/>
      <c r="X24" s="1264"/>
      <c r="Y24" s="3399"/>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399"/>
      <c r="Q25" s="1262" t="str">
        <f t="shared" si="8"/>
        <v>自然及人文环境状况</v>
      </c>
      <c r="R25" s="666" t="s">
        <v>14</v>
      </c>
      <c r="S25" s="667">
        <f>F25</f>
        <v>100</v>
      </c>
      <c r="T25" s="666" t="s">
        <v>14</v>
      </c>
      <c r="U25" s="667">
        <f>H25</f>
        <v>100</v>
      </c>
      <c r="V25" s="666" t="s">
        <v>14</v>
      </c>
      <c r="W25" s="667">
        <f>J25</f>
        <v>100</v>
      </c>
      <c r="X25" s="1264"/>
      <c r="Y25" s="3399"/>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399"/>
      <c r="Q26" s="1262"/>
      <c r="R26" s="666"/>
      <c r="S26" s="667"/>
      <c r="T26" s="666"/>
      <c r="U26" s="667"/>
      <c r="V26" s="666"/>
      <c r="W26" s="667"/>
      <c r="X26" s="1264"/>
      <c r="Y26" s="3399"/>
      <c r="Z26" s="1263"/>
      <c r="AA26" s="1263">
        <v>1</v>
      </c>
      <c r="AB26" s="1263">
        <v>1</v>
      </c>
      <c r="AC26" s="1263">
        <v>1</v>
      </c>
    </row>
    <row r="27" spans="1:29" s="101"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399"/>
      <c r="Q27" s="529" t="str">
        <f t="shared" si="8"/>
        <v>公共配套设施</v>
      </c>
      <c r="R27" s="663" t="s">
        <v>14</v>
      </c>
      <c r="S27" s="664">
        <f>F27</f>
        <v>100</v>
      </c>
      <c r="T27" s="663" t="s">
        <v>14</v>
      </c>
      <c r="U27" s="664">
        <f>H27</f>
        <v>100</v>
      </c>
      <c r="V27" s="663" t="s">
        <v>14</v>
      </c>
      <c r="W27" s="664">
        <f>J27</f>
        <v>100</v>
      </c>
      <c r="X27" s="665"/>
      <c r="Y27" s="3399"/>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6"/>
      <c r="M28" s="2438"/>
      <c r="N28" s="2438"/>
      <c r="O28" s="2538"/>
      <c r="P28" s="3399"/>
      <c r="Q28" s="529"/>
      <c r="R28" s="663"/>
      <c r="S28" s="664"/>
      <c r="T28" s="663"/>
      <c r="U28" s="664"/>
      <c r="V28" s="663"/>
      <c r="W28" s="664"/>
      <c r="X28" s="665"/>
      <c r="Y28" s="3399"/>
      <c r="Z28" s="50"/>
      <c r="AA28" s="1263">
        <v>1</v>
      </c>
      <c r="AB28" s="1263">
        <v>1</v>
      </c>
      <c r="AC28" s="1263">
        <v>1</v>
      </c>
    </row>
    <row r="29" spans="1:29" s="101"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399"/>
      <c r="Q29" s="529" t="str">
        <f t="shared" ref="Q29" si="9">B29</f>
        <v>基础设施水平</v>
      </c>
      <c r="R29" s="663" t="s">
        <v>14</v>
      </c>
      <c r="S29" s="664">
        <f>F29</f>
        <v>100</v>
      </c>
      <c r="T29" s="663" t="s">
        <v>14</v>
      </c>
      <c r="U29" s="664">
        <f>H29</f>
        <v>100</v>
      </c>
      <c r="V29" s="663" t="s">
        <v>14</v>
      </c>
      <c r="W29" s="664">
        <f>J29</f>
        <v>100</v>
      </c>
      <c r="X29" s="665"/>
      <c r="Y29" s="3399"/>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6"/>
      <c r="M30" s="2438"/>
      <c r="N30" s="2438"/>
      <c r="O30" s="2538"/>
      <c r="P30" s="3399"/>
      <c r="Q30" s="529"/>
      <c r="R30" s="663"/>
      <c r="S30" s="664"/>
      <c r="T30" s="663"/>
      <c r="U30" s="664"/>
      <c r="V30" s="663"/>
      <c r="W30" s="664"/>
      <c r="X30" s="665"/>
      <c r="Y30" s="3399"/>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39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9"/>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399"/>
      <c r="Q32" s="1262" t="str">
        <f t="shared" si="8"/>
        <v>毗邻道路的类型与等级</v>
      </c>
      <c r="R32" s="666" t="s">
        <v>14</v>
      </c>
      <c r="S32" s="667">
        <f t="shared" si="10"/>
        <v>100</v>
      </c>
      <c r="T32" s="666" t="s">
        <v>14</v>
      </c>
      <c r="U32" s="667">
        <f t="shared" si="11"/>
        <v>100</v>
      </c>
      <c r="V32" s="666" t="s">
        <v>14</v>
      </c>
      <c r="W32" s="667">
        <f t="shared" si="12"/>
        <v>100</v>
      </c>
      <c r="X32" s="1264"/>
      <c r="Y32" s="3399"/>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399"/>
      <c r="Q33" s="1262"/>
      <c r="R33" s="666"/>
      <c r="S33" s="667"/>
      <c r="T33" s="666"/>
      <c r="U33" s="667"/>
      <c r="V33" s="666"/>
      <c r="W33" s="667"/>
      <c r="X33" s="1264"/>
      <c r="Y33" s="3399"/>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399"/>
      <c r="Q34" s="1262" t="str">
        <f t="shared" si="8"/>
        <v>土地级别</v>
      </c>
      <c r="R34" s="666" t="s">
        <v>14</v>
      </c>
      <c r="S34" s="667">
        <f t="shared" si="10"/>
        <v>100</v>
      </c>
      <c r="T34" s="666" t="s">
        <v>14</v>
      </c>
      <c r="U34" s="667">
        <f t="shared" si="11"/>
        <v>100</v>
      </c>
      <c r="V34" s="666" t="s">
        <v>14</v>
      </c>
      <c r="W34" s="667">
        <f t="shared" si="12"/>
        <v>100</v>
      </c>
      <c r="X34" s="1264"/>
      <c r="Y34" s="3399"/>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399"/>
      <c r="Q35" s="1262">
        <f t="shared" si="8"/>
        <v>111</v>
      </c>
      <c r="R35" s="666" t="s">
        <v>14</v>
      </c>
      <c r="S35" s="667">
        <f t="shared" si="10"/>
        <v>100</v>
      </c>
      <c r="T35" s="666" t="s">
        <v>14</v>
      </c>
      <c r="U35" s="667">
        <f t="shared" si="11"/>
        <v>100</v>
      </c>
      <c r="V35" s="666" t="s">
        <v>14</v>
      </c>
      <c r="W35" s="667">
        <f t="shared" si="12"/>
        <v>100</v>
      </c>
      <c r="X35" s="1264"/>
      <c r="Y35" s="3399"/>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53" t="s">
        <v>1696</v>
      </c>
      <c r="Q36" s="1262">
        <f t="shared" si="8"/>
        <v>111</v>
      </c>
      <c r="R36" s="666" t="s">
        <v>14</v>
      </c>
      <c r="S36" s="667">
        <f t="shared" si="10"/>
        <v>100</v>
      </c>
      <c r="T36" s="666" t="s">
        <v>14</v>
      </c>
      <c r="U36" s="667">
        <f t="shared" si="11"/>
        <v>100</v>
      </c>
      <c r="V36" s="666" t="s">
        <v>14</v>
      </c>
      <c r="W36" s="667">
        <f t="shared" si="12"/>
        <v>100</v>
      </c>
      <c r="X36" s="1264"/>
      <c r="Y36" s="3403"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03"/>
      <c r="Q37" s="1262">
        <f t="shared" si="8"/>
        <v>111</v>
      </c>
      <c r="R37" s="668" t="s">
        <v>14</v>
      </c>
      <c r="S37" s="669">
        <f t="shared" si="10"/>
        <v>100</v>
      </c>
      <c r="T37" s="668" t="s">
        <v>14</v>
      </c>
      <c r="U37" s="669">
        <f t="shared" si="11"/>
        <v>100</v>
      </c>
      <c r="V37" s="668" t="s">
        <v>14</v>
      </c>
      <c r="W37" s="669">
        <f t="shared" si="12"/>
        <v>100</v>
      </c>
      <c r="X37" s="670"/>
      <c r="Y37" s="3403"/>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03"/>
      <c r="Q38" s="1262" t="str">
        <f>B38</f>
        <v>宗地面积</v>
      </c>
      <c r="R38" s="666" t="s">
        <v>14</v>
      </c>
      <c r="S38" s="667" t="e">
        <f t="shared" si="10"/>
        <v>#N/A</v>
      </c>
      <c r="T38" s="666" t="s">
        <v>14</v>
      </c>
      <c r="U38" s="667" t="e">
        <f t="shared" si="11"/>
        <v>#N/A</v>
      </c>
      <c r="V38" s="666" t="s">
        <v>14</v>
      </c>
      <c r="W38" s="667" t="e">
        <f t="shared" si="12"/>
        <v>#N/A</v>
      </c>
      <c r="X38" s="1264"/>
      <c r="Y38" s="3403"/>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403"/>
      <c r="Q39" s="1262" t="str">
        <f t="shared" ref="Q39:Q45" si="14">B39</f>
        <v>宗地形状</v>
      </c>
      <c r="R39" s="666" t="s">
        <v>14</v>
      </c>
      <c r="S39" s="667">
        <f t="shared" si="10"/>
        <v>100</v>
      </c>
      <c r="T39" s="666" t="s">
        <v>14</v>
      </c>
      <c r="U39" s="667">
        <f t="shared" si="11"/>
        <v>100</v>
      </c>
      <c r="V39" s="666" t="s">
        <v>14</v>
      </c>
      <c r="W39" s="667">
        <f t="shared" si="12"/>
        <v>100</v>
      </c>
      <c r="X39" s="1264"/>
      <c r="Y39" s="3403"/>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403"/>
      <c r="Q40" s="1262" t="str">
        <f t="shared" si="14"/>
        <v>临街宽度及深度</v>
      </c>
      <c r="R40" s="666" t="s">
        <v>14</v>
      </c>
      <c r="S40" s="667">
        <f t="shared" si="10"/>
        <v>100</v>
      </c>
      <c r="T40" s="666" t="s">
        <v>14</v>
      </c>
      <c r="U40" s="667">
        <f t="shared" si="11"/>
        <v>100</v>
      </c>
      <c r="V40" s="666" t="s">
        <v>14</v>
      </c>
      <c r="W40" s="667">
        <f t="shared" si="12"/>
        <v>100</v>
      </c>
      <c r="X40" s="1264"/>
      <c r="Y40" s="3403"/>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403"/>
      <c r="Q41" s="1262" t="str">
        <f t="shared" si="14"/>
        <v>宗地开发程度</v>
      </c>
      <c r="R41" s="663" t="s">
        <v>14</v>
      </c>
      <c r="S41" s="664">
        <f t="shared" si="10"/>
        <v>100</v>
      </c>
      <c r="T41" s="663" t="s">
        <v>14</v>
      </c>
      <c r="U41" s="664">
        <f t="shared" si="11"/>
        <v>100</v>
      </c>
      <c r="V41" s="663" t="s">
        <v>14</v>
      </c>
      <c r="W41" s="664">
        <f t="shared" si="12"/>
        <v>100</v>
      </c>
      <c r="X41" s="665"/>
      <c r="Y41" s="3403"/>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403" t="s">
        <v>1696</v>
      </c>
      <c r="Q42" s="1262" t="str">
        <f t="shared" si="14"/>
        <v>工程地质条件</v>
      </c>
      <c r="R42" s="666" t="s">
        <v>14</v>
      </c>
      <c r="S42" s="667">
        <f t="shared" si="10"/>
        <v>100</v>
      </c>
      <c r="T42" s="666" t="s">
        <v>14</v>
      </c>
      <c r="U42" s="667">
        <f t="shared" si="11"/>
        <v>100</v>
      </c>
      <c r="V42" s="666" t="s">
        <v>14</v>
      </c>
      <c r="W42" s="667">
        <f t="shared" si="12"/>
        <v>100</v>
      </c>
      <c r="X42" s="1264"/>
      <c r="Y42" s="3403"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03"/>
      <c r="Q43" s="1262">
        <f t="shared" si="14"/>
        <v>111</v>
      </c>
      <c r="R43" s="666" t="s">
        <v>14</v>
      </c>
      <c r="S43" s="667">
        <f t="shared" si="10"/>
        <v>100</v>
      </c>
      <c r="T43" s="666" t="s">
        <v>14</v>
      </c>
      <c r="U43" s="667">
        <f t="shared" si="11"/>
        <v>100</v>
      </c>
      <c r="V43" s="666" t="s">
        <v>14</v>
      </c>
      <c r="W43" s="667">
        <f t="shared" si="12"/>
        <v>100</v>
      </c>
      <c r="X43" s="1264"/>
      <c r="Y43" s="3403"/>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03"/>
      <c r="Q44" s="1262">
        <f t="shared" si="14"/>
        <v>111</v>
      </c>
      <c r="R44" s="666" t="s">
        <v>14</v>
      </c>
      <c r="S44" s="667">
        <f t="shared" si="10"/>
        <v>100</v>
      </c>
      <c r="T44" s="666" t="s">
        <v>14</v>
      </c>
      <c r="U44" s="667">
        <f t="shared" si="11"/>
        <v>100</v>
      </c>
      <c r="V44" s="666" t="s">
        <v>14</v>
      </c>
      <c r="W44" s="667">
        <f t="shared" si="12"/>
        <v>100</v>
      </c>
      <c r="X44" s="1264"/>
      <c r="Y44" s="3403"/>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03"/>
      <c r="Q45" s="1262">
        <f t="shared" si="14"/>
        <v>111</v>
      </c>
      <c r="R45" s="668" t="s">
        <v>14</v>
      </c>
      <c r="S45" s="669">
        <f t="shared" si="10"/>
        <v>100</v>
      </c>
      <c r="T45" s="668" t="s">
        <v>14</v>
      </c>
      <c r="U45" s="669">
        <f t="shared" si="11"/>
        <v>100</v>
      </c>
      <c r="V45" s="668" t="s">
        <v>14</v>
      </c>
      <c r="W45" s="669">
        <f t="shared" si="12"/>
        <v>100</v>
      </c>
      <c r="X45" s="670"/>
      <c r="Y45" s="3403"/>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2"/>
      <c r="M46" s="2485"/>
      <c r="N46" s="2485"/>
      <c r="O46" s="2485"/>
      <c r="P46" s="3396" t="str">
        <f>A46</f>
        <v>成交单价</v>
      </c>
      <c r="Q46" s="3396"/>
      <c r="R46" s="3397">
        <f>E46</f>
        <v>0</v>
      </c>
      <c r="S46" s="3397"/>
      <c r="T46" s="3397">
        <f>G46</f>
        <v>0</v>
      </c>
      <c r="U46" s="3397"/>
      <c r="V46" s="3397">
        <f>I46</f>
        <v>0</v>
      </c>
      <c r="W46" s="3397"/>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396" t="str">
        <f>A47</f>
        <v>比较价值（元/平方米）</v>
      </c>
      <c r="Q47" s="3396"/>
      <c r="R47" s="3455" t="e">
        <f>ROUND(PRODUCT(R46,AA7:AA45),0)</f>
        <v>#DIV/0!</v>
      </c>
      <c r="S47" s="3455"/>
      <c r="T47" s="3455" t="e">
        <f>ROUND(PRODUCT(T46,AB7:AB45),0)</f>
        <v>#DIV/0!</v>
      </c>
      <c r="U47" s="3455"/>
      <c r="V47" s="3455" t="e">
        <f>ROUND(PRODUCT(V46,AC7:AC45),0)</f>
        <v>#DIV/0!</v>
      </c>
      <c r="W47" s="3455"/>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2"/>
      <c r="M48" s="2485"/>
      <c r="N48" s="2485"/>
      <c r="O48" s="2485"/>
      <c r="P48" s="3393" t="str">
        <f>A48</f>
        <v>估价对象XX用房的比较价值（楼面单价，元/平方米）</v>
      </c>
      <c r="Q48" s="3394"/>
      <c r="R48" s="3456" t="e">
        <f>ROUND(IF(D47="简单平均",AVERAGE(R47:W47),R47*F47+T47*H47+V47*J47),0)</f>
        <v>#DIV/0!</v>
      </c>
      <c r="S48" s="3456"/>
      <c r="T48" s="3456"/>
      <c r="U48" s="3456"/>
      <c r="V48" s="3456"/>
      <c r="W48" s="3456"/>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411" t="s">
        <v>1887</v>
      </c>
      <c r="H55" s="3457"/>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1605.46</v>
      </c>
      <c r="F56" s="832" t="e">
        <f t="shared" ref="F56:F64" si="15">ROUND(B56*E56/10000,0)</f>
        <v>#DIV/0!</v>
      </c>
      <c r="G56" s="3407"/>
      <c r="H56" s="3396"/>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v>
      </c>
      <c r="D57" s="890">
        <v>0.25</v>
      </c>
      <c r="E57" s="613"/>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v>
      </c>
      <c r="D58" s="890">
        <v>0.25</v>
      </c>
      <c r="E58" s="613"/>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v>
      </c>
      <c r="D59" s="890">
        <v>0.25</v>
      </c>
      <c r="E59" s="613"/>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1605.46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5"/>
      <c r="Q67" s="2485"/>
      <c r="R67" s="2485"/>
      <c r="S67" s="2485"/>
      <c r="T67" s="2485"/>
      <c r="U67" s="2485"/>
      <c r="V67" s="2485"/>
      <c r="W67" s="2485"/>
      <c r="X67" s="2485"/>
      <c r="Y67" s="2485"/>
      <c r="Z67" s="2485"/>
      <c r="AA67" s="2485"/>
      <c r="AB67" s="2485"/>
      <c r="AC67" s="2485"/>
    </row>
    <row r="68" spans="1:29" ht="22.2"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1" customFormat="1" ht="1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1" customFormat="1" ht="14.4">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1605.46</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26.4">
      <c r="A2" s="192" t="s">
        <v>1934</v>
      </c>
      <c r="B2" s="195">
        <f>C30</f>
        <v>134</v>
      </c>
      <c r="C2" s="1845" t="s">
        <v>1935</v>
      </c>
      <c r="D2" s="161" t="s">
        <v>1936</v>
      </c>
      <c r="E2" s="3118" t="s">
        <v>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Ⅸ-兴谷开发区A</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1.5418000000000001</v>
      </c>
      <c r="T2" s="3061">
        <f t="shared" ref="T2:T16" si="0">ROUND($C$5*$C$22*$C$23*$C$24*S2*$C$28,0)</f>
        <v>1284</v>
      </c>
      <c r="U2" s="1129"/>
      <c r="V2" s="3061">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835</v>
      </c>
      <c r="C3" s="1845" t="s">
        <v>1941</v>
      </c>
      <c r="D3" s="161" t="s">
        <v>1942</v>
      </c>
      <c r="E3" s="3116" t="s">
        <v>2481</v>
      </c>
      <c r="F3" s="1847" t="s">
        <v>3436</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1.1883999999999999</v>
      </c>
      <c r="T3" s="3061">
        <f t="shared" si="0"/>
        <v>989</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465"/>
      <c r="B4" s="3466"/>
      <c r="C4" s="3466"/>
      <c r="D4" s="3467"/>
      <c r="E4" s="3467"/>
      <c r="F4" s="3467"/>
      <c r="G4" s="3467"/>
      <c r="H4" s="3467"/>
      <c r="I4" s="3467"/>
      <c r="J4" s="3468"/>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0.96940000000000004</v>
      </c>
      <c r="T4" s="3061">
        <f t="shared" si="0"/>
        <v>807</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990</v>
      </c>
      <c r="D5" s="1251">
        <f>ROUND(C6*C17+C20,0)</f>
        <v>990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0.82299999999999995</v>
      </c>
      <c r="T5" s="3061">
        <f t="shared" si="0"/>
        <v>685</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960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0.74980000000000002</v>
      </c>
      <c r="T6" s="3061">
        <f t="shared" si="0"/>
        <v>624</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九级</v>
      </c>
      <c r="Y7" s="1130" t="s">
        <v>1956</v>
      </c>
      <c r="Z7" s="1131">
        <f>G3</f>
        <v>1</v>
      </c>
      <c r="AA7" s="1132"/>
      <c r="AB7" s="1132"/>
      <c r="AC7" s="1133"/>
      <c r="AD7" s="1134"/>
      <c r="AE7" s="1134"/>
      <c r="AF7" s="1134"/>
      <c r="AG7" s="1134"/>
      <c r="AH7" s="1134"/>
      <c r="AI7" s="1134"/>
      <c r="AJ7" s="1135"/>
    </row>
    <row r="8" spans="1:36" ht="15">
      <c r="A8" s="3007"/>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462" t="s">
        <v>1960</v>
      </c>
      <c r="X8" s="346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960</v>
      </c>
      <c r="N9" s="812">
        <f>SUMPRODUCT((因素修正幅度!B277:B326=I2)*(因素修正幅度!C3:G3=E2)*(因素修正幅度!C277:G326))</f>
        <v>0.05</v>
      </c>
      <c r="O9" s="1055"/>
      <c r="P9" s="1055"/>
      <c r="Q9" s="1055"/>
      <c r="R9" s="1128">
        <v>8</v>
      </c>
      <c r="S9" s="1129"/>
      <c r="T9" s="3061">
        <f t="shared" si="0"/>
        <v>0</v>
      </c>
      <c r="U9" s="1129"/>
      <c r="V9" s="3061">
        <f t="shared" si="1"/>
        <v>0</v>
      </c>
      <c r="W9" s="3464"/>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46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3244</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3245</v>
      </c>
      <c r="G14" s="3018" t="s">
        <v>3245</v>
      </c>
      <c r="H14" s="3018" t="s">
        <v>3245</v>
      </c>
      <c r="I14" s="3018" t="s">
        <v>3245</v>
      </c>
      <c r="J14" s="3018" t="s">
        <v>3245</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3246</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3250</v>
      </c>
      <c r="E18" s="2355"/>
      <c r="F18" s="3028" t="s">
        <v>3253</v>
      </c>
      <c r="G18" s="3032">
        <f>ROUND(1-(1/(POWER(1+G24,E18))),4)</f>
        <v>0</v>
      </c>
      <c r="H18" s="3028" t="s">
        <v>3255</v>
      </c>
      <c r="I18" s="3032">
        <f>ROUND(1-(1/(POWER(1+G24,J24))),4)</f>
        <v>0.91279999999999994</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3251</v>
      </c>
      <c r="E19" s="3041"/>
      <c r="F19" s="3042" t="s">
        <v>3254</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3.8">
      <c r="A20" s="3469" t="s">
        <v>3256</v>
      </c>
      <c r="B20" s="158" t="s">
        <v>1994</v>
      </c>
      <c r="C20" s="3029">
        <f>ROUND(IF(F21="与级别开发程度一致",0,(G21-E21)/C21),0)</f>
        <v>30</v>
      </c>
      <c r="D20" s="3044" t="s">
        <v>1998</v>
      </c>
      <c r="E20" s="3045"/>
      <c r="F20" s="3475" t="s">
        <v>1995</v>
      </c>
      <c r="G20" s="3476"/>
      <c r="H20" s="3030" t="s">
        <v>3469</v>
      </c>
      <c r="I20" s="3030" t="s">
        <v>3468</v>
      </c>
      <c r="J20" s="3031" t="s">
        <v>3470</v>
      </c>
      <c r="K20" s="1888" t="s">
        <v>3471</v>
      </c>
      <c r="L20" s="1888" t="s">
        <v>3472</v>
      </c>
      <c r="M20" s="1888" t="s">
        <v>3473</v>
      </c>
      <c r="N20" s="1888" t="s">
        <v>3474</v>
      </c>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470"/>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3467</v>
      </c>
      <c r="G21" s="1994">
        <f>SUM(H21:O21)</f>
        <v>215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30</v>
      </c>
      <c r="N21" s="2002">
        <f>SUMPRODUCT((七通一平=N20)*(修正!B1:M1=G2)*(修正!B8:M16))</f>
        <v>10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6">
        <v>44197</v>
      </c>
      <c r="F23" s="1895" t="s">
        <v>2003</v>
      </c>
      <c r="G23" s="717">
        <f>'数据-取费表'!B2</f>
        <v>45625</v>
      </c>
      <c r="H23" s="3046" t="s">
        <v>3258</v>
      </c>
      <c r="I23" s="3047" t="str">
        <f>IF(H23="季度增幅（自定义）",SUMIF(N25:N28,E2,O25:O28),"")</f>
        <v/>
      </c>
      <c r="J23" s="3139" t="s">
        <v>3257</v>
      </c>
      <c r="K23" s="1060"/>
      <c r="L23" s="1896" t="s">
        <v>2004</v>
      </c>
      <c r="M23" s="1240">
        <f>ROUND(SUMIF(地价!B2:G2,E2,地价!B16:G16),0)</f>
        <v>318</v>
      </c>
      <c r="N23" s="1897"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0.76659999999999995</v>
      </c>
      <c r="D24" s="1901" t="s">
        <v>2007</v>
      </c>
      <c r="E24" s="1247">
        <f>存贷款利率!E27/100</f>
        <v>4.3499999999999997E-2</v>
      </c>
      <c r="F24" s="1901" t="s">
        <v>1999</v>
      </c>
      <c r="G24" s="723">
        <f>SUMIF(M30:Q30,E2,M33:Q33)</f>
        <v>0.05</v>
      </c>
      <c r="H24" s="1901" t="s">
        <v>2008</v>
      </c>
      <c r="I24" s="724">
        <f>SUMIF('数据-取费表'!C6:C15,E2,'数据-取费表'!F6:F15)/COUNTIF('数据-取费表'!C6:C15,E2)</f>
        <v>24.66</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3337</v>
      </c>
      <c r="C25" s="460">
        <f>IF(B25="容积率修正",IF(G3&lt;10,D26,J26),C27)</f>
        <v>1</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3259</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3260</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1.014</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134</v>
      </c>
      <c r="D30" s="1924"/>
      <c r="E30" s="1841"/>
      <c r="F30" s="1925"/>
      <c r="G30" s="1841"/>
      <c r="H30" s="1841"/>
      <c r="I30" s="1841"/>
      <c r="J30" s="1926"/>
      <c r="K30" s="1055"/>
      <c r="L30" s="3053" t="s">
        <v>1936</v>
      </c>
      <c r="M30" s="3054" t="s">
        <v>1990</v>
      </c>
      <c r="N30" s="3054" t="s">
        <v>1991</v>
      </c>
      <c r="O30" s="3054" t="s">
        <v>1992</v>
      </c>
      <c r="P30" s="3054" t="s">
        <v>1993</v>
      </c>
      <c r="Q30" s="3057" t="s">
        <v>3264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833</v>
      </c>
      <c r="D33" s="1939">
        <f>面积清单!H16</f>
        <v>1605.46</v>
      </c>
      <c r="E33" s="726">
        <f>ROUND(C33*D33/10000,0)</f>
        <v>134</v>
      </c>
      <c r="F33" s="3048" t="s">
        <v>3262</v>
      </c>
      <c r="G33" s="1940"/>
      <c r="H33" s="1940"/>
      <c r="I33" s="1940"/>
      <c r="J33" s="1941"/>
      <c r="K33" s="1055"/>
      <c r="L33" s="3051" t="s">
        <v>3265</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125</v>
      </c>
      <c r="D34" s="1944"/>
      <c r="E34" s="726">
        <f>ROUND(IF(B25="楼层修正",SUM(V2:V16)*M40,C34*D34/10000),0)</f>
        <v>0</v>
      </c>
      <c r="F34" s="1945" t="s">
        <v>2032</v>
      </c>
      <c r="G34" s="1946"/>
      <c r="H34" s="1946"/>
      <c r="I34" s="1946"/>
      <c r="J34" s="1947"/>
      <c r="K34" s="1055"/>
      <c r="L34" s="3051" t="s">
        <v>3266</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3267</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73"/>
      <c r="B37" s="1954" t="s">
        <v>2036</v>
      </c>
      <c r="C37" s="166">
        <f>ROUND(D5*C22*C23*C24*C28*F37,0)</f>
        <v>416</v>
      </c>
      <c r="D37" s="1939"/>
      <c r="E37" s="162">
        <f>ROUND(C37*D37/10000,0)</f>
        <v>0</v>
      </c>
      <c r="F37" s="162">
        <f>SUMIF(修正!A57:A68,G2,修正!B57:B68)</f>
        <v>0.5</v>
      </c>
      <c r="G37" s="162">
        <f>ROUND(IF(E2="工业",C37*$M$42,C37*$M$41),0)</f>
        <v>62</v>
      </c>
      <c r="H37" s="162">
        <f>D37</f>
        <v>0</v>
      </c>
      <c r="I37" s="162">
        <f>ROUND(G37*H37/10000,0)</f>
        <v>0</v>
      </c>
      <c r="J37" s="2752"/>
      <c r="K37" s="3059" t="s">
        <v>3268</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4"/>
      <c r="B38" s="1883" t="s">
        <v>2037</v>
      </c>
      <c r="C38" s="166">
        <f>ROUND(D5*C22*C23*C24*C28*F38,0)</f>
        <v>167</v>
      </c>
      <c r="D38" s="1939"/>
      <c r="E38" s="162">
        <f t="shared" ref="E38:E42" si="4">ROUND(C38*D38/10000,0)</f>
        <v>0</v>
      </c>
      <c r="F38" s="162">
        <f>SUMIF(修正!A57:A68,G2,修正!C57:C68)</f>
        <v>0.2</v>
      </c>
      <c r="G38" s="162">
        <f>ROUND(IF(E2="工业",C38*$M$42,C38*$M$41),0)</f>
        <v>25</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74"/>
      <c r="B39" s="1883" t="s">
        <v>3261</v>
      </c>
      <c r="C39" s="166">
        <f>ROUND(D5*C22*C23*C24*C28*F39,0)</f>
        <v>167</v>
      </c>
      <c r="D39" s="1939"/>
      <c r="E39" s="162">
        <f t="shared" si="4"/>
        <v>0</v>
      </c>
      <c r="F39" s="162">
        <f>SUMIF(修正!A57:A68,G2,修正!D57:D68)</f>
        <v>0.2</v>
      </c>
      <c r="G39" s="162">
        <f>ROUND(IF(E2="工业",C39*$M$42,C39*$M$41),0)</f>
        <v>25</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167</v>
      </c>
      <c r="D40" s="1939"/>
      <c r="E40" s="162">
        <f t="shared" si="4"/>
        <v>0</v>
      </c>
      <c r="F40" s="166">
        <f>SUMIF(修正!A57:A68,G2,修正!E57:E68)</f>
        <v>0.2</v>
      </c>
      <c r="G40" s="162">
        <f>ROUND(IF(E2="工业",C40*$M$42,C40*$M$41),0)</f>
        <v>25</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167</v>
      </c>
      <c r="D41" s="1939"/>
      <c r="E41" s="162">
        <f t="shared" si="4"/>
        <v>0</v>
      </c>
      <c r="F41" s="166">
        <f>SUMIF(修正!A57:A68,G2,修正!F57:F68)</f>
        <v>0.2</v>
      </c>
      <c r="G41" s="162">
        <f>ROUND(IF(E2="工业",C41*$M$42,C41*$M$41),0)</f>
        <v>25</v>
      </c>
      <c r="H41" s="162">
        <f t="shared" si="5"/>
        <v>0</v>
      </c>
      <c r="I41" s="162">
        <f t="shared" si="6"/>
        <v>0</v>
      </c>
      <c r="J41" s="938"/>
      <c r="L41" s="3060" t="s">
        <v>3269</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83</v>
      </c>
      <c r="D42" s="1944"/>
      <c r="E42" s="178">
        <f t="shared" si="4"/>
        <v>0</v>
      </c>
      <c r="F42" s="722">
        <f>SUMIF(修正!A57:A68,G2,修正!G57:G68)</f>
        <v>0.1</v>
      </c>
      <c r="G42" s="178">
        <f>ROUND(IF(E2="工业",C42*$M$42,C42*$M$41),0)</f>
        <v>12</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0.76659999999999995</v>
      </c>
      <c r="D44" s="162" t="s">
        <v>1999</v>
      </c>
      <c r="E44" s="1990">
        <f>G24</f>
        <v>0.05</v>
      </c>
      <c r="F44" s="162" t="s">
        <v>2008</v>
      </c>
      <c r="G44" s="174">
        <f>项目基本情况!H15</f>
        <v>24.66</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8" t="s">
        <v>3271</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8" t="s">
        <v>3271</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3271</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1.014</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t="s">
        <v>3475</v>
      </c>
      <c r="D83" s="1001">
        <f t="shared" ref="D83:D90" si="22">SUMIF($J$82:$N$82,C83,J83:N83)</f>
        <v>6.4999999999999997E-3</v>
      </c>
      <c r="E83" s="701">
        <f>ROUND(SUM(D83:D90),4)</f>
        <v>1.4E-2</v>
      </c>
      <c r="F83" s="1674">
        <f>IF(E2="工业",SUMIF(L1:L12,G2,N1:N12),"——")</f>
        <v>0.05</v>
      </c>
      <c r="G83" s="999">
        <v>6.4999999999999997E-3</v>
      </c>
      <c r="H83" s="1002">
        <f t="shared" ref="H83:H90" si="23">IFERROR(ROUNDDOWN($F$83*I83/2,4),"——")</f>
        <v>6.4999999999999997E-3</v>
      </c>
      <c r="I83" s="3066">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t="s">
        <v>3476</v>
      </c>
      <c r="D84" s="1001">
        <f t="shared" si="22"/>
        <v>0</v>
      </c>
      <c r="E84" s="704"/>
      <c r="F84" s="1674"/>
      <c r="G84" s="999">
        <v>7.4999999999999997E-3</v>
      </c>
      <c r="H84" s="1002">
        <f t="shared" si="23"/>
        <v>7.4999999999999997E-3</v>
      </c>
      <c r="I84" s="3066">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48">
      <c r="A85" s="3068" t="s">
        <v>3272</v>
      </c>
      <c r="B85" s="1261">
        <f>估价对象房地状况!G17</f>
        <v>0</v>
      </c>
      <c r="C85" s="1886" t="s">
        <v>3476</v>
      </c>
      <c r="D85" s="1001">
        <f t="shared" si="22"/>
        <v>0</v>
      </c>
      <c r="E85" s="704"/>
      <c r="F85" s="1674"/>
      <c r="G85" s="999">
        <v>2.5000000000000001E-3</v>
      </c>
      <c r="H85" s="1002">
        <f t="shared" si="23"/>
        <v>2.5000000000000001E-3</v>
      </c>
      <c r="I85" s="3066">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3.8">
      <c r="A86" s="1969" t="s">
        <v>2067</v>
      </c>
      <c r="B86" s="1261">
        <f>估价对象房地状况!G22</f>
        <v>0</v>
      </c>
      <c r="C86" s="1886" t="s">
        <v>3477</v>
      </c>
      <c r="D86" s="1001">
        <f t="shared" si="22"/>
        <v>-1.1999999999999999E-3</v>
      </c>
      <c r="E86" s="704"/>
      <c r="F86" s="1674"/>
      <c r="G86" s="999">
        <v>1.1999999999999999E-3</v>
      </c>
      <c r="H86" s="1002">
        <f t="shared" si="23"/>
        <v>1.1999999999999999E-3</v>
      </c>
      <c r="I86" s="3066">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6.4">
      <c r="A87" s="1969" t="s">
        <v>2059</v>
      </c>
      <c r="B87" s="1239" t="str">
        <f>估价对象房地状况!G19</f>
        <v>估价对象所在区域公共配套设施齐备情况</v>
      </c>
      <c r="C87" s="1886" t="s">
        <v>3476</v>
      </c>
      <c r="D87" s="1001">
        <f t="shared" si="22"/>
        <v>0</v>
      </c>
      <c r="E87" s="704"/>
      <c r="F87" s="1674"/>
      <c r="G87" s="999">
        <v>1.5E-3</v>
      </c>
      <c r="H87" s="1002">
        <f t="shared" si="23"/>
        <v>1.5E-3</v>
      </c>
      <c r="I87" s="3066">
        <v>0.06</v>
      </c>
      <c r="J87" s="1000">
        <f t="shared" si="24"/>
        <v>3.0000000000000001E-3</v>
      </c>
      <c r="K87" s="1000">
        <f t="shared" si="25"/>
        <v>1.5E-3</v>
      </c>
      <c r="L87" s="1000">
        <v>0</v>
      </c>
      <c r="M87" s="1000">
        <f t="shared" si="26"/>
        <v>-1.5E-3</v>
      </c>
      <c r="N87" s="1000">
        <f t="shared" si="26"/>
        <v>-3.0000000000000001E-3</v>
      </c>
    </row>
    <row r="88" spans="1:37" ht="26.4">
      <c r="A88" s="1969" t="s">
        <v>2060</v>
      </c>
      <c r="B88" s="1239" t="str">
        <f>估价对象房地状况!G20</f>
        <v>估价对象所在区域基础设施水平</v>
      </c>
      <c r="C88" s="1886" t="s">
        <v>3492</v>
      </c>
      <c r="D88" s="1001">
        <f t="shared" si="22"/>
        <v>6.0000000000000001E-3</v>
      </c>
      <c r="E88" s="704"/>
      <c r="F88" s="1674"/>
      <c r="G88" s="999">
        <v>3.0000000000000001E-3</v>
      </c>
      <c r="H88" s="1002">
        <f t="shared" si="23"/>
        <v>3.0000000000000001E-3</v>
      </c>
      <c r="I88" s="3066">
        <v>0.12</v>
      </c>
      <c r="J88" s="1000">
        <f t="shared" si="24"/>
        <v>6.0000000000000001E-3</v>
      </c>
      <c r="K88" s="1000">
        <f t="shared" si="25"/>
        <v>3.0000000000000001E-3</v>
      </c>
      <c r="L88" s="1000">
        <v>0</v>
      </c>
      <c r="M88" s="1000">
        <f t="shared" si="26"/>
        <v>-3.0000000000000001E-3</v>
      </c>
      <c r="N88" s="1000">
        <f t="shared" si="26"/>
        <v>-6.0000000000000001E-3</v>
      </c>
    </row>
    <row r="89" spans="1:37" ht="36">
      <c r="A89" s="1969" t="s">
        <v>2057</v>
      </c>
      <c r="B89" s="1974" t="s">
        <v>2071</v>
      </c>
      <c r="C89" s="1886" t="s">
        <v>3475</v>
      </c>
      <c r="D89" s="1001">
        <f t="shared" si="22"/>
        <v>1.5E-3</v>
      </c>
      <c r="E89" s="704"/>
      <c r="F89" s="1674"/>
      <c r="G89" s="999">
        <v>1.5E-3</v>
      </c>
      <c r="H89" s="1002">
        <f t="shared" si="23"/>
        <v>1.5E-3</v>
      </c>
      <c r="I89" s="3066">
        <v>0.06</v>
      </c>
      <c r="J89" s="1000">
        <f t="shared" si="24"/>
        <v>3.0000000000000001E-3</v>
      </c>
      <c r="K89" s="1000">
        <f t="shared" si="25"/>
        <v>1.5E-3</v>
      </c>
      <c r="L89" s="1000">
        <v>0</v>
      </c>
      <c r="M89" s="1000">
        <f t="shared" si="26"/>
        <v>-1.5E-3</v>
      </c>
      <c r="N89" s="1000">
        <f t="shared" si="26"/>
        <v>-3.0000000000000001E-3</v>
      </c>
    </row>
    <row r="90" spans="1:37" ht="40.200000000000003" thickBot="1">
      <c r="A90" s="1976" t="s">
        <v>2072</v>
      </c>
      <c r="B90" s="1981" t="str">
        <f>估价对象房地状况!G18</f>
        <v>该园区内是否有污染型企业，绿化情况，卫生条件，整体环境状况判断</v>
      </c>
      <c r="C90" s="1886" t="s">
        <v>3475</v>
      </c>
      <c r="D90" s="1001">
        <f t="shared" si="22"/>
        <v>1.1999999999999999E-3</v>
      </c>
      <c r="E90" s="705"/>
      <c r="F90" s="1674"/>
      <c r="G90" s="999">
        <v>1.1999999999999999E-3</v>
      </c>
      <c r="H90" s="1002">
        <f t="shared" si="23"/>
        <v>1.1999999999999999E-3</v>
      </c>
      <c r="I90" s="3067">
        <v>0.05</v>
      </c>
      <c r="J90" s="1000">
        <f t="shared" si="24"/>
        <v>2.3999999999999998E-3</v>
      </c>
      <c r="K90" s="1000">
        <f t="shared" si="25"/>
        <v>1.1999999999999999E-3</v>
      </c>
      <c r="L90" s="1000">
        <v>0</v>
      </c>
      <c r="M90" s="1000">
        <f t="shared" si="26"/>
        <v>-1.1999999999999999E-3</v>
      </c>
      <c r="N90" s="1000">
        <f t="shared" si="26"/>
        <v>-2.3999999999999998E-3</v>
      </c>
    </row>
    <row r="91" spans="1:37" ht="13.8">
      <c r="A91" s="3076" t="s">
        <v>2614</v>
      </c>
      <c r="B91" s="3077">
        <f>1+E93</f>
        <v>1</v>
      </c>
      <c r="C91" s="3070"/>
      <c r="D91" s="3071"/>
      <c r="E91" s="1674"/>
      <c r="F91" s="1674"/>
      <c r="G91" s="3072"/>
      <c r="H91" s="3073"/>
      <c r="I91" s="3074"/>
      <c r="J91" s="3075"/>
      <c r="K91" s="3075"/>
      <c r="L91" s="3075"/>
      <c r="M91" s="3075"/>
      <c r="N91" s="3075"/>
    </row>
    <row r="92" spans="1:37" ht="25.2">
      <c r="A92" s="3078" t="s">
        <v>3273</v>
      </c>
      <c r="B92" s="2308"/>
      <c r="C92" s="2308" t="s">
        <v>3282</v>
      </c>
      <c r="D92" s="2308" t="s">
        <v>3283</v>
      </c>
      <c r="E92" s="3050" t="s">
        <v>3284</v>
      </c>
      <c r="F92" s="3080" t="s">
        <v>3285</v>
      </c>
      <c r="G92" s="2308" t="s">
        <v>3286</v>
      </c>
      <c r="H92" s="3087" t="s">
        <v>3289</v>
      </c>
      <c r="I92" s="2308" t="s">
        <v>3290</v>
      </c>
      <c r="J92" s="2149" t="s">
        <v>3291</v>
      </c>
      <c r="K92" s="2149" t="s">
        <v>3292</v>
      </c>
      <c r="L92" s="2149" t="s">
        <v>3293</v>
      </c>
      <c r="M92" s="2149" t="s">
        <v>3294</v>
      </c>
      <c r="N92" s="2149" t="s">
        <v>3295</v>
      </c>
    </row>
    <row r="93" spans="1:37" ht="24">
      <c r="A93" s="3068" t="s">
        <v>3274</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3275</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3271</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3276</v>
      </c>
      <c r="B96" s="3084" t="s">
        <v>3287</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3277</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3278</v>
      </c>
      <c r="B98" s="3085" t="s">
        <v>3288</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3279</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3280</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3281</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71" t="s">
        <v>3296</v>
      </c>
      <c r="B103" s="3471"/>
      <c r="C103" s="3471"/>
      <c r="D103" s="3471"/>
      <c r="E103" s="3471"/>
      <c r="F103" s="3471"/>
      <c r="G103" s="3471"/>
      <c r="H103" s="3471"/>
      <c r="I103" s="3471"/>
      <c r="J103" s="3471"/>
      <c r="K103" s="1666"/>
      <c r="L103" s="1666"/>
      <c r="M103" s="1666"/>
      <c r="N103" s="1666"/>
    </row>
    <row r="104" spans="1:14">
      <c r="A104" s="3472" t="s">
        <v>3297</v>
      </c>
      <c r="B104" s="3472" t="s">
        <v>3298</v>
      </c>
      <c r="C104" s="3088" t="s">
        <v>3299</v>
      </c>
      <c r="D104" s="3089"/>
      <c r="E104" s="3089"/>
      <c r="F104" s="3089"/>
      <c r="G104" s="3089"/>
      <c r="H104" s="3089"/>
      <c r="I104" s="3089"/>
      <c r="J104" s="3090"/>
      <c r="K104" s="3091"/>
      <c r="L104" s="3091"/>
      <c r="M104" s="3091"/>
      <c r="N104" s="3091"/>
    </row>
    <row r="105" spans="1:14">
      <c r="A105" s="3472"/>
      <c r="B105" s="3472"/>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58"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9"/>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1" t="s">
        <v>3313</v>
      </c>
      <c r="B113" s="3461"/>
      <c r="C113" s="3461"/>
      <c r="D113" s="3461"/>
      <c r="E113" s="3461"/>
      <c r="F113" s="3461"/>
      <c r="G113" s="3461"/>
      <c r="H113" s="3461"/>
      <c r="I113" s="3461"/>
      <c r="J113" s="3461"/>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3314</v>
      </c>
      <c r="B116" s="3112">
        <f>G3</f>
        <v>1</v>
      </c>
      <c r="C116" s="3097" t="s">
        <v>3315</v>
      </c>
      <c r="D116" s="3098">
        <f>SUMPRODUCT((A118:A122=F116)*(B117:M117=H116)*B118:M122)</f>
        <v>0.57150000000000001</v>
      </c>
      <c r="E116" s="161" t="s">
        <v>3316</v>
      </c>
      <c r="F116" s="3099" t="str">
        <f>E2</f>
        <v>工业</v>
      </c>
      <c r="G116" s="161" t="s">
        <v>3317</v>
      </c>
      <c r="H116" s="3099" t="str">
        <f>G2</f>
        <v>九级</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3331</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3332</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8" thickBot="1">
      <c r="A121" s="3108" t="s">
        <v>3333</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2614</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000-000000000000}">
      <formula1>"500米范围内,500-1000米,1000米以外"</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61:C69 C72:C80 C50:C58 C83:C91 C93:C101"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15" t="s">
        <v>1775</v>
      </c>
      <c r="Q4" s="3416"/>
      <c r="R4" s="3421" t="s">
        <v>1771</v>
      </c>
      <c r="S4" s="3422"/>
      <c r="T4" s="3421" t="s">
        <v>1772</v>
      </c>
      <c r="U4" s="3422"/>
      <c r="V4" s="3397" t="s">
        <v>1773</v>
      </c>
      <c r="W4" s="3397"/>
      <c r="X4" s="1264"/>
      <c r="Y4" s="3421" t="s">
        <v>1775</v>
      </c>
      <c r="Z4" s="3422"/>
      <c r="AA4" s="3408" t="s">
        <v>1771</v>
      </c>
      <c r="AB4" s="3409" t="s">
        <v>1772</v>
      </c>
      <c r="AC4" s="3408" t="s">
        <v>1773</v>
      </c>
    </row>
    <row r="5" spans="1:29">
      <c r="A5" s="347"/>
      <c r="B5" s="348"/>
      <c r="C5" s="3429" t="s">
        <v>1673</v>
      </c>
      <c r="D5" s="3430"/>
      <c r="E5" s="3436" t="s">
        <v>1674</v>
      </c>
      <c r="F5" s="3437"/>
      <c r="G5" s="3429" t="s">
        <v>1675</v>
      </c>
      <c r="H5" s="3430"/>
      <c r="I5" s="3429" t="s">
        <v>1676</v>
      </c>
      <c r="J5" s="3430"/>
      <c r="K5" s="536"/>
      <c r="L5" s="2484"/>
      <c r="M5" s="2485"/>
      <c r="N5" s="2485"/>
      <c r="O5" s="2485"/>
      <c r="P5" s="3417"/>
      <c r="Q5" s="3418"/>
      <c r="R5" s="3423"/>
      <c r="S5" s="3424"/>
      <c r="T5" s="3423"/>
      <c r="U5" s="3424"/>
      <c r="V5" s="3397"/>
      <c r="W5" s="3397"/>
      <c r="X5" s="1264"/>
      <c r="Y5" s="3423"/>
      <c r="Z5" s="3424"/>
      <c r="AA5" s="3409"/>
      <c r="AB5" s="3409"/>
      <c r="AC5" s="3409"/>
    </row>
    <row r="6" spans="1:29" ht="15" thickBot="1">
      <c r="A6" s="349"/>
      <c r="B6" s="350"/>
      <c r="C6" s="3477" t="s">
        <v>1919</v>
      </c>
      <c r="D6" s="3478"/>
      <c r="E6" s="3479" t="s">
        <v>1919</v>
      </c>
      <c r="F6" s="3480"/>
      <c r="G6" s="3477" t="s">
        <v>1919</v>
      </c>
      <c r="H6" s="3478"/>
      <c r="I6" s="3477" t="s">
        <v>1919</v>
      </c>
      <c r="J6" s="3478"/>
      <c r="K6" s="536" t="s">
        <v>1678</v>
      </c>
      <c r="L6" s="2484"/>
      <c r="M6" s="2485"/>
      <c r="N6" s="2485"/>
      <c r="O6" s="2485"/>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431" t="s">
        <v>1680</v>
      </c>
      <c r="Q7" s="3433"/>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431" t="s">
        <v>1683</v>
      </c>
      <c r="Q8" s="3432"/>
      <c r="R8" s="663" t="s">
        <v>14</v>
      </c>
      <c r="S8" s="664">
        <f t="shared" si="0"/>
        <v>0</v>
      </c>
      <c r="T8" s="663" t="s">
        <v>14</v>
      </c>
      <c r="U8" s="664">
        <f t="shared" si="1"/>
        <v>0</v>
      </c>
      <c r="V8" s="663" t="s">
        <v>14</v>
      </c>
      <c r="W8" s="664">
        <f t="shared" si="2"/>
        <v>0</v>
      </c>
      <c r="X8" s="665"/>
      <c r="Y8" s="3431" t="s">
        <v>1683</v>
      </c>
      <c r="Z8" s="3432"/>
      <c r="AA8" s="50" t="e">
        <f t="shared" ref="AA8:AA40" si="3">D8/F8</f>
        <v>#DIV/0!</v>
      </c>
      <c r="AB8" s="50" t="e">
        <f t="shared" ref="AB8:AB40" si="4">D8/H8</f>
        <v>#DIV/0!</v>
      </c>
      <c r="AC8" s="50" t="e">
        <f t="shared" ref="AC8:AC40" si="5">D8/J8</f>
        <v>#DIV/0!</v>
      </c>
    </row>
    <row r="9" spans="1:29" s="101"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96"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130</v>
      </c>
      <c r="G10" s="370"/>
      <c r="H10" s="118">
        <f>ROUND(100/'数据-取费表'!G16,0)</f>
        <v>130</v>
      </c>
      <c r="I10" s="370"/>
      <c r="J10" s="118">
        <f>ROUND(100/'数据-取费表'!G16,0)</f>
        <v>130</v>
      </c>
      <c r="K10" s="591"/>
      <c r="L10" s="2487"/>
      <c r="M10" s="2488"/>
      <c r="N10" s="2488"/>
      <c r="O10" s="2539"/>
      <c r="P10" s="3396"/>
      <c r="Q10" s="529" t="str">
        <f t="shared" si="6"/>
        <v>土地使用年限（年）</v>
      </c>
      <c r="R10" s="663" t="s">
        <v>14</v>
      </c>
      <c r="S10" s="664">
        <f t="shared" si="0"/>
        <v>130</v>
      </c>
      <c r="T10" s="663" t="s">
        <v>14</v>
      </c>
      <c r="U10" s="664">
        <f t="shared" si="1"/>
        <v>130</v>
      </c>
      <c r="V10" s="663" t="s">
        <v>14</v>
      </c>
      <c r="W10" s="664">
        <f t="shared" si="2"/>
        <v>130</v>
      </c>
      <c r="X10" s="665"/>
      <c r="Y10" s="3271"/>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396"/>
      <c r="Q11" s="529" t="str">
        <f t="shared" si="6"/>
        <v>容积率</v>
      </c>
      <c r="R11" s="663" t="s">
        <v>14</v>
      </c>
      <c r="S11" s="664" t="e">
        <f t="shared" si="0"/>
        <v>#N/A</v>
      </c>
      <c r="T11" s="663" t="s">
        <v>14</v>
      </c>
      <c r="U11" s="664" t="e">
        <f t="shared" si="1"/>
        <v>#N/A</v>
      </c>
      <c r="V11" s="663" t="s">
        <v>14</v>
      </c>
      <c r="W11" s="664" t="e">
        <f t="shared" si="2"/>
        <v>#N/A</v>
      </c>
      <c r="X11" s="665"/>
      <c r="Y11" s="327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396"/>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396"/>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396"/>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398" t="s">
        <v>1691</v>
      </c>
      <c r="Q15" s="1262" t="str">
        <f t="shared" si="6"/>
        <v>产业集聚程度</v>
      </c>
      <c r="R15" s="666" t="s">
        <v>14</v>
      </c>
      <c r="S15" s="667">
        <f t="shared" si="0"/>
        <v>100</v>
      </c>
      <c r="T15" s="666" t="s">
        <v>14</v>
      </c>
      <c r="U15" s="667">
        <f t="shared" si="1"/>
        <v>100</v>
      </c>
      <c r="V15" s="666" t="s">
        <v>14</v>
      </c>
      <c r="W15" s="667">
        <f t="shared" si="2"/>
        <v>100</v>
      </c>
      <c r="X15" s="1264"/>
      <c r="Y15" s="3398"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399"/>
      <c r="Q16" s="1262"/>
      <c r="R16" s="666"/>
      <c r="S16" s="667"/>
      <c r="T16" s="666"/>
      <c r="U16" s="667"/>
      <c r="V16" s="666"/>
      <c r="W16" s="667"/>
      <c r="X16" s="1264"/>
      <c r="Y16" s="3399"/>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399"/>
      <c r="Q17" s="1262" t="str">
        <f>B17</f>
        <v>交通便捷度</v>
      </c>
      <c r="R17" s="666" t="s">
        <v>14</v>
      </c>
      <c r="S17" s="667">
        <f>F17</f>
        <v>100</v>
      </c>
      <c r="T17" s="666" t="s">
        <v>14</v>
      </c>
      <c r="U17" s="667">
        <f>H17</f>
        <v>100</v>
      </c>
      <c r="V17" s="666" t="s">
        <v>14</v>
      </c>
      <c r="W17" s="667">
        <f>J17</f>
        <v>100</v>
      </c>
      <c r="X17" s="1264"/>
      <c r="Y17" s="3399"/>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399"/>
      <c r="Q18" s="1262"/>
      <c r="R18" s="666"/>
      <c r="S18" s="667"/>
      <c r="T18" s="666"/>
      <c r="U18" s="667"/>
      <c r="V18" s="666"/>
      <c r="W18" s="667"/>
      <c r="X18" s="1264"/>
      <c r="Y18" s="3399"/>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399"/>
      <c r="Q19" s="1262" t="str">
        <f t="shared" ref="Q19:Q33" si="8">B19</f>
        <v>区域土地利用方向</v>
      </c>
      <c r="R19" s="666" t="s">
        <v>14</v>
      </c>
      <c r="S19" s="667">
        <f>F19</f>
        <v>100</v>
      </c>
      <c r="T19" s="666" t="s">
        <v>14</v>
      </c>
      <c r="U19" s="667">
        <f>H19</f>
        <v>100</v>
      </c>
      <c r="V19" s="666" t="s">
        <v>14</v>
      </c>
      <c r="W19" s="667">
        <f>J19</f>
        <v>100</v>
      </c>
      <c r="X19" s="1264"/>
      <c r="Y19" s="3399"/>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399"/>
      <c r="Q20" s="1262"/>
      <c r="R20" s="666"/>
      <c r="S20" s="667"/>
      <c r="T20" s="666"/>
      <c r="U20" s="667"/>
      <c r="V20" s="666"/>
      <c r="W20" s="667"/>
      <c r="X20" s="1264"/>
      <c r="Y20" s="3399"/>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399"/>
      <c r="Q21" s="1262" t="str">
        <f t="shared" si="8"/>
        <v>环境状况</v>
      </c>
      <c r="R21" s="666" t="s">
        <v>14</v>
      </c>
      <c r="S21" s="667">
        <f>F21</f>
        <v>100</v>
      </c>
      <c r="T21" s="666" t="s">
        <v>14</v>
      </c>
      <c r="U21" s="667">
        <f>H21</f>
        <v>100</v>
      </c>
      <c r="V21" s="666" t="s">
        <v>14</v>
      </c>
      <c r="W21" s="667">
        <f>J21</f>
        <v>100</v>
      </c>
      <c r="X21" s="1264"/>
      <c r="Y21" s="3399"/>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399"/>
      <c r="Q22" s="1262"/>
      <c r="R22" s="666"/>
      <c r="S22" s="667"/>
      <c r="T22" s="666"/>
      <c r="U22" s="667"/>
      <c r="V22" s="666"/>
      <c r="W22" s="667"/>
      <c r="X22" s="1264"/>
      <c r="Y22" s="3399"/>
      <c r="Z22" s="1263"/>
      <c r="AA22" s="1263">
        <v>1</v>
      </c>
      <c r="AB22" s="1263">
        <v>1</v>
      </c>
      <c r="AC22" s="1263">
        <v>1</v>
      </c>
    </row>
    <row r="23" spans="1:29" s="101"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399"/>
      <c r="Q23" s="529" t="str">
        <f t="shared" si="8"/>
        <v>公共配套设施</v>
      </c>
      <c r="R23" s="663" t="s">
        <v>14</v>
      </c>
      <c r="S23" s="664">
        <f>F23</f>
        <v>100</v>
      </c>
      <c r="T23" s="663" t="s">
        <v>14</v>
      </c>
      <c r="U23" s="664">
        <f>H23</f>
        <v>100</v>
      </c>
      <c r="V23" s="663" t="s">
        <v>14</v>
      </c>
      <c r="W23" s="664">
        <f>J23</f>
        <v>100</v>
      </c>
      <c r="X23" s="665"/>
      <c r="Y23" s="3399"/>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6"/>
      <c r="M24" s="2438"/>
      <c r="N24" s="2438"/>
      <c r="O24" s="2538"/>
      <c r="P24" s="3399"/>
      <c r="Q24" s="529"/>
      <c r="R24" s="663"/>
      <c r="S24" s="664"/>
      <c r="T24" s="663"/>
      <c r="U24" s="664"/>
      <c r="V24" s="663"/>
      <c r="W24" s="664"/>
      <c r="X24" s="665"/>
      <c r="Y24" s="3399"/>
      <c r="Z24" s="50"/>
      <c r="AA24" s="50">
        <v>1</v>
      </c>
      <c r="AB24" s="50">
        <v>1</v>
      </c>
      <c r="AC24" s="50">
        <v>1</v>
      </c>
    </row>
    <row r="25" spans="1:29" s="101"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399"/>
      <c r="Q25" s="529" t="str">
        <f t="shared" ref="Q25" si="9">B25</f>
        <v>基础设施水平</v>
      </c>
      <c r="R25" s="663" t="s">
        <v>14</v>
      </c>
      <c r="S25" s="664">
        <f>F25</f>
        <v>100</v>
      </c>
      <c r="T25" s="663" t="s">
        <v>14</v>
      </c>
      <c r="U25" s="664">
        <f>H25</f>
        <v>100</v>
      </c>
      <c r="V25" s="663" t="s">
        <v>14</v>
      </c>
      <c r="W25" s="664">
        <f>J25</f>
        <v>100</v>
      </c>
      <c r="X25" s="665"/>
      <c r="Y25" s="3399"/>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6"/>
      <c r="M26" s="2438"/>
      <c r="N26" s="2438"/>
      <c r="O26" s="2538"/>
      <c r="P26" s="3399"/>
      <c r="Q26" s="529"/>
      <c r="R26" s="663"/>
      <c r="S26" s="664"/>
      <c r="T26" s="663"/>
      <c r="U26" s="664"/>
      <c r="V26" s="663"/>
      <c r="W26" s="664"/>
      <c r="X26" s="665"/>
      <c r="Y26" s="3399"/>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39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9"/>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399"/>
      <c r="Q28" s="1262" t="str">
        <f t="shared" si="8"/>
        <v>毗邻道路的类型与等级</v>
      </c>
      <c r="R28" s="666" t="s">
        <v>14</v>
      </c>
      <c r="S28" s="667">
        <f t="shared" si="10"/>
        <v>100</v>
      </c>
      <c r="T28" s="666" t="s">
        <v>14</v>
      </c>
      <c r="U28" s="667">
        <f t="shared" si="11"/>
        <v>100</v>
      </c>
      <c r="V28" s="666" t="s">
        <v>14</v>
      </c>
      <c r="W28" s="667">
        <f t="shared" si="12"/>
        <v>100</v>
      </c>
      <c r="X28" s="1264"/>
      <c r="Y28" s="3399"/>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399"/>
      <c r="Q29" s="1262"/>
      <c r="R29" s="666"/>
      <c r="S29" s="667"/>
      <c r="T29" s="666"/>
      <c r="U29" s="667"/>
      <c r="V29" s="666"/>
      <c r="W29" s="667"/>
      <c r="X29" s="1264"/>
      <c r="Y29" s="3399"/>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399"/>
      <c r="Q30" s="1262" t="str">
        <f t="shared" si="8"/>
        <v>土地级别</v>
      </c>
      <c r="R30" s="666" t="s">
        <v>14</v>
      </c>
      <c r="S30" s="667">
        <f t="shared" si="10"/>
        <v>100</v>
      </c>
      <c r="T30" s="666" t="s">
        <v>14</v>
      </c>
      <c r="U30" s="667">
        <f t="shared" si="11"/>
        <v>100</v>
      </c>
      <c r="V30" s="666" t="s">
        <v>14</v>
      </c>
      <c r="W30" s="667">
        <f t="shared" si="12"/>
        <v>100</v>
      </c>
      <c r="X30" s="1264"/>
      <c r="Y30" s="339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399"/>
      <c r="Q31" s="1262">
        <f t="shared" si="8"/>
        <v>111</v>
      </c>
      <c r="R31" s="666" t="s">
        <v>14</v>
      </c>
      <c r="S31" s="667">
        <f t="shared" si="10"/>
        <v>100</v>
      </c>
      <c r="T31" s="666" t="s">
        <v>14</v>
      </c>
      <c r="U31" s="667">
        <f t="shared" si="11"/>
        <v>100</v>
      </c>
      <c r="V31" s="666" t="s">
        <v>14</v>
      </c>
      <c r="W31" s="667">
        <f t="shared" si="12"/>
        <v>100</v>
      </c>
      <c r="X31" s="1264"/>
      <c r="Y31" s="3399"/>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53" t="s">
        <v>1696</v>
      </c>
      <c r="Q32" s="1262">
        <f t="shared" si="8"/>
        <v>111</v>
      </c>
      <c r="R32" s="666" t="s">
        <v>14</v>
      </c>
      <c r="S32" s="667">
        <f t="shared" si="10"/>
        <v>100</v>
      </c>
      <c r="T32" s="666" t="s">
        <v>14</v>
      </c>
      <c r="U32" s="667">
        <f t="shared" si="11"/>
        <v>100</v>
      </c>
      <c r="V32" s="666" t="s">
        <v>14</v>
      </c>
      <c r="W32" s="667">
        <f t="shared" si="12"/>
        <v>100</v>
      </c>
      <c r="X32" s="1264"/>
      <c r="Y32" s="3403"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03"/>
      <c r="Q33" s="1262">
        <f t="shared" si="8"/>
        <v>111</v>
      </c>
      <c r="R33" s="668" t="s">
        <v>14</v>
      </c>
      <c r="S33" s="669">
        <f t="shared" si="10"/>
        <v>100</v>
      </c>
      <c r="T33" s="668" t="s">
        <v>14</v>
      </c>
      <c r="U33" s="669">
        <f t="shared" si="11"/>
        <v>100</v>
      </c>
      <c r="V33" s="668" t="s">
        <v>14</v>
      </c>
      <c r="W33" s="669">
        <f t="shared" si="12"/>
        <v>100</v>
      </c>
      <c r="X33" s="670"/>
      <c r="Y33" s="3403"/>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03"/>
      <c r="Q34" s="1262" t="str">
        <f>B34</f>
        <v>宗地面积</v>
      </c>
      <c r="R34" s="666" t="s">
        <v>14</v>
      </c>
      <c r="S34" s="667" t="e">
        <f t="shared" si="10"/>
        <v>#N/A</v>
      </c>
      <c r="T34" s="666" t="s">
        <v>14</v>
      </c>
      <c r="U34" s="667" t="e">
        <f t="shared" si="11"/>
        <v>#N/A</v>
      </c>
      <c r="V34" s="666" t="s">
        <v>14</v>
      </c>
      <c r="W34" s="667" t="e">
        <f t="shared" si="12"/>
        <v>#N/A</v>
      </c>
      <c r="X34" s="1264"/>
      <c r="Y34" s="3403"/>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403"/>
      <c r="Q35" s="1262" t="str">
        <f t="shared" ref="Q35:Q40" si="14">B35</f>
        <v>宗地形状</v>
      </c>
      <c r="R35" s="666" t="s">
        <v>14</v>
      </c>
      <c r="S35" s="667">
        <f t="shared" si="10"/>
        <v>100</v>
      </c>
      <c r="T35" s="666" t="s">
        <v>14</v>
      </c>
      <c r="U35" s="667">
        <f t="shared" si="11"/>
        <v>100</v>
      </c>
      <c r="V35" s="666" t="s">
        <v>14</v>
      </c>
      <c r="W35" s="667">
        <f t="shared" si="12"/>
        <v>100</v>
      </c>
      <c r="X35" s="1264"/>
      <c r="Y35" s="3403"/>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403"/>
      <c r="Q36" s="1262" t="str">
        <f t="shared" si="14"/>
        <v>宗地开发程度</v>
      </c>
      <c r="R36" s="663" t="s">
        <v>14</v>
      </c>
      <c r="S36" s="664">
        <f t="shared" si="10"/>
        <v>100</v>
      </c>
      <c r="T36" s="663" t="s">
        <v>14</v>
      </c>
      <c r="U36" s="664">
        <f t="shared" si="11"/>
        <v>100</v>
      </c>
      <c r="V36" s="663" t="s">
        <v>14</v>
      </c>
      <c r="W36" s="664">
        <f t="shared" si="12"/>
        <v>100</v>
      </c>
      <c r="X36" s="665"/>
      <c r="Y36" s="3403"/>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403" t="s">
        <v>1696</v>
      </c>
      <c r="Q37" s="1262" t="str">
        <f t="shared" si="14"/>
        <v>工程地质条件</v>
      </c>
      <c r="R37" s="666" t="s">
        <v>14</v>
      </c>
      <c r="S37" s="667">
        <f t="shared" si="10"/>
        <v>100</v>
      </c>
      <c r="T37" s="666" t="s">
        <v>14</v>
      </c>
      <c r="U37" s="667">
        <f t="shared" si="11"/>
        <v>100</v>
      </c>
      <c r="V37" s="666" t="s">
        <v>14</v>
      </c>
      <c r="W37" s="667">
        <f t="shared" si="12"/>
        <v>100</v>
      </c>
      <c r="X37" s="1264"/>
      <c r="Y37" s="3403"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03"/>
      <c r="Q38" s="1262">
        <f t="shared" si="14"/>
        <v>111</v>
      </c>
      <c r="R38" s="666" t="s">
        <v>14</v>
      </c>
      <c r="S38" s="667">
        <f t="shared" si="10"/>
        <v>100</v>
      </c>
      <c r="T38" s="666" t="s">
        <v>14</v>
      </c>
      <c r="U38" s="667">
        <f t="shared" si="11"/>
        <v>100</v>
      </c>
      <c r="V38" s="666" t="s">
        <v>14</v>
      </c>
      <c r="W38" s="667">
        <f t="shared" si="12"/>
        <v>100</v>
      </c>
      <c r="X38" s="1264"/>
      <c r="Y38" s="3403"/>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03"/>
      <c r="Q39" s="1262">
        <f t="shared" si="14"/>
        <v>111</v>
      </c>
      <c r="R39" s="666" t="s">
        <v>14</v>
      </c>
      <c r="S39" s="667">
        <f t="shared" si="10"/>
        <v>100</v>
      </c>
      <c r="T39" s="666" t="s">
        <v>14</v>
      </c>
      <c r="U39" s="667">
        <f t="shared" si="11"/>
        <v>100</v>
      </c>
      <c r="V39" s="666" t="s">
        <v>14</v>
      </c>
      <c r="W39" s="667">
        <f t="shared" si="12"/>
        <v>100</v>
      </c>
      <c r="X39" s="1264"/>
      <c r="Y39" s="3403"/>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03"/>
      <c r="Q40" s="1262">
        <f t="shared" si="14"/>
        <v>111</v>
      </c>
      <c r="R40" s="668" t="s">
        <v>14</v>
      </c>
      <c r="S40" s="669">
        <f t="shared" si="10"/>
        <v>100</v>
      </c>
      <c r="T40" s="668" t="s">
        <v>14</v>
      </c>
      <c r="U40" s="669">
        <f t="shared" si="11"/>
        <v>100</v>
      </c>
      <c r="V40" s="668" t="s">
        <v>14</v>
      </c>
      <c r="W40" s="669">
        <f t="shared" si="12"/>
        <v>100</v>
      </c>
      <c r="X40" s="670"/>
      <c r="Y40" s="3403"/>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2"/>
      <c r="M41" s="2485"/>
      <c r="N41" s="2485"/>
      <c r="O41" s="2485"/>
      <c r="P41" s="3396" t="str">
        <f>A41</f>
        <v>成交单价</v>
      </c>
      <c r="Q41" s="3396"/>
      <c r="R41" s="3397">
        <f>E41</f>
        <v>0</v>
      </c>
      <c r="S41" s="3397"/>
      <c r="T41" s="3397">
        <f>G41</f>
        <v>0</v>
      </c>
      <c r="U41" s="3397"/>
      <c r="V41" s="3397">
        <f>I41</f>
        <v>0</v>
      </c>
      <c r="W41" s="3397"/>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396" t="str">
        <f>A42</f>
        <v>比较价值（元/平方米）</v>
      </c>
      <c r="Q42" s="3396"/>
      <c r="R42" s="3455" t="e">
        <f>ROUND(PRODUCT(R41,AA7:AA40),0)</f>
        <v>#DIV/0!</v>
      </c>
      <c r="S42" s="3455"/>
      <c r="T42" s="3455" t="e">
        <f>ROUND(PRODUCT(T41,AB7:AB40),0)</f>
        <v>#DIV/0!</v>
      </c>
      <c r="U42" s="3455"/>
      <c r="V42" s="3455" t="e">
        <f>ROUND(PRODUCT(V41,AC7:AC40),0)</f>
        <v>#DIV/0!</v>
      </c>
      <c r="W42" s="3455"/>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2"/>
      <c r="M43" s="2485"/>
      <c r="N43" s="2485"/>
      <c r="O43" s="2485"/>
      <c r="P43" s="3393" t="str">
        <f>A43</f>
        <v>估价对象XX用房的比较价值（楼面单价，元/平方米）</v>
      </c>
      <c r="Q43" s="3394"/>
      <c r="R43" s="3456" t="e">
        <f>ROUND(IF(D42="简单平均",AVERAGE(R42:W42),R42*F42+T42*H42+V42*J42),0)</f>
        <v>#DIV/0!</v>
      </c>
      <c r="S43" s="3456"/>
      <c r="T43" s="3456"/>
      <c r="U43" s="3456"/>
      <c r="V43" s="3456"/>
      <c r="W43" s="3456"/>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30" t="s">
        <v>1883</v>
      </c>
      <c r="D50" s="1831" t="s">
        <v>1884</v>
      </c>
      <c r="E50" s="605" t="s">
        <v>1885</v>
      </c>
      <c r="F50" s="606" t="s">
        <v>1886</v>
      </c>
      <c r="G50" s="3411" t="s">
        <v>1887</v>
      </c>
      <c r="H50" s="3457"/>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1605.46</v>
      </c>
      <c r="F51" s="610" t="e">
        <f t="shared" ref="F51:F60" si="15">ROUND(B51*E51/10000,0)</f>
        <v>#DIV/0!</v>
      </c>
      <c r="G51" s="3407"/>
      <c r="H51" s="3396"/>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v>
      </c>
      <c r="D52" s="890">
        <v>0.25</v>
      </c>
      <c r="E52" s="613"/>
      <c r="F52" s="610" t="e">
        <f t="shared" si="15"/>
        <v>#DIV/0!</v>
      </c>
      <c r="G52" s="2748" t="s">
        <v>1892</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v>
      </c>
      <c r="D53" s="890">
        <v>0.25</v>
      </c>
      <c r="E53" s="613"/>
      <c r="F53" s="610"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v>
      </c>
      <c r="D54" s="890">
        <v>0.25</v>
      </c>
      <c r="E54" s="613"/>
      <c r="F54" s="610"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1" customFormat="1" ht="1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4.4">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84" t="s">
        <v>2084</v>
      </c>
      <c r="D1" s="3485"/>
      <c r="E1" s="3485"/>
      <c r="F1" s="3485"/>
      <c r="G1" s="3485"/>
      <c r="H1" s="3485"/>
      <c r="I1" s="3485"/>
      <c r="J1" s="3485"/>
      <c r="K1" s="3485"/>
      <c r="L1" s="3485"/>
      <c r="M1" s="3485"/>
      <c r="N1" s="3485"/>
      <c r="O1" s="3485"/>
      <c r="P1" s="3485"/>
      <c r="Q1" s="3485"/>
      <c r="R1" s="3485"/>
      <c r="S1" s="348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81" t="s">
        <v>27</v>
      </c>
      <c r="D22" s="3482"/>
      <c r="E22" s="3482"/>
      <c r="F22" s="3482"/>
      <c r="G22" s="3482"/>
      <c r="H22" s="3482"/>
      <c r="I22" s="3482"/>
      <c r="J22" s="3482"/>
      <c r="K22" s="3482"/>
      <c r="L22" s="3482"/>
      <c r="M22" s="3482"/>
      <c r="N22" s="3482"/>
      <c r="O22" s="3482"/>
      <c r="P22" s="3482"/>
      <c r="Q22" s="348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134</v>
      </c>
      <c r="C2" s="1983" t="s">
        <v>2074</v>
      </c>
      <c r="D2" s="1983" t="s">
        <v>2075</v>
      </c>
      <c r="E2" s="2396">
        <f ca="1">SUMIF(E6:E13,"&lt;&gt;#ref!",E6:E13)</f>
        <v>1605.46</v>
      </c>
      <c r="F2" s="2542"/>
      <c r="G2" s="2542"/>
      <c r="H2" s="2542"/>
      <c r="I2" s="2542"/>
      <c r="J2" s="2542"/>
      <c r="K2" s="2542"/>
      <c r="L2" s="2542"/>
      <c r="M2" s="2542"/>
      <c r="N2" s="2542"/>
      <c r="O2" s="2542"/>
      <c r="P2" s="2542"/>
    </row>
    <row r="3" spans="1:16" ht="15.6">
      <c r="A3" s="1983" t="s">
        <v>2076</v>
      </c>
      <c r="B3" s="2386">
        <f ca="1">ROUND(B2*10000/E2,0)</f>
        <v>835</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134</v>
      </c>
      <c r="C6" s="1983" t="s">
        <v>2074</v>
      </c>
      <c r="D6" s="2542"/>
      <c r="E6" s="2396">
        <f ca="1">SUMIF(INDIRECT("'"&amp;A6&amp;"'"&amp;"!C:C"),"建筑面积",INDIRECT("'"&amp;A6&amp;"'"&amp;"!D:D"))</f>
        <v>1605.46</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K27"/>
  <sheetViews>
    <sheetView workbookViewId="0">
      <selection activeCell="C8" sqref="C8"/>
    </sheetView>
  </sheetViews>
  <sheetFormatPr defaultRowHeight="14.4"/>
  <cols>
    <col min="1" max="1" width="10.6640625" customWidth="1"/>
    <col min="2" max="2" width="22.44140625" customWidth="1"/>
    <col min="3" max="3" width="18.77734375" customWidth="1"/>
    <col min="4" max="4" width="17.109375" customWidth="1"/>
    <col min="7" max="7" width="13.88671875" customWidth="1"/>
    <col min="10" max="11" width="10.44140625" bestFit="1" customWidth="1"/>
  </cols>
  <sheetData>
    <row r="1" spans="1:11" ht="18">
      <c r="A1" s="3159" t="s">
        <v>3439</v>
      </c>
    </row>
    <row r="2" spans="1:11" ht="18">
      <c r="A2" s="3159" t="s">
        <v>3440</v>
      </c>
      <c r="G2" s="1404" t="s">
        <v>3485</v>
      </c>
    </row>
    <row r="3" spans="1:11" ht="18">
      <c r="A3" s="3159" t="s">
        <v>3441</v>
      </c>
    </row>
    <row r="4" spans="1:11" ht="17.399999999999999">
      <c r="A4" s="3160" t="s">
        <v>3442</v>
      </c>
    </row>
    <row r="5" spans="1:11" ht="17.399999999999999">
      <c r="A5" s="3161" t="s">
        <v>3443</v>
      </c>
    </row>
    <row r="6" spans="1:11" ht="17.399999999999999">
      <c r="A6" s="3161" t="s">
        <v>3444</v>
      </c>
    </row>
    <row r="7" spans="1:11" ht="17.399999999999999">
      <c r="A7" s="3161" t="s">
        <v>3445</v>
      </c>
    </row>
    <row r="8" spans="1:11" ht="17.399999999999999">
      <c r="A8" s="3161" t="s">
        <v>3446</v>
      </c>
    </row>
    <row r="12" spans="1:11">
      <c r="B12" s="3163" t="s">
        <v>3447</v>
      </c>
      <c r="C12" s="3163" t="s">
        <v>3448</v>
      </c>
      <c r="D12" s="3163" t="s">
        <v>3449</v>
      </c>
      <c r="E12" s="3163" t="s">
        <v>2545</v>
      </c>
      <c r="F12" s="3163" t="s">
        <v>3450</v>
      </c>
      <c r="G12" s="3163" t="s">
        <v>3451</v>
      </c>
      <c r="H12" s="3163" t="s">
        <v>3452</v>
      </c>
      <c r="I12" s="3163" t="s">
        <v>3453</v>
      </c>
      <c r="J12" s="3163" t="s">
        <v>3454</v>
      </c>
      <c r="K12" s="3164"/>
    </row>
    <row r="13" spans="1:11" s="3162" customFormat="1" ht="43.2">
      <c r="B13" s="3165" t="s">
        <v>3456</v>
      </c>
      <c r="C13" s="3165" t="s">
        <v>3455</v>
      </c>
      <c r="D13" s="3165" t="s">
        <v>3457</v>
      </c>
      <c r="E13" s="3165" t="s">
        <v>3458</v>
      </c>
      <c r="F13" s="3166">
        <v>1946.52</v>
      </c>
      <c r="G13" s="3165" t="s">
        <v>3459</v>
      </c>
      <c r="H13" s="3166">
        <v>6</v>
      </c>
      <c r="I13" s="3167" t="s">
        <v>3460</v>
      </c>
      <c r="J13" s="3168">
        <v>36367</v>
      </c>
      <c r="K13" s="3169">
        <v>54629</v>
      </c>
    </row>
    <row r="15" spans="1:11">
      <c r="B15" s="3487" t="s">
        <v>3479</v>
      </c>
      <c r="C15" s="3163" t="s">
        <v>3461</v>
      </c>
      <c r="D15" s="3164">
        <v>341.06</v>
      </c>
      <c r="G15" s="1404" t="s">
        <v>3488</v>
      </c>
      <c r="H15">
        <f>D15</f>
        <v>341.06</v>
      </c>
    </row>
    <row r="16" spans="1:11">
      <c r="B16" s="3488"/>
      <c r="C16" s="3163" t="s">
        <v>3462</v>
      </c>
      <c r="D16" s="3164">
        <v>338.69</v>
      </c>
      <c r="G16" s="3170" t="s">
        <v>3489</v>
      </c>
      <c r="H16" s="3171">
        <f>D16+D17+D18+D19+D20</f>
        <v>1605.46</v>
      </c>
    </row>
    <row r="17" spans="1:8">
      <c r="B17" s="3488"/>
      <c r="C17" s="3163" t="s">
        <v>3463</v>
      </c>
      <c r="D17" s="3164">
        <v>338.69</v>
      </c>
      <c r="G17" s="1404" t="s">
        <v>3490</v>
      </c>
      <c r="H17">
        <f>H15+H16</f>
        <v>1946.52</v>
      </c>
    </row>
    <row r="18" spans="1:8">
      <c r="B18" s="3488"/>
      <c r="C18" s="3163" t="s">
        <v>3464</v>
      </c>
      <c r="D18" s="3164">
        <v>338.69</v>
      </c>
    </row>
    <row r="19" spans="1:8">
      <c r="B19" s="3488"/>
      <c r="C19" s="3163" t="s">
        <v>3465</v>
      </c>
      <c r="D19" s="3164">
        <v>338.69</v>
      </c>
    </row>
    <row r="20" spans="1:8">
      <c r="B20" s="3488"/>
      <c r="C20" s="3163" t="s">
        <v>3466</v>
      </c>
      <c r="D20" s="3164">
        <v>250.7</v>
      </c>
    </row>
    <row r="21" spans="1:8">
      <c r="B21" s="3488"/>
      <c r="C21" s="3163" t="s">
        <v>2594</v>
      </c>
      <c r="D21" s="3164">
        <f>SUM(D15:D20)</f>
        <v>1946.5200000000002</v>
      </c>
    </row>
    <row r="25" spans="1:8">
      <c r="A25" s="3173" t="s">
        <v>3478</v>
      </c>
    </row>
    <row r="26" spans="1:8">
      <c r="A26" s="3163" t="s">
        <v>3480</v>
      </c>
      <c r="B26" s="3164"/>
      <c r="C26" s="3163" t="s">
        <v>3481</v>
      </c>
      <c r="D26" s="3163" t="s">
        <v>3482</v>
      </c>
      <c r="E26" s="3164"/>
      <c r="F26" s="1404" t="s">
        <v>3483</v>
      </c>
    </row>
    <row r="27" spans="1:8">
      <c r="A27" s="3172">
        <v>44927</v>
      </c>
      <c r="B27" s="3172">
        <v>45657</v>
      </c>
      <c r="C27" s="3164">
        <v>160000</v>
      </c>
      <c r="D27" s="3164">
        <f>D17</f>
        <v>338.69</v>
      </c>
      <c r="E27" s="3163" t="s">
        <v>3463</v>
      </c>
      <c r="F27">
        <f>C27/365/D27</f>
        <v>1.2942695809842677</v>
      </c>
    </row>
  </sheetData>
  <mergeCells count="1">
    <mergeCell ref="B15:B21"/>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
  <sheetViews>
    <sheetView topLeftCell="A10" workbookViewId="0">
      <selection activeCell="P42" sqref="P42"/>
    </sheetView>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98" t="s">
        <v>2609</v>
      </c>
      <c r="B20" s="3493" t="s">
        <v>2630</v>
      </c>
      <c r="C20" s="2840" t="s">
        <v>2441</v>
      </c>
      <c r="D20" s="2841"/>
      <c r="E20" s="2842">
        <v>1</v>
      </c>
      <c r="F20" s="2843" t="s">
        <v>2442</v>
      </c>
      <c r="G20" s="2843"/>
    </row>
    <row r="21" spans="1:13" ht="19.5" customHeight="1">
      <c r="A21" s="3499"/>
      <c r="B21" s="3492"/>
      <c r="C21" s="2844" t="s">
        <v>2443</v>
      </c>
      <c r="D21" s="2845"/>
      <c r="E21" s="2846">
        <v>1</v>
      </c>
      <c r="F21" s="2843" t="s">
        <v>2444</v>
      </c>
      <c r="G21" s="2843"/>
    </row>
    <row r="22" spans="1:13" ht="19.5" customHeight="1">
      <c r="A22" s="3499"/>
      <c r="B22" s="3492"/>
      <c r="C22" s="2844" t="s">
        <v>2445</v>
      </c>
      <c r="D22" s="2845"/>
      <c r="E22" s="2846">
        <v>0.9</v>
      </c>
      <c r="F22" s="2843" t="s">
        <v>2446</v>
      </c>
      <c r="G22" s="2843"/>
    </row>
    <row r="23" spans="1:13" ht="19.5" customHeight="1">
      <c r="A23" s="3499"/>
      <c r="B23" s="3492"/>
      <c r="C23" s="2844" t="s">
        <v>2447</v>
      </c>
      <c r="D23" s="2845"/>
      <c r="E23" s="2846">
        <v>0.9</v>
      </c>
      <c r="F23" s="2843" t="s">
        <v>2448</v>
      </c>
      <c r="G23" s="2843"/>
    </row>
    <row r="24" spans="1:13" ht="19.5" customHeight="1">
      <c r="A24" s="3499"/>
      <c r="B24" s="3492"/>
      <c r="C24" s="2844" t="s">
        <v>2449</v>
      </c>
      <c r="D24" s="2845"/>
      <c r="E24" s="2846">
        <v>0.8</v>
      </c>
      <c r="F24" s="2843" t="s">
        <v>2450</v>
      </c>
      <c r="G24" s="2843"/>
    </row>
    <row r="25" spans="1:13" ht="19.5" customHeight="1" thickBot="1">
      <c r="A25" s="3500"/>
      <c r="B25" s="3494"/>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95" t="s">
        <v>2633</v>
      </c>
      <c r="B27" s="3493" t="s">
        <v>2614</v>
      </c>
      <c r="C27" s="2840" t="s">
        <v>2454</v>
      </c>
      <c r="D27" s="2841"/>
      <c r="E27" s="2842">
        <v>1</v>
      </c>
      <c r="F27" s="2843" t="s">
        <v>2455</v>
      </c>
      <c r="G27" s="2843"/>
    </row>
    <row r="28" spans="1:13" ht="19.5" customHeight="1">
      <c r="A28" s="3496"/>
      <c r="B28" s="3492"/>
      <c r="C28" s="2844" t="s">
        <v>2456</v>
      </c>
      <c r="D28" s="2845"/>
      <c r="E28" s="2846">
        <v>1</v>
      </c>
      <c r="F28" s="2843" t="s">
        <v>2457</v>
      </c>
      <c r="G28" s="2843"/>
    </row>
    <row r="29" spans="1:13" ht="19.5" customHeight="1">
      <c r="A29" s="3496"/>
      <c r="B29" s="3492"/>
      <c r="C29" s="2844" t="s">
        <v>2458</v>
      </c>
      <c r="D29" s="2845"/>
      <c r="E29" s="2846">
        <v>0.8</v>
      </c>
      <c r="F29" s="2843" t="s">
        <v>2459</v>
      </c>
      <c r="G29" s="2843"/>
    </row>
    <row r="30" spans="1:13" ht="19.5" customHeight="1">
      <c r="A30" s="3496"/>
      <c r="B30" s="3492"/>
      <c r="C30" s="2844" t="s">
        <v>2460</v>
      </c>
      <c r="D30" s="2845"/>
      <c r="E30" s="2846">
        <v>0.8</v>
      </c>
      <c r="F30" s="2843" t="s">
        <v>2461</v>
      </c>
      <c r="G30" s="2843"/>
    </row>
    <row r="31" spans="1:13" ht="19.5" customHeight="1">
      <c r="A31" s="3496"/>
      <c r="B31" s="3492"/>
      <c r="C31" s="2844" t="s">
        <v>2462</v>
      </c>
      <c r="D31" s="2845"/>
      <c r="E31" s="2846">
        <v>0.8</v>
      </c>
      <c r="F31" s="2843" t="s">
        <v>2463</v>
      </c>
      <c r="G31" s="2843"/>
    </row>
    <row r="32" spans="1:13" ht="19.5" customHeight="1">
      <c r="A32" s="3496"/>
      <c r="B32" s="3492"/>
      <c r="C32" s="2844" t="s">
        <v>2464</v>
      </c>
      <c r="D32" s="2845"/>
      <c r="E32" s="2846">
        <v>0.7</v>
      </c>
      <c r="F32" s="2843" t="s">
        <v>2465</v>
      </c>
      <c r="G32" s="2843"/>
    </row>
    <row r="33" spans="1:7" ht="19.5" customHeight="1">
      <c r="A33" s="3496"/>
      <c r="B33" s="3492"/>
      <c r="C33" s="2844" t="s">
        <v>2466</v>
      </c>
      <c r="D33" s="2845"/>
      <c r="E33" s="2846">
        <v>0.8</v>
      </c>
      <c r="F33" s="2843" t="s">
        <v>2467</v>
      </c>
      <c r="G33" s="2843"/>
    </row>
    <row r="34" spans="1:7" ht="19.5" customHeight="1">
      <c r="A34" s="3496"/>
      <c r="B34" s="3492"/>
      <c r="C34" s="2844" t="s">
        <v>2468</v>
      </c>
      <c r="D34" s="2845"/>
      <c r="E34" s="2846">
        <v>0.6</v>
      </c>
      <c r="F34" s="2843" t="s">
        <v>2469</v>
      </c>
      <c r="G34" s="2843"/>
    </row>
    <row r="35" spans="1:7" ht="19.5" customHeight="1">
      <c r="A35" s="3496"/>
      <c r="B35" s="3492"/>
      <c r="C35" s="2844" t="s">
        <v>2470</v>
      </c>
      <c r="D35" s="2845"/>
      <c r="E35" s="2846">
        <v>0.2</v>
      </c>
      <c r="F35" s="2843" t="s">
        <v>2471</v>
      </c>
      <c r="G35" s="2843"/>
    </row>
    <row r="36" spans="1:7" ht="19.5" customHeight="1">
      <c r="A36" s="3496"/>
      <c r="B36" s="3492"/>
      <c r="C36" s="2844" t="s">
        <v>2472</v>
      </c>
      <c r="D36" s="2845"/>
      <c r="E36" s="2846">
        <v>0.2</v>
      </c>
      <c r="F36" s="2843" t="s">
        <v>2473</v>
      </c>
      <c r="G36" s="2843"/>
    </row>
    <row r="37" spans="1:7" ht="19.5" customHeight="1">
      <c r="A37" s="3496"/>
      <c r="B37" s="3490" t="s">
        <v>2634</v>
      </c>
      <c r="C37" s="2844" t="s">
        <v>2474</v>
      </c>
      <c r="D37" s="2845"/>
      <c r="E37" s="2846">
        <v>0.6</v>
      </c>
      <c r="F37" s="2843" t="s">
        <v>2475</v>
      </c>
      <c r="G37" s="2843"/>
    </row>
    <row r="38" spans="1:7" ht="19.5" customHeight="1">
      <c r="A38" s="3496"/>
      <c r="B38" s="3492"/>
      <c r="C38" s="2844" t="s">
        <v>2476</v>
      </c>
      <c r="D38" s="2845"/>
      <c r="E38" s="2846">
        <v>0.6</v>
      </c>
      <c r="F38" s="2843" t="s">
        <v>2477</v>
      </c>
      <c r="G38" s="2843"/>
    </row>
    <row r="39" spans="1:7" ht="19.5" customHeight="1" thickBot="1">
      <c r="A39" s="3497"/>
      <c r="B39" s="3494"/>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98" t="s">
        <v>2612</v>
      </c>
      <c r="B41" s="3493" t="s">
        <v>2636</v>
      </c>
      <c r="C41" s="2840" t="s">
        <v>2481</v>
      </c>
      <c r="D41" s="2841"/>
      <c r="E41" s="2842">
        <v>1</v>
      </c>
      <c r="F41" s="2843" t="s">
        <v>2482</v>
      </c>
      <c r="G41" s="2843"/>
    </row>
    <row r="42" spans="1:7" ht="19.5" customHeight="1">
      <c r="A42" s="3499"/>
      <c r="B42" s="3492"/>
      <c r="C42" s="2844" t="s">
        <v>2483</v>
      </c>
      <c r="D42" s="2845"/>
      <c r="E42" s="2846">
        <v>1</v>
      </c>
      <c r="F42" s="2843" t="s">
        <v>2484</v>
      </c>
      <c r="G42" s="2843"/>
    </row>
    <row r="43" spans="1:7" ht="19.5" customHeight="1">
      <c r="A43" s="3499"/>
      <c r="B43" s="3491"/>
      <c r="C43" s="2844" t="s">
        <v>2485</v>
      </c>
      <c r="D43" s="2845"/>
      <c r="E43" s="2846">
        <v>1.5</v>
      </c>
      <c r="F43" s="2843" t="s">
        <v>2486</v>
      </c>
      <c r="G43" s="2843"/>
    </row>
    <row r="44" spans="1:7" ht="19.5" customHeight="1">
      <c r="A44" s="3499"/>
      <c r="B44" s="2855" t="s">
        <v>2637</v>
      </c>
      <c r="C44" s="2844" t="s">
        <v>2638</v>
      </c>
      <c r="D44" s="2845"/>
      <c r="E44" s="2846">
        <v>2</v>
      </c>
      <c r="F44" s="2843" t="s">
        <v>2487</v>
      </c>
      <c r="G44" s="2843"/>
    </row>
    <row r="45" spans="1:7" ht="19.5" customHeight="1">
      <c r="A45" s="3499"/>
      <c r="B45" s="3490" t="s">
        <v>2639</v>
      </c>
      <c r="C45" s="2844" t="s">
        <v>2488</v>
      </c>
      <c r="D45" s="2845"/>
      <c r="E45" s="2846">
        <v>1</v>
      </c>
      <c r="F45" s="2843" t="s">
        <v>2489</v>
      </c>
      <c r="G45" s="2843"/>
    </row>
    <row r="46" spans="1:7" ht="19.5" customHeight="1">
      <c r="A46" s="3499"/>
      <c r="B46" s="3492"/>
      <c r="C46" s="2844" t="s">
        <v>2490</v>
      </c>
      <c r="D46" s="2845"/>
      <c r="E46" s="2846">
        <v>1</v>
      </c>
      <c r="F46" s="2843" t="s">
        <v>2491</v>
      </c>
      <c r="G46" s="2843"/>
    </row>
    <row r="47" spans="1:7" ht="19.5" customHeight="1">
      <c r="A47" s="3499"/>
      <c r="B47" s="3492"/>
      <c r="C47" s="2844" t="s">
        <v>2492</v>
      </c>
      <c r="D47" s="2845"/>
      <c r="E47" s="2846">
        <v>1</v>
      </c>
      <c r="F47" s="2843" t="s">
        <v>2493</v>
      </c>
      <c r="G47" s="2843"/>
    </row>
    <row r="48" spans="1:7" ht="19.5" customHeight="1">
      <c r="A48" s="3499"/>
      <c r="B48" s="3492"/>
      <c r="C48" s="2844" t="s">
        <v>2494</v>
      </c>
      <c r="D48" s="2845"/>
      <c r="E48" s="2846">
        <v>1</v>
      </c>
      <c r="F48" s="2843" t="s">
        <v>2495</v>
      </c>
      <c r="G48" s="2843"/>
    </row>
    <row r="49" spans="1:7" ht="19.5" customHeight="1">
      <c r="A49" s="3499"/>
      <c r="B49" s="3492"/>
      <c r="C49" s="2844" t="s">
        <v>2496</v>
      </c>
      <c r="D49" s="2845"/>
      <c r="E49" s="2846">
        <v>1</v>
      </c>
      <c r="F49" s="2843" t="s">
        <v>2497</v>
      </c>
      <c r="G49" s="2843"/>
    </row>
    <row r="50" spans="1:7" ht="19.5" customHeight="1">
      <c r="A50" s="3499"/>
      <c r="B50" s="3492"/>
      <c r="C50" s="2844" t="s">
        <v>2498</v>
      </c>
      <c r="D50" s="2845"/>
      <c r="E50" s="2846">
        <v>1</v>
      </c>
      <c r="F50" s="2843" t="s">
        <v>2499</v>
      </c>
      <c r="G50" s="2843"/>
    </row>
    <row r="51" spans="1:7" ht="19.5" customHeight="1" thickBot="1">
      <c r="A51" s="3500"/>
      <c r="B51" s="3494"/>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490" t="s">
        <v>2653</v>
      </c>
      <c r="C73" s="2829" t="s">
        <v>2654</v>
      </c>
      <c r="D73" s="2829" t="s">
        <v>2655</v>
      </c>
      <c r="E73" s="2855">
        <v>0.2</v>
      </c>
      <c r="F73" s="2855">
        <v>25</v>
      </c>
    </row>
    <row r="74" spans="1:7" ht="24">
      <c r="A74" s="2855">
        <v>2</v>
      </c>
      <c r="B74" s="3492"/>
      <c r="C74" s="2829" t="s">
        <v>2656</v>
      </c>
      <c r="D74" s="2829" t="s">
        <v>2657</v>
      </c>
      <c r="E74" s="2855">
        <v>0.2</v>
      </c>
      <c r="F74" s="2855">
        <v>25</v>
      </c>
    </row>
    <row r="75" spans="1:7" ht="24">
      <c r="A75" s="2855">
        <v>3</v>
      </c>
      <c r="B75" s="3492"/>
      <c r="C75" s="2829" t="s">
        <v>2658</v>
      </c>
      <c r="D75" s="2829" t="s">
        <v>2659</v>
      </c>
      <c r="E75" s="2855">
        <v>0.2</v>
      </c>
      <c r="F75" s="2855">
        <v>25</v>
      </c>
    </row>
    <row r="76" spans="1:7" ht="14.4">
      <c r="A76" s="2855">
        <v>4</v>
      </c>
      <c r="B76" s="3492"/>
      <c r="C76" s="2829" t="s">
        <v>2660</v>
      </c>
      <c r="D76" s="2829" t="s">
        <v>2661</v>
      </c>
      <c r="E76" s="2855">
        <v>0.15</v>
      </c>
      <c r="F76" s="2855">
        <v>20</v>
      </c>
    </row>
    <row r="77" spans="1:7" ht="24">
      <c r="A77" s="2855">
        <v>5</v>
      </c>
      <c r="B77" s="3492"/>
      <c r="C77" s="2829" t="s">
        <v>2662</v>
      </c>
      <c r="D77" s="2829" t="s">
        <v>2663</v>
      </c>
      <c r="E77" s="2855">
        <v>0.15</v>
      </c>
      <c r="F77" s="2855">
        <v>20</v>
      </c>
    </row>
    <row r="78" spans="1:7" ht="24">
      <c r="A78" s="2855">
        <v>6</v>
      </c>
      <c r="B78" s="3492"/>
      <c r="C78" s="2829" t="s">
        <v>2664</v>
      </c>
      <c r="D78" s="2829" t="s">
        <v>2665</v>
      </c>
      <c r="E78" s="2855">
        <v>0.15</v>
      </c>
      <c r="F78" s="2855">
        <v>20</v>
      </c>
    </row>
    <row r="79" spans="1:7" ht="24">
      <c r="A79" s="2855">
        <v>7</v>
      </c>
      <c r="B79" s="3492"/>
      <c r="C79" s="2829" t="s">
        <v>2666</v>
      </c>
      <c r="D79" s="2829" t="s">
        <v>2667</v>
      </c>
      <c r="E79" s="2855">
        <v>0.15</v>
      </c>
      <c r="F79" s="2855">
        <v>20</v>
      </c>
    </row>
    <row r="80" spans="1:7" ht="24">
      <c r="A80" s="2855">
        <v>8</v>
      </c>
      <c r="B80" s="3492"/>
      <c r="C80" s="2829" t="s">
        <v>2668</v>
      </c>
      <c r="D80" s="2829" t="s">
        <v>2669</v>
      </c>
      <c r="E80" s="2855">
        <v>0.1</v>
      </c>
      <c r="F80" s="2855">
        <v>15</v>
      </c>
    </row>
    <row r="81" spans="1:6" ht="24">
      <c r="A81" s="2855">
        <v>9</v>
      </c>
      <c r="B81" s="3492"/>
      <c r="C81" s="2829" t="s">
        <v>2670</v>
      </c>
      <c r="D81" s="2829" t="s">
        <v>2671</v>
      </c>
      <c r="E81" s="2855">
        <v>0.1</v>
      </c>
      <c r="F81" s="2855">
        <v>15</v>
      </c>
    </row>
    <row r="82" spans="1:6" ht="24">
      <c r="A82" s="2855">
        <v>10</v>
      </c>
      <c r="B82" s="3492"/>
      <c r="C82" s="2829" t="s">
        <v>2672</v>
      </c>
      <c r="D82" s="2829" t="s">
        <v>2673</v>
      </c>
      <c r="E82" s="2855">
        <v>0.1</v>
      </c>
      <c r="F82" s="2855">
        <v>15</v>
      </c>
    </row>
    <row r="83" spans="1:6" ht="24">
      <c r="A83" s="2855">
        <v>11</v>
      </c>
      <c r="B83" s="3492"/>
      <c r="C83" s="2829" t="s">
        <v>2674</v>
      </c>
      <c r="D83" s="2829" t="s">
        <v>2675</v>
      </c>
      <c r="E83" s="2855">
        <v>0.1</v>
      </c>
      <c r="F83" s="2855">
        <v>15</v>
      </c>
    </row>
    <row r="84" spans="1:6" ht="24">
      <c r="A84" s="2855">
        <v>12</v>
      </c>
      <c r="B84" s="3492"/>
      <c r="C84" s="2829" t="s">
        <v>2676</v>
      </c>
      <c r="D84" s="2829" t="s">
        <v>2677</v>
      </c>
      <c r="E84" s="2855">
        <v>0.1</v>
      </c>
      <c r="F84" s="2855">
        <v>15</v>
      </c>
    </row>
    <row r="85" spans="1:6" ht="24">
      <c r="A85" s="2855">
        <v>13</v>
      </c>
      <c r="B85" s="3492"/>
      <c r="C85" s="2829" t="s">
        <v>2678</v>
      </c>
      <c r="D85" s="2829" t="s">
        <v>2679</v>
      </c>
      <c r="E85" s="2855">
        <v>0.1</v>
      </c>
      <c r="F85" s="2855">
        <v>15</v>
      </c>
    </row>
    <row r="86" spans="1:6" ht="24">
      <c r="A86" s="2855">
        <v>14</v>
      </c>
      <c r="B86" s="3492"/>
      <c r="C86" s="2829" t="s">
        <v>2680</v>
      </c>
      <c r="D86" s="2829" t="s">
        <v>2681</v>
      </c>
      <c r="E86" s="2855">
        <v>0.1</v>
      </c>
      <c r="F86" s="2855">
        <v>15</v>
      </c>
    </row>
    <row r="87" spans="1:6" ht="24">
      <c r="A87" s="2855">
        <v>15</v>
      </c>
      <c r="B87" s="3492"/>
      <c r="C87" s="2829" t="s">
        <v>2682</v>
      </c>
      <c r="D87" s="2829" t="s">
        <v>2683</v>
      </c>
      <c r="E87" s="2855">
        <v>0.1</v>
      </c>
      <c r="F87" s="2855">
        <v>15</v>
      </c>
    </row>
    <row r="88" spans="1:6" ht="24">
      <c r="A88" s="2855">
        <v>16</v>
      </c>
      <c r="B88" s="3492"/>
      <c r="C88" s="2829" t="s">
        <v>2684</v>
      </c>
      <c r="D88" s="2829" t="s">
        <v>2685</v>
      </c>
      <c r="E88" s="2855">
        <v>0.1</v>
      </c>
      <c r="F88" s="2855">
        <v>15</v>
      </c>
    </row>
    <row r="89" spans="1:6" ht="24">
      <c r="A89" s="2855">
        <v>17</v>
      </c>
      <c r="B89" s="3491"/>
      <c r="C89" s="2829" t="s">
        <v>2686</v>
      </c>
      <c r="D89" s="2829" t="s">
        <v>2687</v>
      </c>
      <c r="E89" s="2855">
        <v>0.1</v>
      </c>
      <c r="F89" s="2855">
        <v>15</v>
      </c>
    </row>
    <row r="90" spans="1:6" ht="14.4">
      <c r="A90" s="2855">
        <v>18</v>
      </c>
      <c r="B90" s="3490" t="s">
        <v>2688</v>
      </c>
      <c r="C90" s="2829" t="s">
        <v>2689</v>
      </c>
      <c r="D90" s="2829" t="s">
        <v>2690</v>
      </c>
      <c r="E90" s="2855">
        <v>0.2</v>
      </c>
      <c r="F90" s="2855">
        <v>25</v>
      </c>
    </row>
    <row r="91" spans="1:6" ht="24">
      <c r="A91" s="2855">
        <v>19</v>
      </c>
      <c r="B91" s="3492"/>
      <c r="C91" s="2829" t="s">
        <v>2691</v>
      </c>
      <c r="D91" s="2829" t="s">
        <v>2692</v>
      </c>
      <c r="E91" s="2855">
        <v>0.2</v>
      </c>
      <c r="F91" s="2855">
        <v>25</v>
      </c>
    </row>
    <row r="92" spans="1:6" ht="14.4">
      <c r="A92" s="2855">
        <v>20</v>
      </c>
      <c r="B92" s="3492"/>
      <c r="C92" s="2829" t="s">
        <v>2693</v>
      </c>
      <c r="D92" s="2829" t="s">
        <v>2694</v>
      </c>
      <c r="E92" s="2855">
        <v>0.15</v>
      </c>
      <c r="F92" s="2855">
        <v>20</v>
      </c>
    </row>
    <row r="93" spans="1:6" ht="24">
      <c r="A93" s="2855">
        <v>21</v>
      </c>
      <c r="B93" s="3492"/>
      <c r="C93" s="2829" t="s">
        <v>2695</v>
      </c>
      <c r="D93" s="2829" t="s">
        <v>2696</v>
      </c>
      <c r="E93" s="2855">
        <v>0.15</v>
      </c>
      <c r="F93" s="2855">
        <v>20</v>
      </c>
    </row>
    <row r="94" spans="1:6" ht="24">
      <c r="A94" s="2855">
        <v>22</v>
      </c>
      <c r="B94" s="3492"/>
      <c r="C94" s="2829" t="s">
        <v>2697</v>
      </c>
      <c r="D94" s="2829" t="s">
        <v>2698</v>
      </c>
      <c r="E94" s="2855">
        <v>0.15</v>
      </c>
      <c r="F94" s="2855">
        <v>20</v>
      </c>
    </row>
    <row r="95" spans="1:6" ht="36">
      <c r="A95" s="2855">
        <v>23</v>
      </c>
      <c r="B95" s="3492"/>
      <c r="C95" s="2829" t="s">
        <v>2699</v>
      </c>
      <c r="D95" s="2829" t="s">
        <v>2700</v>
      </c>
      <c r="E95" s="2855">
        <v>0.15</v>
      </c>
      <c r="F95" s="2855">
        <v>20</v>
      </c>
    </row>
    <row r="96" spans="1:6" ht="24">
      <c r="A96" s="2855">
        <v>24</v>
      </c>
      <c r="B96" s="3492"/>
      <c r="C96" s="2829" t="s">
        <v>2701</v>
      </c>
      <c r="D96" s="2829" t="s">
        <v>2702</v>
      </c>
      <c r="E96" s="2855">
        <v>0.1</v>
      </c>
      <c r="F96" s="2855">
        <v>15</v>
      </c>
    </row>
    <row r="97" spans="1:6" ht="24">
      <c r="A97" s="2855">
        <v>25</v>
      </c>
      <c r="B97" s="3492"/>
      <c r="C97" s="2829" t="s">
        <v>2703</v>
      </c>
      <c r="D97" s="2829" t="s">
        <v>2704</v>
      </c>
      <c r="E97" s="2855">
        <v>0.1</v>
      </c>
      <c r="F97" s="2855">
        <v>15</v>
      </c>
    </row>
    <row r="98" spans="1:6" ht="24">
      <c r="A98" s="2855">
        <v>26</v>
      </c>
      <c r="B98" s="3492"/>
      <c r="C98" s="2829" t="s">
        <v>2705</v>
      </c>
      <c r="D98" s="2829" t="s">
        <v>2706</v>
      </c>
      <c r="E98" s="2855">
        <v>0.1</v>
      </c>
      <c r="F98" s="2855">
        <v>15</v>
      </c>
    </row>
    <row r="99" spans="1:6" ht="24">
      <c r="A99" s="2855">
        <v>27</v>
      </c>
      <c r="B99" s="3492"/>
      <c r="C99" s="2829" t="s">
        <v>2707</v>
      </c>
      <c r="D99" s="2829" t="s">
        <v>2708</v>
      </c>
      <c r="E99" s="2855">
        <v>0.1</v>
      </c>
      <c r="F99" s="2855">
        <v>15</v>
      </c>
    </row>
    <row r="100" spans="1:6" ht="24">
      <c r="A100" s="2855">
        <v>28</v>
      </c>
      <c r="B100" s="3492"/>
      <c r="C100" s="2829" t="s">
        <v>2709</v>
      </c>
      <c r="D100" s="2829" t="s">
        <v>2710</v>
      </c>
      <c r="E100" s="2855">
        <v>0.1</v>
      </c>
      <c r="F100" s="2855">
        <v>15</v>
      </c>
    </row>
    <row r="101" spans="1:6" ht="24">
      <c r="A101" s="2855">
        <v>29</v>
      </c>
      <c r="B101" s="3492"/>
      <c r="C101" s="2829" t="s">
        <v>2711</v>
      </c>
      <c r="D101" s="2829" t="s">
        <v>2712</v>
      </c>
      <c r="E101" s="2855">
        <v>0.1</v>
      </c>
      <c r="F101" s="2855">
        <v>15</v>
      </c>
    </row>
    <row r="102" spans="1:6" ht="24">
      <c r="A102" s="2855">
        <v>30</v>
      </c>
      <c r="B102" s="3492"/>
      <c r="C102" s="2829" t="s">
        <v>2713</v>
      </c>
      <c r="D102" s="2829" t="s">
        <v>2714</v>
      </c>
      <c r="E102" s="2855">
        <v>0.1</v>
      </c>
      <c r="F102" s="2855">
        <v>15</v>
      </c>
    </row>
    <row r="103" spans="1:6" ht="24">
      <c r="A103" s="2855">
        <v>31</v>
      </c>
      <c r="B103" s="3492"/>
      <c r="C103" s="2829" t="s">
        <v>2715</v>
      </c>
      <c r="D103" s="2829" t="s">
        <v>2716</v>
      </c>
      <c r="E103" s="2855">
        <v>0.1</v>
      </c>
      <c r="F103" s="2855">
        <v>15</v>
      </c>
    </row>
    <row r="104" spans="1:6" ht="24">
      <c r="A104" s="2855">
        <v>32</v>
      </c>
      <c r="B104" s="3492"/>
      <c r="C104" s="2829" t="s">
        <v>2717</v>
      </c>
      <c r="D104" s="2829" t="s">
        <v>2718</v>
      </c>
      <c r="E104" s="2855">
        <v>0.1</v>
      </c>
      <c r="F104" s="2855">
        <v>15</v>
      </c>
    </row>
    <row r="105" spans="1:6" ht="24">
      <c r="A105" s="2855">
        <v>33</v>
      </c>
      <c r="B105" s="3492"/>
      <c r="C105" s="2829" t="s">
        <v>2719</v>
      </c>
      <c r="D105" s="2829" t="s">
        <v>2720</v>
      </c>
      <c r="E105" s="2855">
        <v>0.1</v>
      </c>
      <c r="F105" s="2855">
        <v>15</v>
      </c>
    </row>
    <row r="106" spans="1:6" ht="24">
      <c r="A106" s="2855">
        <v>34</v>
      </c>
      <c r="B106" s="3491"/>
      <c r="C106" s="2829" t="s">
        <v>2721</v>
      </c>
      <c r="D106" s="2829" t="s">
        <v>2722</v>
      </c>
      <c r="E106" s="2855">
        <v>0.1</v>
      </c>
      <c r="F106" s="2855">
        <v>15</v>
      </c>
    </row>
    <row r="107" spans="1:6" ht="36">
      <c r="A107" s="2855">
        <v>35</v>
      </c>
      <c r="B107" s="3490" t="s">
        <v>2723</v>
      </c>
      <c r="C107" s="2855" t="s">
        <v>2724</v>
      </c>
      <c r="D107" s="2829" t="s">
        <v>2725</v>
      </c>
      <c r="E107" s="2855">
        <v>0.15</v>
      </c>
      <c r="F107" s="2855">
        <v>20</v>
      </c>
    </row>
    <row r="108" spans="1:6" ht="24">
      <c r="A108" s="2855">
        <v>36</v>
      </c>
      <c r="B108" s="3492"/>
      <c r="C108" s="2855" t="s">
        <v>2726</v>
      </c>
      <c r="D108" s="2829" t="s">
        <v>2727</v>
      </c>
      <c r="E108" s="2855">
        <v>0.15</v>
      </c>
      <c r="F108" s="2855">
        <v>20</v>
      </c>
    </row>
    <row r="109" spans="1:6" ht="24">
      <c r="A109" s="2855">
        <v>37</v>
      </c>
      <c r="B109" s="3492"/>
      <c r="C109" s="2855" t="s">
        <v>2728</v>
      </c>
      <c r="D109" s="2829" t="s">
        <v>2729</v>
      </c>
      <c r="E109" s="2855">
        <v>0.15</v>
      </c>
      <c r="F109" s="2855">
        <v>20</v>
      </c>
    </row>
    <row r="110" spans="1:6" ht="24">
      <c r="A110" s="2855">
        <v>38</v>
      </c>
      <c r="B110" s="3492"/>
      <c r="C110" s="2855" t="s">
        <v>2730</v>
      </c>
      <c r="D110" s="2829" t="s">
        <v>2731</v>
      </c>
      <c r="E110" s="2855">
        <v>0.1</v>
      </c>
      <c r="F110" s="2855">
        <v>15</v>
      </c>
    </row>
    <row r="111" spans="1:6" ht="24">
      <c r="A111" s="2855">
        <v>39</v>
      </c>
      <c r="B111" s="3492"/>
      <c r="C111" s="2855" t="s">
        <v>2732</v>
      </c>
      <c r="D111" s="2829" t="s">
        <v>2733</v>
      </c>
      <c r="E111" s="2855">
        <v>0.1</v>
      </c>
      <c r="F111" s="2855">
        <v>15</v>
      </c>
    </row>
    <row r="112" spans="1:6" ht="24">
      <c r="A112" s="2855">
        <v>40</v>
      </c>
      <c r="B112" s="3491"/>
      <c r="C112" s="2855" t="s">
        <v>2734</v>
      </c>
      <c r="D112" s="2829" t="s">
        <v>2735</v>
      </c>
      <c r="E112" s="2855">
        <v>0.1</v>
      </c>
      <c r="F112" s="2855">
        <v>15</v>
      </c>
    </row>
    <row r="113" spans="1:6" ht="24">
      <c r="A113" s="2855">
        <v>41</v>
      </c>
      <c r="B113" s="3489" t="s">
        <v>2736</v>
      </c>
      <c r="C113" s="2855" t="s">
        <v>2737</v>
      </c>
      <c r="D113" s="2829" t="s">
        <v>2738</v>
      </c>
      <c r="E113" s="2855">
        <v>0.1</v>
      </c>
      <c r="F113" s="2855">
        <v>15</v>
      </c>
    </row>
    <row r="114" spans="1:6" ht="24">
      <c r="A114" s="2855">
        <v>42</v>
      </c>
      <c r="B114" s="3489"/>
      <c r="C114" s="2855" t="s">
        <v>2739</v>
      </c>
      <c r="D114" s="2829" t="s">
        <v>2740</v>
      </c>
      <c r="E114" s="2855">
        <v>0.1</v>
      </c>
      <c r="F114" s="2855">
        <v>15</v>
      </c>
    </row>
    <row r="115" spans="1:6" ht="24">
      <c r="A115" s="2855">
        <v>43</v>
      </c>
      <c r="B115" s="3489"/>
      <c r="C115" s="2855" t="s">
        <v>2741</v>
      </c>
      <c r="D115" s="2829" t="s">
        <v>2742</v>
      </c>
      <c r="E115" s="2855">
        <v>0.1</v>
      </c>
      <c r="F115" s="2855">
        <v>15</v>
      </c>
    </row>
    <row r="116" spans="1:6" ht="24">
      <c r="A116" s="2855">
        <v>44</v>
      </c>
      <c r="B116" s="3490" t="s">
        <v>2743</v>
      </c>
      <c r="C116" s="2855" t="s">
        <v>2744</v>
      </c>
      <c r="D116" s="2829" t="s">
        <v>2745</v>
      </c>
      <c r="E116" s="2855">
        <v>0.1</v>
      </c>
      <c r="F116" s="2855">
        <v>15</v>
      </c>
    </row>
    <row r="117" spans="1:6" ht="24">
      <c r="A117" s="2855">
        <v>45</v>
      </c>
      <c r="B117" s="3491"/>
      <c r="C117" s="2829" t="s">
        <v>2746</v>
      </c>
      <c r="D117" s="2829" t="s">
        <v>2747</v>
      </c>
      <c r="E117" s="2855">
        <v>0.1</v>
      </c>
      <c r="F117" s="2855">
        <v>15</v>
      </c>
    </row>
    <row r="118" spans="1:6" ht="24">
      <c r="A118" s="2855">
        <v>46</v>
      </c>
      <c r="B118" s="3490" t="s">
        <v>2748</v>
      </c>
      <c r="C118" s="2855" t="s">
        <v>2749</v>
      </c>
      <c r="D118" s="2829" t="s">
        <v>2750</v>
      </c>
      <c r="E118" s="2855">
        <v>0.1</v>
      </c>
      <c r="F118" s="2855">
        <v>15</v>
      </c>
    </row>
    <row r="119" spans="1:6" ht="24">
      <c r="A119" s="2855">
        <v>47</v>
      </c>
      <c r="B119" s="3491"/>
      <c r="C119" s="2855" t="s">
        <v>2751</v>
      </c>
      <c r="D119" s="2829" t="s">
        <v>2752</v>
      </c>
      <c r="E119" s="2855">
        <v>0.1</v>
      </c>
      <c r="F119" s="2855">
        <v>15</v>
      </c>
    </row>
    <row r="120" spans="1:6" ht="24">
      <c r="A120" s="2855">
        <v>48</v>
      </c>
      <c r="B120" s="3490" t="s">
        <v>2753</v>
      </c>
      <c r="C120" s="2855" t="s">
        <v>2754</v>
      </c>
      <c r="D120" s="2829" t="s">
        <v>2755</v>
      </c>
      <c r="E120" s="2855">
        <v>0.1</v>
      </c>
      <c r="F120" s="2855">
        <v>15</v>
      </c>
    </row>
    <row r="121" spans="1:6" ht="24">
      <c r="A121" s="2855">
        <v>49</v>
      </c>
      <c r="B121" s="3491"/>
      <c r="C121" s="2855" t="s">
        <v>2756</v>
      </c>
      <c r="D121" s="2829" t="s">
        <v>2757</v>
      </c>
      <c r="E121" s="2855">
        <v>0.1</v>
      </c>
      <c r="F121" s="2855">
        <v>15</v>
      </c>
    </row>
    <row r="122" spans="1:6" ht="24">
      <c r="A122" s="2855">
        <v>50</v>
      </c>
      <c r="B122" s="3489" t="s">
        <v>2758</v>
      </c>
      <c r="C122" s="2855" t="s">
        <v>2759</v>
      </c>
      <c r="D122" s="2829" t="s">
        <v>2760</v>
      </c>
      <c r="E122" s="2855">
        <v>0.1</v>
      </c>
      <c r="F122" s="2855">
        <v>15</v>
      </c>
    </row>
    <row r="123" spans="1:6" ht="24">
      <c r="A123" s="2855">
        <v>51</v>
      </c>
      <c r="B123" s="3489"/>
      <c r="C123" s="2855" t="s">
        <v>2761</v>
      </c>
      <c r="D123" s="2829" t="s">
        <v>2762</v>
      </c>
      <c r="E123" s="2855">
        <v>0.1</v>
      </c>
      <c r="F123" s="2855">
        <v>15</v>
      </c>
    </row>
    <row r="124" spans="1:6" ht="24">
      <c r="A124" s="2855">
        <v>52</v>
      </c>
      <c r="B124" s="3489" t="s">
        <v>2763</v>
      </c>
      <c r="C124" s="2855" t="s">
        <v>2764</v>
      </c>
      <c r="D124" s="2829" t="s">
        <v>2765</v>
      </c>
      <c r="E124" s="2855">
        <v>0.1</v>
      </c>
      <c r="F124" s="2855">
        <v>15</v>
      </c>
    </row>
    <row r="125" spans="1:6" ht="24">
      <c r="A125" s="2855">
        <v>53</v>
      </c>
      <c r="B125" s="3489"/>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489" t="s">
        <v>2771</v>
      </c>
      <c r="C127" s="2855" t="s">
        <v>2772</v>
      </c>
      <c r="D127" s="2829" t="s">
        <v>2773</v>
      </c>
      <c r="E127" s="2855">
        <v>0.1</v>
      </c>
      <c r="F127" s="2855">
        <v>15</v>
      </c>
    </row>
    <row r="128" spans="1:6" ht="24">
      <c r="A128" s="2855">
        <v>56</v>
      </c>
      <c r="B128" s="3489"/>
      <c r="C128" s="2855" t="s">
        <v>2774</v>
      </c>
      <c r="D128" s="2829" t="s">
        <v>2775</v>
      </c>
      <c r="E128" s="2855">
        <v>0.1</v>
      </c>
      <c r="F128" s="2855">
        <v>15</v>
      </c>
    </row>
    <row r="129" spans="1:6" ht="24">
      <c r="A129" s="2855">
        <v>57</v>
      </c>
      <c r="B129" s="3489"/>
      <c r="C129" s="2855" t="s">
        <v>2776</v>
      </c>
      <c r="D129" s="2829" t="s">
        <v>2777</v>
      </c>
      <c r="E129" s="2855">
        <v>0.1</v>
      </c>
      <c r="F129" s="2855">
        <v>15</v>
      </c>
    </row>
    <row r="130" spans="1:6" ht="24">
      <c r="A130" s="2855">
        <v>58</v>
      </c>
      <c r="B130" s="3489" t="s">
        <v>2778</v>
      </c>
      <c r="C130" s="2855" t="s">
        <v>2779</v>
      </c>
      <c r="D130" s="2829" t="s">
        <v>2780</v>
      </c>
      <c r="E130" s="2855">
        <v>0.1</v>
      </c>
      <c r="F130" s="2855">
        <v>15</v>
      </c>
    </row>
    <row r="131" spans="1:6" ht="24">
      <c r="A131" s="2855">
        <v>59</v>
      </c>
      <c r="B131" s="3489"/>
      <c r="C131" s="2855" t="s">
        <v>2781</v>
      </c>
      <c r="D131" s="2829" t="s">
        <v>2782</v>
      </c>
      <c r="E131" s="2855">
        <v>0.1</v>
      </c>
      <c r="F131" s="2855">
        <v>15</v>
      </c>
    </row>
    <row r="132" spans="1:6" ht="24">
      <c r="A132" s="2855">
        <v>60</v>
      </c>
      <c r="B132" s="3490" t="s">
        <v>2783</v>
      </c>
      <c r="C132" s="2855" t="s">
        <v>2784</v>
      </c>
      <c r="D132" s="2829" t="s">
        <v>2785</v>
      </c>
      <c r="E132" s="2855">
        <v>0.1</v>
      </c>
      <c r="F132" s="2855">
        <v>15</v>
      </c>
    </row>
    <row r="133" spans="1:6" ht="24">
      <c r="A133" s="2855">
        <v>61</v>
      </c>
      <c r="B133" s="3491"/>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489" t="s">
        <v>2791</v>
      </c>
      <c r="C135" s="2855" t="s">
        <v>2792</v>
      </c>
      <c r="D135" s="2829" t="s">
        <v>2793</v>
      </c>
      <c r="E135" s="2855">
        <v>0.1</v>
      </c>
      <c r="F135" s="2855">
        <v>15</v>
      </c>
    </row>
    <row r="136" spans="1:6" ht="24">
      <c r="A136" s="2855">
        <v>64</v>
      </c>
      <c r="B136" s="3489"/>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7.399999999999999">
      <c r="A3" s="3185" t="str">
        <f>IF(项目基本情况!B9="房地产市场价值","估价结果一览表（市场价值不需“结果表-1”）","估价结果一览表")</f>
        <v>估价结果一览表</v>
      </c>
      <c r="B3" s="3185"/>
      <c r="C3" s="3185"/>
      <c r="D3" s="3185"/>
      <c r="E3" s="3185"/>
    </row>
    <row r="4" spans="1:5" ht="18" thickBot="1">
      <c r="A4" s="1390"/>
      <c r="B4" s="3183" t="s">
        <v>917</v>
      </c>
      <c r="C4" s="3183"/>
      <c r="D4" s="3183"/>
      <c r="E4" s="1390"/>
    </row>
    <row r="5" spans="1:5" ht="16.2" thickTop="1">
      <c r="B5" s="3181" t="s">
        <v>909</v>
      </c>
      <c r="C5" s="1391" t="s">
        <v>910</v>
      </c>
      <c r="D5" s="796">
        <f ca="1">结果表!H101</f>
        <v>981.24069999999995</v>
      </c>
    </row>
    <row r="6" spans="1:5" ht="31.2">
      <c r="B6" s="3181"/>
      <c r="C6" s="1391" t="s">
        <v>911</v>
      </c>
      <c r="D6" s="796" t="str">
        <f ca="1">NUMBERSTRING(INT(D5*10000),2)&amp;"元整"</f>
        <v>玖佰捌拾壹万贰仟肆佰零柒元整</v>
      </c>
    </row>
    <row r="7" spans="1:5" ht="15.6">
      <c r="B7" s="3186"/>
      <c r="C7" s="1392" t="s">
        <v>912</v>
      </c>
      <c r="D7" s="797">
        <f ca="1">结果表!H102</f>
        <v>5041</v>
      </c>
    </row>
    <row r="8" spans="1:5" ht="15.6">
      <c r="B8" s="3187" t="str">
        <f>结果表!E103</f>
        <v>2.估价师知悉的法定优先受偿款</v>
      </c>
      <c r="C8" s="1393" t="s">
        <v>913</v>
      </c>
      <c r="D8" s="797">
        <f>结果表!H103</f>
        <v>0</v>
      </c>
    </row>
    <row r="9" spans="1:5" ht="15.6">
      <c r="B9" s="3189"/>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0" t="str">
        <f>结果表!E107</f>
        <v>3.房地产抵押价值</v>
      </c>
      <c r="C13" s="1396" t="s">
        <v>910</v>
      </c>
      <c r="D13" s="799">
        <f ca="1">结果表!H107</f>
        <v>981.24069999999995</v>
      </c>
    </row>
    <row r="14" spans="1:5" ht="31.2">
      <c r="B14" s="3181"/>
      <c r="C14" s="1391" t="s">
        <v>911</v>
      </c>
      <c r="D14" s="796" t="str">
        <f ca="1">NUMBERSTRING(INT(D13*10000),2)&amp;"元整"</f>
        <v>玖佰捌拾壹万贰仟肆佰零柒元整</v>
      </c>
    </row>
    <row r="15" spans="1:5" ht="15.6">
      <c r="B15" s="3186"/>
      <c r="C15" s="1392" t="s">
        <v>921</v>
      </c>
      <c r="D15" s="805">
        <f ca="1">结果表!H108</f>
        <v>5041</v>
      </c>
    </row>
    <row r="16" spans="1:5" ht="15.6">
      <c r="B16" s="3187" t="str">
        <f>结果表!E109</f>
        <v>——</v>
      </c>
      <c r="C16" s="1396" t="s">
        <v>922</v>
      </c>
      <c r="D16" s="1397" t="str">
        <f>结果表!H109</f>
        <v>——</v>
      </c>
    </row>
    <row r="17" spans="1:5" ht="15.6">
      <c r="B17" s="3188"/>
      <c r="C17" s="1391" t="s">
        <v>923</v>
      </c>
      <c r="D17" s="796" t="e">
        <f>NUMBERSTRING(INT(D16*10000),2)&amp;"元整"</f>
        <v>#VALUE!</v>
      </c>
    </row>
    <row r="18" spans="1:5" ht="15.6">
      <c r="B18" s="3189"/>
      <c r="C18" s="1392" t="s">
        <v>912</v>
      </c>
      <c r="D18" s="805" t="str">
        <f>结果表!H110</f>
        <v>——</v>
      </c>
    </row>
    <row r="19" spans="1:5" ht="15.6">
      <c r="B19" s="3180" t="str">
        <f>结果表!E111</f>
        <v>——</v>
      </c>
      <c r="C19" s="1396" t="s">
        <v>910</v>
      </c>
      <c r="D19" s="797" t="str">
        <f>结果表!H111</f>
        <v>——</v>
      </c>
    </row>
    <row r="20" spans="1:5" ht="15.6">
      <c r="B20" s="3181"/>
      <c r="C20" s="1391" t="s">
        <v>923</v>
      </c>
      <c r="D20" s="796" t="e">
        <f>NUMBERSTRING(INT(D19*10000),2)&amp;"元整"</f>
        <v>#VALUE!</v>
      </c>
    </row>
    <row r="21" spans="1:5" ht="16.2" thickBot="1">
      <c r="B21" s="3182"/>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topLeftCell="A256" zoomScale="70" zoomScaleNormal="70" workbookViewId="0">
      <selection activeCell="J1" sqref="J1:J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1.2302</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1.1198999999999999</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26954</v>
      </c>
      <c r="C2" s="2" t="s">
        <v>106</v>
      </c>
      <c r="D2" s="190"/>
      <c r="E2" s="190"/>
      <c r="F2" s="190"/>
      <c r="G2" s="190"/>
    </row>
    <row r="3" spans="1:7" s="191" customFormat="1" ht="18" customHeight="1" thickBot="1">
      <c r="A3" s="194" t="s">
        <v>58</v>
      </c>
      <c r="B3" s="195">
        <f ca="1">ROUND(B2*10000/'数据-汇总表'!E3,0)</f>
        <v>138473</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16</v>
      </c>
      <c r="D10" s="794">
        <f>'数据-汇总表'!E6</f>
        <v>1946.52</v>
      </c>
      <c r="E10" s="216">
        <f>'数据-取费表'!B28</f>
        <v>80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39</v>
      </c>
      <c r="D19" s="203">
        <f>'数据-汇总表'!E3</f>
        <v>1946.52</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978</v>
      </c>
      <c r="D22" s="226">
        <f ca="1">C26</f>
        <v>5.0000000000000001E-4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966</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10</v>
      </c>
      <c r="D25" s="229"/>
      <c r="E25" s="232"/>
      <c r="F25" s="230"/>
      <c r="G25" s="233" t="s">
        <v>83</v>
      </c>
    </row>
    <row r="26" spans="1:7" s="205" customFormat="1">
      <c r="A26" s="733" t="s">
        <v>350</v>
      </c>
      <c r="B26" s="206" t="s">
        <v>422</v>
      </c>
      <c r="C26" s="229">
        <f ca="1">ROUND(IF('数据-取费表'!B22&lt;=1,F21*F22*'数据-取费表'!B23/2,F21*(POWER((1+F22),'数据-取费表'!B23/2)-1)),4)</f>
        <v>5.0000000000000001E-4</v>
      </c>
      <c r="D26" s="229"/>
      <c r="E26" s="232"/>
      <c r="F26" s="230"/>
      <c r="G26" s="234"/>
    </row>
    <row r="27" spans="1:7" s="205" customFormat="1" ht="26.4">
      <c r="A27" s="730" t="s">
        <v>342</v>
      </c>
      <c r="B27" s="235" t="s">
        <v>85</v>
      </c>
      <c r="C27" s="236">
        <f>C28</f>
        <v>2106</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2106</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26127</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768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681</v>
      </c>
      <c r="D34" s="208"/>
      <c r="E34" s="211"/>
      <c r="F34" s="248">
        <f>IF('数据-取费表'!B24=0,1,'数据-取费表'!N16)</f>
        <v>1</v>
      </c>
      <c r="G34" s="210" t="s">
        <v>89</v>
      </c>
    </row>
    <row r="35" spans="1:7" ht="13.5" customHeight="1">
      <c r="A35" s="733" t="s">
        <v>351</v>
      </c>
      <c r="B35" s="206" t="s">
        <v>33</v>
      </c>
      <c r="C35" s="211">
        <f>ROUND(C34*F35,0)</f>
        <v>34</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39</v>
      </c>
      <c r="D37" s="208">
        <f>'数据-汇总表'!E3</f>
        <v>1946.52</v>
      </c>
      <c r="E37" s="240">
        <f>'数据-取费表'!B35</f>
        <v>200</v>
      </c>
      <c r="F37" s="250"/>
      <c r="G37" s="252" t="s">
        <v>92</v>
      </c>
    </row>
    <row r="38" spans="1:7" ht="13.5" customHeight="1">
      <c r="A38" s="733" t="s">
        <v>354</v>
      </c>
      <c r="B38" s="206" t="s">
        <v>36</v>
      </c>
      <c r="C38" s="211">
        <f>ROUND(C34*F38,0)</f>
        <v>14</v>
      </c>
      <c r="D38" s="211"/>
      <c r="E38" s="211"/>
      <c r="F38" s="250">
        <f>'数据-取费表'!B36</f>
        <v>0.02</v>
      </c>
      <c r="G38" s="210" t="s">
        <v>90</v>
      </c>
    </row>
    <row r="39" spans="1:7" s="205" customFormat="1" ht="13.5" customHeight="1">
      <c r="A39" s="730" t="s">
        <v>338</v>
      </c>
      <c r="B39" s="201" t="s">
        <v>77</v>
      </c>
      <c r="C39" s="223">
        <f>ROUND(C33*F20,0)</f>
        <v>15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18</v>
      </c>
      <c r="D41" s="226">
        <f ca="1">C44</f>
        <v>5.0000000000000001E-4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18</v>
      </c>
      <c r="D42" s="229"/>
      <c r="E42" s="229"/>
      <c r="F42" s="230"/>
      <c r="G42" s="3364" t="s">
        <v>94</v>
      </c>
    </row>
    <row r="43" spans="1:7" ht="13.5" customHeight="1">
      <c r="A43" s="733" t="s">
        <v>347</v>
      </c>
      <c r="B43" s="206" t="s">
        <v>426</v>
      </c>
      <c r="C43" s="229">
        <f ca="1">ROUND(IF('数据-取费表'!B22&lt;=1,C39*F22*'数据-取费表'!B21/2,C39*(POWER((1+F22),'数据-取费表'!B21/2)-1)),0)</f>
        <v>0</v>
      </c>
      <c r="D43" s="229"/>
      <c r="E43" s="229"/>
      <c r="F43" s="230"/>
      <c r="G43" s="3365"/>
    </row>
    <row r="44" spans="1:7" ht="13.5" customHeight="1">
      <c r="A44" s="733" t="s">
        <v>348</v>
      </c>
      <c r="B44" s="206" t="s">
        <v>428</v>
      </c>
      <c r="C44" s="229">
        <f ca="1">ROUND(IF('数据-取费表'!B22&lt;=1,C40*F22*'数据-取费表'!B21/2,C40*(POWER((1+F22),'数据-取费表'!B21/2)-1)),4)</f>
        <v>5.0000000000000001E-4</v>
      </c>
      <c r="D44" s="229"/>
      <c r="E44" s="229"/>
      <c r="F44" s="230"/>
      <c r="G44" s="3366"/>
    </row>
    <row r="45" spans="1:7" s="205" customFormat="1" ht="13.5" customHeight="1">
      <c r="A45" s="730" t="s">
        <v>341</v>
      </c>
      <c r="B45" s="235" t="s">
        <v>85</v>
      </c>
      <c r="C45" s="236">
        <f>C46</f>
        <v>78</v>
      </c>
      <c r="D45" s="226">
        <f>C47</f>
        <v>2E-3</v>
      </c>
      <c r="E45" s="227" t="s">
        <v>102</v>
      </c>
      <c r="F45" s="237"/>
      <c r="G45" s="238" t="s">
        <v>434</v>
      </c>
    </row>
    <row r="46" spans="1:7" s="205" customFormat="1" ht="13.5" customHeight="1">
      <c r="A46" s="733" t="s">
        <v>349</v>
      </c>
      <c r="B46" s="239" t="s">
        <v>427</v>
      </c>
      <c r="C46" s="240">
        <f>ROUND((C33+C39)*F27,0)</f>
        <v>78</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951</v>
      </c>
      <c r="D49" s="223"/>
      <c r="E49" s="223"/>
      <c r="F49" s="255"/>
      <c r="G49" s="225" t="s">
        <v>435</v>
      </c>
    </row>
    <row r="50" spans="1:7" s="249" customFormat="1" ht="24">
      <c r="A50" s="730" t="s">
        <v>344</v>
      </c>
      <c r="B50" s="201" t="s">
        <v>97</v>
      </c>
      <c r="C50" s="223"/>
      <c r="D50" s="223"/>
      <c r="E50" s="223"/>
      <c r="F50" s="255">
        <f>IF('数据-取费表'!B24=0,'数据-取费表'!N16,1)</f>
        <v>0.87</v>
      </c>
      <c r="G50" s="238" t="s">
        <v>98</v>
      </c>
    </row>
    <row r="51" spans="1:7" ht="16.5" customHeight="1">
      <c r="A51" s="730" t="s">
        <v>345</v>
      </c>
      <c r="B51" s="201" t="s">
        <v>105</v>
      </c>
      <c r="C51" s="223">
        <f ca="1">ROUND(C49*F50,0)</f>
        <v>827</v>
      </c>
      <c r="D51" s="223"/>
      <c r="E51" s="223"/>
      <c r="F51" s="255"/>
      <c r="G51" s="225" t="s">
        <v>37</v>
      </c>
    </row>
    <row r="52" spans="1:7" s="199" customFormat="1" ht="16.8" thickBot="1">
      <c r="A52" s="256" t="s">
        <v>38</v>
      </c>
      <c r="B52" s="257"/>
      <c r="C52" s="258">
        <f ca="1">C31+C51</f>
        <v>26954</v>
      </c>
      <c r="D52" s="257"/>
      <c r="E52" s="257"/>
      <c r="F52" s="257"/>
      <c r="G52" s="259"/>
    </row>
    <row r="55" spans="1:7" ht="15">
      <c r="B55" s="261" t="s">
        <v>39</v>
      </c>
      <c r="C55" s="262"/>
    </row>
    <row r="56" spans="1:7">
      <c r="B56" s="264" t="s">
        <v>40</v>
      </c>
      <c r="C56" s="265">
        <f ca="1">ROUND(C51/C52,3)</f>
        <v>3.1E-2</v>
      </c>
    </row>
    <row r="57" spans="1:7">
      <c r="B57" s="264" t="s">
        <v>41</v>
      </c>
      <c r="C57" s="266">
        <f ca="1">1-C56</f>
        <v>0.96899999999999997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3" t="s">
        <v>2841</v>
      </c>
      <c r="B1" s="3503"/>
      <c r="C1" s="3503"/>
      <c r="D1" s="3503"/>
      <c r="E1" s="3503"/>
      <c r="F1" s="3503"/>
      <c r="G1" s="3504"/>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01"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502"/>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5" t="s">
        <v>3183</v>
      </c>
      <c r="B1" s="3505"/>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11"/>
  </cols>
  <sheetData>
    <row r="1" spans="1:6">
      <c r="A1" s="3506" t="s">
        <v>3234</v>
      </c>
      <c r="B1" s="3506"/>
      <c r="C1" s="3506"/>
      <c r="D1" s="3506"/>
      <c r="E1" s="3506"/>
      <c r="F1" s="3507"/>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45625</v>
      </c>
      <c r="B1" s="2927" t="s">
        <v>3384</v>
      </c>
      <c r="C1" s="2928"/>
      <c r="D1" s="2928"/>
      <c r="E1" s="2928"/>
      <c r="F1" s="2928"/>
      <c r="G1" s="2928"/>
      <c r="H1" s="2928"/>
      <c r="I1" s="2928"/>
      <c r="J1" s="2894"/>
      <c r="K1" s="2928" t="s">
        <v>454</v>
      </c>
      <c r="L1" s="2928"/>
      <c r="M1" s="2928"/>
      <c r="N1" s="2928"/>
      <c r="O1" s="2928"/>
      <c r="P1" s="2928"/>
      <c r="Q1" s="2894"/>
      <c r="R1" s="3508" t="s">
        <v>456</v>
      </c>
      <c r="S1" s="3509"/>
      <c r="T1" s="3509"/>
      <c r="U1" s="3509"/>
      <c r="V1" s="3509"/>
      <c r="W1" s="3509"/>
      <c r="X1" s="2894"/>
      <c r="Y1" s="3508" t="s">
        <v>457</v>
      </c>
      <c r="Z1" s="3509"/>
      <c r="AA1" s="3509"/>
      <c r="AB1" s="3509"/>
      <c r="AC1" s="3509"/>
      <c r="AD1" s="3509"/>
    </row>
    <row r="2" spans="1:30" s="2009" customFormat="1" ht="15" thickBot="1">
      <c r="B2" s="2879"/>
      <c r="C2" s="2880"/>
      <c r="D2" s="2010" t="s">
        <v>2812</v>
      </c>
      <c r="E2" s="2011" t="s">
        <v>2813</v>
      </c>
      <c r="F2" s="2011" t="s">
        <v>2814</v>
      </c>
      <c r="G2" s="2011" t="s">
        <v>2815</v>
      </c>
      <c r="H2" s="2011" t="s">
        <v>2816</v>
      </c>
      <c r="I2" s="2011" t="s">
        <v>2633</v>
      </c>
      <c r="J2" s="2881"/>
      <c r="K2" s="2010" t="s">
        <v>2812</v>
      </c>
      <c r="L2" s="2011" t="s">
        <v>2813</v>
      </c>
      <c r="M2" s="2011" t="s">
        <v>2814</v>
      </c>
      <c r="N2" s="2011" t="s">
        <v>2815</v>
      </c>
      <c r="O2" s="2011" t="s">
        <v>2817</v>
      </c>
      <c r="P2" s="2011" t="s">
        <v>2633</v>
      </c>
      <c r="Q2" s="2881"/>
      <c r="R2" s="2010" t="s">
        <v>2812</v>
      </c>
      <c r="S2" s="2011" t="s">
        <v>2813</v>
      </c>
      <c r="T2" s="2011" t="s">
        <v>2814</v>
      </c>
      <c r="U2" s="2011" t="s">
        <v>2818</v>
      </c>
      <c r="V2" s="2011" t="s">
        <v>2819</v>
      </c>
      <c r="W2" s="2011" t="s">
        <v>2633</v>
      </c>
      <c r="X2" s="2881"/>
      <c r="Y2" s="2010" t="s">
        <v>2812</v>
      </c>
      <c r="Z2" s="2011" t="s">
        <v>2813</v>
      </c>
      <c r="AA2" s="2011" t="s">
        <v>2814</v>
      </c>
      <c r="AB2" s="2011" t="s">
        <v>2820</v>
      </c>
      <c r="AC2" s="2011" t="s">
        <v>2819</v>
      </c>
      <c r="AD2" s="2011" t="s">
        <v>2633</v>
      </c>
    </row>
    <row r="3" spans="1:30" s="2884" customFormat="1" ht="13.2">
      <c r="A3" s="2882" t="s">
        <v>2821</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3380</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3389</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3.2">
      <c r="A7" s="2039" t="s">
        <v>3388</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3381</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3377</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3373</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3372</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3370</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3369</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3368</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3366</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3357</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2822</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2823</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2824</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2825</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3387</v>
      </c>
    </row>
    <row r="24" spans="1:30">
      <c r="I24" s="1404" t="s">
        <v>2827</v>
      </c>
    </row>
    <row r="26" spans="1:30" s="2008" customFormat="1" ht="13.2">
      <c r="B26" s="2927" t="s">
        <v>3385</v>
      </c>
      <c r="C26" s="2928"/>
      <c r="D26" s="2928"/>
      <c r="E26" s="2928"/>
      <c r="F26" s="2928"/>
      <c r="G26" s="2928"/>
      <c r="H26" s="2928"/>
      <c r="I26" s="2928"/>
      <c r="J26" s="2894"/>
      <c r="K26" s="2928" t="s">
        <v>2828</v>
      </c>
      <c r="L26" s="2928"/>
      <c r="M26" s="2928"/>
      <c r="N26" s="2928"/>
      <c r="O26" s="2928"/>
      <c r="P26" s="2928"/>
      <c r="Q26" s="2894"/>
      <c r="R26" s="3508" t="s">
        <v>2829</v>
      </c>
      <c r="S26" s="3509"/>
      <c r="T26" s="3509"/>
      <c r="U26" s="3509"/>
      <c r="V26" s="3509"/>
      <c r="W26" s="3509"/>
      <c r="X26" s="2894"/>
      <c r="Y26" s="3508" t="s">
        <v>2830</v>
      </c>
      <c r="Z26" s="3509"/>
      <c r="AA26" s="3509"/>
      <c r="AB26" s="3509"/>
      <c r="AC26" s="3509"/>
      <c r="AD26" s="3509"/>
    </row>
    <row r="27" spans="1:30" s="2009" customFormat="1" ht="15" thickBot="1">
      <c r="B27" s="2879"/>
      <c r="C27" s="2880"/>
      <c r="D27" s="2010" t="s">
        <v>2831</v>
      </c>
      <c r="E27" s="2011" t="s">
        <v>2832</v>
      </c>
      <c r="F27" s="2011" t="s">
        <v>2833</v>
      </c>
      <c r="G27" s="2011" t="s">
        <v>2834</v>
      </c>
      <c r="H27" s="2011"/>
      <c r="I27" s="2011" t="s">
        <v>2835</v>
      </c>
      <c r="J27" s="2881"/>
      <c r="K27" s="2010" t="s">
        <v>2831</v>
      </c>
      <c r="L27" s="2011" t="s">
        <v>2832</v>
      </c>
      <c r="M27" s="2011" t="s">
        <v>2833</v>
      </c>
      <c r="N27" s="2011" t="s">
        <v>2834</v>
      </c>
      <c r="O27" s="2011"/>
      <c r="P27" s="2011" t="s">
        <v>2835</v>
      </c>
      <c r="Q27" s="2881"/>
      <c r="R27" s="2010" t="s">
        <v>2831</v>
      </c>
      <c r="S27" s="2011" t="s">
        <v>2832</v>
      </c>
      <c r="T27" s="2011" t="s">
        <v>2833</v>
      </c>
      <c r="U27" s="2011" t="s">
        <v>2834</v>
      </c>
      <c r="V27" s="2011"/>
      <c r="W27" s="2011" t="s">
        <v>2835</v>
      </c>
      <c r="X27" s="2881"/>
      <c r="Y27" s="2010" t="s">
        <v>2831</v>
      </c>
      <c r="Z27" s="2011" t="s">
        <v>2832</v>
      </c>
      <c r="AA27" s="2011" t="s">
        <v>2833</v>
      </c>
      <c r="AB27" s="2011" t="s">
        <v>2834</v>
      </c>
      <c r="AC27" s="2011"/>
      <c r="AD27" s="2011" t="s">
        <v>2835</v>
      </c>
    </row>
    <row r="28" spans="1:30" s="2884" customFormat="1" ht="13.2">
      <c r="A28" s="2882" t="s">
        <v>2836</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3380</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3382</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3.2">
      <c r="A32" s="2039" t="s">
        <v>3375</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3383</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3376</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3374</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3372</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3371</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3369</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3368</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3367</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3357</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2837</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2838</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2839</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2840</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45625</v>
      </c>
      <c r="D1" s="1216" t="s">
        <v>603</v>
      </c>
      <c r="E1" s="1211">
        <f>'数据-取费表'!B22</f>
        <v>1.5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2311</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3"/>
      <c r="B3" s="3193"/>
      <c r="C3" s="3193"/>
      <c r="D3" s="800" t="s">
        <v>925</v>
      </c>
      <c r="E3" s="800" t="s">
        <v>931</v>
      </c>
      <c r="F3" s="800" t="s">
        <v>925</v>
      </c>
      <c r="G3" s="800" t="s">
        <v>926</v>
      </c>
      <c r="H3" s="800" t="s">
        <v>925</v>
      </c>
      <c r="I3" s="800" t="s">
        <v>926</v>
      </c>
    </row>
    <row r="4" spans="1:9" ht="45">
      <c r="A4" s="1402" t="str">
        <f>项目基本情况!S2</f>
        <v>北京市平谷区谷丰东路30号院14号楼-1至5层101房地产</v>
      </c>
      <c r="B4" s="800">
        <f>项目基本情况!C17</f>
        <v>1946.52</v>
      </c>
      <c r="C4" s="800">
        <f>项目基本情况!C18</f>
        <v>0</v>
      </c>
      <c r="D4" s="800">
        <f>结果表!D118</f>
        <v>0</v>
      </c>
      <c r="E4" s="800">
        <f>结果表!E118</f>
        <v>0</v>
      </c>
      <c r="F4" s="800">
        <f>结果表!F118</f>
        <v>0</v>
      </c>
      <c r="G4" s="800">
        <f>结果表!G118</f>
        <v>0</v>
      </c>
      <c r="H4" s="800">
        <f ca="1">结果表!H118</f>
        <v>981.24069999999995</v>
      </c>
      <c r="I4" s="800">
        <f ca="1">结果表!I118</f>
        <v>5041</v>
      </c>
    </row>
    <row r="5" spans="1:9" ht="30" customHeight="1">
      <c r="A5" s="3193" t="s">
        <v>927</v>
      </c>
      <c r="B5" s="3193"/>
      <c r="C5" s="3193"/>
      <c r="D5" s="3193" t="str">
        <f>结果表!D119</f>
        <v>零元整</v>
      </c>
      <c r="E5" s="3193"/>
      <c r="F5" s="3193" t="str">
        <f>结果表!F119</f>
        <v>零元整</v>
      </c>
      <c r="G5" s="3193"/>
      <c r="H5" s="3193" t="str">
        <f ca="1">结果表!H119</f>
        <v>玖佰捌拾壹万贰仟肆佰零柒元整</v>
      </c>
      <c r="I5" s="3193"/>
    </row>
    <row r="6" spans="1:9" ht="15.6">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6">
      <c r="A8" s="3192" t="str">
        <f>结果表!A122</f>
        <v>房地产抵押价值</v>
      </c>
      <c r="B8" s="3192"/>
      <c r="C8" s="3192"/>
      <c r="D8" s="3192">
        <f ca="1">结果表!D122</f>
        <v>981.24069999999995</v>
      </c>
      <c r="E8" s="3192"/>
      <c r="F8" s="3192"/>
      <c r="G8" s="3192"/>
      <c r="H8" s="3192"/>
      <c r="I8" s="3192"/>
    </row>
    <row r="9" spans="1:9" ht="15">
      <c r="A9" s="3193" t="s">
        <v>927</v>
      </c>
      <c r="B9" s="3193"/>
      <c r="C9" s="3193"/>
      <c r="D9" s="3193" t="str">
        <f ca="1">结果表!D123</f>
        <v>玖佰捌拾壹万贰仟肆佰零柒元整</v>
      </c>
      <c r="E9" s="3193"/>
      <c r="F9" s="3193"/>
      <c r="G9" s="3193"/>
      <c r="H9" s="3193"/>
      <c r="I9" s="3193"/>
    </row>
    <row r="10" spans="1:9" ht="15.6">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6">
      <c r="A12" s="3192" t="str">
        <f>结果表!A126</f>
        <v/>
      </c>
      <c r="B12" s="3192"/>
      <c r="C12" s="3192"/>
      <c r="D12" s="3192" t="str">
        <f>结果表!D126</f>
        <v>——</v>
      </c>
      <c r="E12" s="3192"/>
      <c r="F12" s="3192"/>
      <c r="G12" s="3192"/>
      <c r="H12" s="3192"/>
      <c r="I12" s="3192"/>
    </row>
    <row r="13" spans="1:9" ht="15.6" thickBot="1">
      <c r="A13" s="3190" t="s">
        <v>927</v>
      </c>
      <c r="B13" s="3190"/>
      <c r="C13" s="3190"/>
      <c r="D13" s="3190" t="e">
        <f>结果表!D127</f>
        <v>#VALUE!</v>
      </c>
      <c r="E13" s="3190"/>
      <c r="F13" s="3190"/>
      <c r="G13" s="3190"/>
      <c r="H13" s="3190"/>
      <c r="I13" s="3190"/>
    </row>
    <row r="14" spans="1:9" ht="14.4" thickTop="1">
      <c r="A14" s="3191" t="s">
        <v>932</v>
      </c>
      <c r="B14" s="3191"/>
      <c r="C14" s="3191"/>
      <c r="D14" s="3191"/>
      <c r="E14" s="3191"/>
      <c r="F14" s="3191"/>
      <c r="G14" s="3191"/>
      <c r="H14" s="3191"/>
      <c r="I14" s="3191"/>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5" t="s">
        <v>949</v>
      </c>
      <c r="B1" s="3205"/>
      <c r="C1" s="3205"/>
      <c r="D1" s="3205"/>
    </row>
    <row r="2" spans="1:4" ht="17.399999999999999">
      <c r="A2" s="3206" t="s">
        <v>933</v>
      </c>
      <c r="B2" s="3206"/>
      <c r="C2" s="3206"/>
      <c r="D2" s="3206"/>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7.399999999999999">
      <c r="A6" s="3206" t="s">
        <v>939</v>
      </c>
      <c r="B6" s="3206"/>
      <c r="C6" s="3206"/>
      <c r="D6" s="3206"/>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7"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3" t="s">
        <v>956</v>
      </c>
      <c r="B15" s="3208" t="s">
        <v>109</v>
      </c>
      <c r="C15" s="3209"/>
    </row>
    <row r="16" spans="1:7" ht="14.4">
      <c r="A16" s="3214"/>
      <c r="B16" s="3208" t="s">
        <v>42</v>
      </c>
      <c r="C16" s="3209"/>
    </row>
    <row r="17" spans="1:3" ht="14.4">
      <c r="A17" s="3214"/>
      <c r="B17" s="3211" t="s">
        <v>957</v>
      </c>
      <c r="C17" s="1428" t="s">
        <v>956</v>
      </c>
    </row>
    <row r="18" spans="1:3" ht="14.4">
      <c r="A18" s="3214"/>
      <c r="B18" s="3211"/>
      <c r="C18" s="1428" t="s">
        <v>958</v>
      </c>
    </row>
    <row r="19" spans="1:3" ht="14.4">
      <c r="A19" s="3214"/>
      <c r="B19" s="3211"/>
      <c r="C19" s="1428" t="s">
        <v>959</v>
      </c>
    </row>
    <row r="20" spans="1:3" ht="14.4">
      <c r="A20" s="3215"/>
      <c r="B20" s="3210" t="s">
        <v>960</v>
      </c>
      <c r="C20" s="3209"/>
    </row>
    <row r="21" spans="1:3" ht="14.4">
      <c r="A21" s="1429" t="s">
        <v>961</v>
      </c>
      <c r="B21" s="1430"/>
      <c r="C21" s="1431"/>
    </row>
    <row r="22" spans="1:3" ht="14.4">
      <c r="A22" s="3212" t="s">
        <v>962</v>
      </c>
      <c r="B22" s="3210" t="s">
        <v>963</v>
      </c>
      <c r="C22" s="3209"/>
    </row>
    <row r="23" spans="1:3" ht="14.4">
      <c r="A23" s="3212"/>
      <c r="B23" s="3210" t="s">
        <v>964</v>
      </c>
      <c r="C23" s="3209"/>
    </row>
    <row r="24" spans="1:3" ht="14.4">
      <c r="A24" s="3212"/>
      <c r="B24" s="3210" t="s">
        <v>965</v>
      </c>
      <c r="C24" s="3209"/>
    </row>
    <row r="25" spans="1:3" ht="14.4">
      <c r="A25" s="3212"/>
      <c r="B25" s="3211" t="s">
        <v>966</v>
      </c>
      <c r="C25" s="1428" t="s">
        <v>967</v>
      </c>
    </row>
    <row r="26" spans="1:3" ht="14.4">
      <c r="A26" s="3212"/>
      <c r="B26" s="3211"/>
      <c r="C26" s="1428" t="s">
        <v>968</v>
      </c>
    </row>
    <row r="27" spans="1:3" ht="14.4">
      <c r="A27" s="3212"/>
      <c r="B27" s="3211"/>
      <c r="C27" s="1428" t="s">
        <v>969</v>
      </c>
    </row>
    <row r="28" spans="1:3" ht="14.4">
      <c r="A28" s="3212"/>
      <c r="B28" s="3211"/>
      <c r="C28" s="1428" t="s">
        <v>970</v>
      </c>
    </row>
    <row r="29" spans="1:3" ht="14.4">
      <c r="A29" s="3212"/>
      <c r="B29" s="3211"/>
      <c r="C29" s="1428" t="s">
        <v>971</v>
      </c>
    </row>
    <row r="30" spans="1:3" ht="14.4">
      <c r="A30" s="3212"/>
      <c r="B30" s="3211"/>
      <c r="C30" s="1428" t="s">
        <v>972</v>
      </c>
    </row>
    <row r="31" spans="1:3" ht="14.4">
      <c r="A31" s="3212"/>
      <c r="B31" s="3211"/>
      <c r="C31" s="1428" t="s">
        <v>973</v>
      </c>
    </row>
    <row r="32" spans="1:3" ht="14.4">
      <c r="A32" s="3212"/>
      <c r="B32" s="3211"/>
      <c r="C32" s="1428" t="s">
        <v>974</v>
      </c>
    </row>
    <row r="33" spans="1:3" ht="14.4">
      <c r="A33" s="3212"/>
      <c r="B33" s="3211"/>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45628</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9"/>
      <c r="E18" s="3218" t="s">
        <v>2162</v>
      </c>
      <c r="F18" s="3217"/>
      <c r="G18" s="321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面积清单</vt:lpstr>
      <vt:lpstr>项目介绍</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2024-12-02T00:50:40Z</dcterms:modified>
</cp:coreProperties>
</file>