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B29" i="1" l="1"/>
  <c r="B14" i="74" l="1"/>
  <c r="T21" i="1" l="1"/>
  <c r="V20" i="1"/>
  <c r="V19" i="1"/>
  <c r="V21" i="1" s="1"/>
  <c r="U21" i="1" s="1"/>
  <c r="T20" i="1"/>
  <c r="T19" i="1"/>
  <c r="H75" i="9" l="1"/>
  <c r="J49" i="15" l="1"/>
  <c r="D33" i="43"/>
  <c r="C23" i="43"/>
  <c r="AB28" i="79"/>
  <c r="AA28" i="79"/>
  <c r="Z28" i="79"/>
  <c r="U28" i="79"/>
  <c r="T28" i="79"/>
  <c r="W28" i="79" s="1"/>
  <c r="N28" i="79"/>
  <c r="M28" i="79"/>
  <c r="P28" i="79" s="1"/>
  <c r="L28" i="79"/>
  <c r="S28" i="79" s="1"/>
  <c r="I28" i="79"/>
  <c r="AD28" i="79" s="1"/>
  <c r="AD5" i="79"/>
  <c r="AC5" i="79"/>
  <c r="AB5" i="79"/>
  <c r="AA5" i="79"/>
  <c r="Z5" i="79"/>
  <c r="Y5" i="79"/>
  <c r="P5" i="79"/>
  <c r="O5" i="79"/>
  <c r="N5" i="79"/>
  <c r="M5" i="79"/>
  <c r="L5" i="79"/>
  <c r="K5" i="79"/>
  <c r="I5" i="79"/>
  <c r="G62" i="43" l="1"/>
  <c r="G63" i="43"/>
  <c r="G64" i="43"/>
  <c r="G65" i="43"/>
  <c r="G66" i="43"/>
  <c r="G67" i="43"/>
  <c r="G68" i="43"/>
  <c r="G69" i="43"/>
  <c r="G61" i="43"/>
  <c r="N6" i="1"/>
  <c r="Y6" i="1" s="1"/>
  <c r="N18" i="1"/>
  <c r="F19" i="6"/>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L16" i="79"/>
  <c r="S16" i="79" s="1"/>
  <c r="K16" i="79"/>
  <c r="R16" i="79" s="1"/>
  <c r="I16" i="79"/>
  <c r="AD15" i="79"/>
  <c r="AC15" i="79"/>
  <c r="AB15" i="79"/>
  <c r="AA15" i="79"/>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N12" i="79"/>
  <c r="U3" i="79" s="1"/>
  <c r="M12" i="79"/>
  <c r="L12" i="79"/>
  <c r="K12" i="79"/>
  <c r="I12" i="79"/>
  <c r="AC6" i="79"/>
  <c r="AC3" i="79" s="1"/>
  <c r="AB6" i="79"/>
  <c r="AB3" i="79" s="1"/>
  <c r="AA6" i="79"/>
  <c r="AD6" i="79" s="1"/>
  <c r="Z6" i="79"/>
  <c r="Z3" i="79" s="1"/>
  <c r="Y6" i="79"/>
  <c r="Y3" i="79" s="1"/>
  <c r="O6" i="79"/>
  <c r="N6" i="79"/>
  <c r="U5" i="79" s="1"/>
  <c r="M6" i="79"/>
  <c r="L6" i="79"/>
  <c r="S5" i="79" s="1"/>
  <c r="K6" i="79"/>
  <c r="I6"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24" i="67"/>
  <c r="F13" i="15"/>
  <c r="M9" i="67"/>
  <c r="M26" i="15"/>
  <c r="E10" i="76"/>
  <c r="L48" i="15"/>
  <c r="B9" i="76"/>
  <c r="B11" i="76"/>
  <c r="M9" i="15"/>
  <c r="F4" i="73"/>
  <c r="M23" i="15"/>
  <c r="D6" i="73"/>
  <c r="M29" i="15"/>
  <c r="F38" i="15"/>
  <c r="M28" i="67"/>
  <c r="J15" i="67"/>
  <c r="B13" i="76"/>
  <c r="L48" i="67"/>
  <c r="F43" i="67"/>
  <c r="C76" i="67"/>
  <c r="F38" i="67"/>
  <c r="F8" i="67"/>
  <c r="B8" i="76"/>
  <c r="E13" i="76"/>
  <c r="F6" i="67"/>
  <c r="M22" i="67"/>
  <c r="AO13" i="1"/>
  <c r="F26" i="67"/>
  <c r="D7" i="73"/>
  <c r="C76" i="15"/>
  <c r="F16" i="15"/>
  <c r="M22" i="15"/>
  <c r="B12" i="76"/>
  <c r="B7" i="76"/>
  <c r="F20" i="31"/>
  <c r="E11" i="76"/>
  <c r="D5" i="73"/>
  <c r="D4" i="73"/>
  <c r="F7" i="73"/>
  <c r="M28" i="15"/>
  <c r="E8" i="76"/>
  <c r="F37" i="67"/>
  <c r="F6" i="15"/>
  <c r="F7" i="67"/>
  <c r="F3" i="73"/>
  <c r="E9" i="76"/>
  <c r="M29" i="67"/>
  <c r="F40" i="67"/>
  <c r="F13" i="67"/>
  <c r="F7" i="15"/>
  <c r="F36" i="67"/>
  <c r="M24" i="15"/>
  <c r="F6" i="73"/>
  <c r="D3" i="73"/>
  <c r="E7" i="76"/>
  <c r="L47" i="15"/>
  <c r="F42" i="15"/>
  <c r="F36" i="15"/>
  <c r="F43" i="15"/>
  <c r="F42" i="67"/>
  <c r="E2" i="69"/>
  <c r="F40" i="15"/>
  <c r="J15" i="15"/>
  <c r="L47" i="67"/>
  <c r="F16" i="67"/>
  <c r="M8" i="15"/>
  <c r="F5" i="73"/>
  <c r="F26" i="15"/>
  <c r="M23" i="67"/>
  <c r="F9" i="15"/>
  <c r="E2" i="68"/>
  <c r="F8" i="15"/>
  <c r="B10" i="76"/>
  <c r="F37" i="15"/>
  <c r="M6" i="67"/>
  <c r="M6" i="15"/>
  <c r="M26" i="67"/>
  <c r="E12" i="76"/>
  <c r="M8" i="67"/>
  <c r="C18" i="9" l="1"/>
  <c r="D18" i="9" s="1"/>
  <c r="G6" i="1"/>
  <c r="I24" i="43"/>
  <c r="C24" i="43" s="1"/>
  <c r="H67" i="43"/>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94" i="46" l="1"/>
  <c r="F26" i="43"/>
  <c r="N370" i="46"/>
  <c r="J26" i="43"/>
  <c r="G26" i="43"/>
  <c r="E26" i="43"/>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D26" i="43" l="1"/>
  <c r="C25" i="43" s="1"/>
  <c r="C48" i="1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11" i="1"/>
  <c r="AO10" i="1"/>
  <c r="AO8" i="1"/>
  <c r="AO6" i="1"/>
  <c r="AO9" i="1"/>
  <c r="AO7"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20" i="9"/>
  <c r="D34"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<sst xmlns="http://schemas.openxmlformats.org/spreadsheetml/2006/main" count="7837" uniqueCount="3435">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</sst>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24275</v>
      </c>
    </row>
    <row r="21" spans="1:2" s="1203" customFormat="1">
      <c r="A21" s="1201" t="s">
        <v>537</v>
      </c>
      <c r="B21" s="1202">
        <f ca="1">'预评函-2'!D7</f>
        <v>39020</v>
      </c>
    </row>
    <row r="22" spans="1:2" s="1203" customFormat="1">
      <c r="A22" s="1201" t="s">
        <v>538</v>
      </c>
      <c r="B22" s="1202" t="str">
        <f ca="1">'预评函-2'!D6</f>
        <v>贰亿肆仟贰佰柒拾伍万元整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24275</v>
      </c>
    </row>
    <row r="31" spans="1:2" s="1203" customFormat="1">
      <c r="A31" s="1201" t="s">
        <v>576</v>
      </c>
      <c r="B31" s="1202">
        <f ca="1">'预评函-2'!D15</f>
        <v>39020</v>
      </c>
    </row>
    <row r="32" spans="1:2" s="1203" customFormat="1">
      <c r="A32" s="1201" t="s">
        <v>543</v>
      </c>
      <c r="B32" s="1202" t="str">
        <f ca="1">'预评函-2'!D14</f>
        <v>贰亿肆仟贰佰柒拾伍万元整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24263</v>
      </c>
    </row>
    <row r="39" spans="1:2" s="1203" customFormat="1">
      <c r="A39" s="1201" t="s">
        <v>545</v>
      </c>
      <c r="B39" s="1202">
        <f ca="1">'预评函-2'!D21</f>
        <v>39001</v>
      </c>
    </row>
    <row r="40" spans="1:2" s="1203" customFormat="1">
      <c r="A40" s="1201" t="s">
        <v>546</v>
      </c>
      <c r="B40" s="1202" t="str">
        <f ca="1">'预评函-2'!D20</f>
        <v>贰亿肆仟贰佰陆拾叁万元整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20901</v>
      </c>
    </row>
    <row r="48" spans="1:2" s="1203" customFormat="1">
      <c r="A48" s="1201" t="s">
        <v>549</v>
      </c>
      <c r="B48" s="1202">
        <f ca="1">'预评函-3'!E4</f>
        <v>33597</v>
      </c>
    </row>
    <row r="49" spans="1:2" s="1203" customFormat="1">
      <c r="A49" s="1201" t="s">
        <v>550</v>
      </c>
      <c r="B49" s="1202" t="str">
        <f ca="1">'预评函-3'!D5</f>
        <v>贰亿零玖佰零壹万元整</v>
      </c>
    </row>
    <row r="50" spans="1:2" s="1203" customFormat="1">
      <c r="A50" s="1201" t="s">
        <v>574</v>
      </c>
      <c r="B50" s="1202" t="str">
        <f>'预评函-3'!F2</f>
        <v>在建建筑物价值</v>
      </c>
    </row>
    <row r="51" spans="1:2" s="1203" customFormat="1">
      <c r="A51" s="1201" t="s">
        <v>551</v>
      </c>
      <c r="B51" s="1202">
        <f ca="1">'预评函-3'!F4</f>
        <v>3374</v>
      </c>
    </row>
    <row r="52" spans="1:2" s="1203" customFormat="1">
      <c r="A52" s="1201" t="s">
        <v>552</v>
      </c>
      <c r="B52" s="1202">
        <f ca="1">'预评函-3'!G4</f>
        <v>5423</v>
      </c>
    </row>
    <row r="53" spans="1:2" s="1203" customFormat="1">
      <c r="A53" s="1201" t="s">
        <v>580</v>
      </c>
      <c r="B53" s="1202" t="str">
        <f ca="1">'预评函-3'!F5</f>
        <v>叁仟叁佰柒拾肆万元整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52" sqref="G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9"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0"/>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6221.16</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5000</v>
      </c>
      <c r="M6" s="67">
        <f t="shared" ref="M6:M14" si="0">ROUND(K6*L6/10000,0)</f>
        <v>3111</v>
      </c>
      <c r="N6" s="731">
        <f>ROUND(N18*0.5+N19*0.5,2)</f>
        <v>0.79</v>
      </c>
      <c r="O6" s="67" t="str">
        <f>IF($N$5="成新度","——",ROUND(M6*N6,0))</f>
        <v>——</v>
      </c>
      <c r="P6" s="68" t="str">
        <f>IF($N$5="成新度","——",M6-O6)</f>
        <v>——</v>
      </c>
      <c r="Q6" s="3453">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1.5E-3</v>
      </c>
      <c r="AM6" s="80">
        <v>0.01</v>
      </c>
      <c r="AN6" s="1715" t="s">
        <v>3399</v>
      </c>
      <c r="AO6" s="52">
        <f ca="1">SUMIF(INDIRECT("'"&amp;AN6&amp;"'"&amp;"!A:A"),"总价",INDIRECT("'"&amp;AN6&amp;"'"&amp;"!B:B"))</f>
        <v>19943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5001</v>
      </c>
      <c r="M16" s="93">
        <f>SUM(M6:M14)</f>
        <v>3111</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3" sqref="D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24275</v>
      </c>
      <c r="C5" s="2512">
        <f ca="1">IF(B5=D14,结果表!H102,ROUND(B5*10000/$B$1,0))</f>
        <v>39020</v>
      </c>
      <c r="D5" s="2512" t="e">
        <f ca="1">ROUND(B5*10000/$B$2,0)</f>
        <v>#DIV/0!</v>
      </c>
      <c r="E5" s="2686"/>
      <c r="F5" s="2687"/>
      <c r="G5" s="2687"/>
      <c r="H5" s="2688"/>
      <c r="I5" s="2688"/>
      <c r="J5" s="2688"/>
      <c r="K5" s="2688"/>
    </row>
    <row r="6" spans="1:11" ht="16.5">
      <c r="A6" s="2512" t="s">
        <v>656</v>
      </c>
      <c r="B6" s="2512">
        <f ca="1">SUM(G14:G23)</f>
        <v>24275</v>
      </c>
      <c r="C6" s="2512">
        <f ca="1">IF(B6=G14,结果表!H108,ROUND(B6*10000/$B$1,0))</f>
        <v>39020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39001</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24275</v>
      </c>
      <c r="E14" s="2518">
        <f ca="1">ROUND(D14*10000/B14,0)</f>
        <v>39020</v>
      </c>
      <c r="F14" s="2518" t="e">
        <f ca="1">ROUND(D14*10000/C14,0)</f>
        <v>#DIV/0!</v>
      </c>
      <c r="G14" s="2518">
        <f ca="1">D14</f>
        <v>24275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115" zoomScaleNormal="100" zoomScaleSheetLayoutView="115"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3423</v>
      </c>
      <c r="D4" s="1756" t="s">
        <v>3399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5">
        <v>25</v>
      </c>
      <c r="C5" s="3604"/>
      <c r="D5" s="3618"/>
      <c r="E5" s="131" t="s">
        <v>1269</v>
      </c>
      <c r="F5" s="1757"/>
      <c r="G5" s="1757"/>
      <c r="H5" s="1757"/>
      <c r="I5" s="1373"/>
    </row>
    <row r="6" spans="1:12" ht="12.75">
      <c r="A6" s="3558"/>
      <c r="B6" s="3615"/>
      <c r="C6" s="3605"/>
      <c r="D6" s="3618"/>
      <c r="E6" s="131" t="s">
        <v>1270</v>
      </c>
      <c r="F6" s="1757"/>
      <c r="G6" s="1757"/>
      <c r="H6" s="1757"/>
      <c r="I6" s="1373"/>
    </row>
    <row r="7" spans="1:12" ht="12.75">
      <c r="A7" s="3558"/>
      <c r="B7" s="3615"/>
      <c r="C7" s="3606"/>
      <c r="D7" s="3618"/>
      <c r="E7" s="131" t="s">
        <v>1271</v>
      </c>
      <c r="F7" s="1757"/>
      <c r="G7" s="1757"/>
      <c r="H7" s="1757"/>
      <c r="I7" s="1373"/>
    </row>
    <row r="8" spans="1:12" ht="12.75" customHeight="1">
      <c r="A8" s="3558" t="s">
        <v>1272</v>
      </c>
      <c r="B8" s="3615">
        <v>15</v>
      </c>
      <c r="C8" s="3604"/>
      <c r="D8" s="3604"/>
      <c r="E8" s="131" t="s">
        <v>1273</v>
      </c>
      <c r="F8" s="1757"/>
      <c r="G8" s="1757"/>
      <c r="H8" s="1757"/>
      <c r="I8" s="1373"/>
    </row>
    <row r="9" spans="1:12" ht="12.75" customHeight="1">
      <c r="A9" s="3558"/>
      <c r="B9" s="3615"/>
      <c r="C9" s="3606"/>
      <c r="D9" s="3606"/>
      <c r="E9" s="131" t="s">
        <v>1274</v>
      </c>
      <c r="F9" s="1757"/>
      <c r="G9" s="1757"/>
      <c r="H9" s="1757"/>
      <c r="I9" s="1373"/>
    </row>
    <row r="10" spans="1:12" ht="12.75" customHeight="1">
      <c r="A10" s="3558" t="s">
        <v>1275</v>
      </c>
      <c r="B10" s="3615">
        <v>15</v>
      </c>
      <c r="C10" s="3604"/>
      <c r="D10" s="3604"/>
      <c r="E10" s="131" t="s">
        <v>1276</v>
      </c>
      <c r="F10" s="1757"/>
      <c r="G10" s="1757"/>
      <c r="H10" s="1757"/>
      <c r="I10" s="1373"/>
    </row>
    <row r="11" spans="1:12" ht="12.75" customHeight="1">
      <c r="A11" s="3558"/>
      <c r="B11" s="3615"/>
      <c r="C11" s="3606"/>
      <c r="D11" s="3606"/>
      <c r="E11" s="131" t="s">
        <v>1277</v>
      </c>
      <c r="F11" s="1757"/>
      <c r="G11" s="1757"/>
      <c r="H11" s="1757"/>
      <c r="I11" s="1373"/>
    </row>
    <row r="12" spans="1:12" ht="12.75" customHeight="1">
      <c r="A12" s="3558" t="s">
        <v>1278</v>
      </c>
      <c r="B12" s="3615">
        <v>15</v>
      </c>
      <c r="C12" s="3604"/>
      <c r="D12" s="3604"/>
      <c r="E12" s="131" t="s">
        <v>1279</v>
      </c>
      <c r="F12" s="1757"/>
      <c r="G12" s="1757"/>
      <c r="H12" s="1757"/>
      <c r="I12" s="1373"/>
    </row>
    <row r="13" spans="1:12" ht="12.75" customHeight="1">
      <c r="A13" s="3558"/>
      <c r="B13" s="3615"/>
      <c r="C13" s="3606"/>
      <c r="D13" s="3606"/>
      <c r="E13" s="131" t="s">
        <v>1280</v>
      </c>
      <c r="F13" s="1757"/>
      <c r="G13" s="1757"/>
      <c r="H13" s="1757"/>
      <c r="I13" s="1373"/>
    </row>
    <row r="14" spans="1:12" ht="12.75" customHeight="1">
      <c r="A14" s="3558" t="s">
        <v>1281</v>
      </c>
      <c r="B14" s="3615">
        <v>30</v>
      </c>
      <c r="C14" s="3604">
        <v>7</v>
      </c>
      <c r="D14" s="3604">
        <v>3</v>
      </c>
      <c r="E14" s="131" t="s">
        <v>1282</v>
      </c>
      <c r="F14" s="1757"/>
      <c r="G14" s="1757"/>
      <c r="H14" s="1757"/>
      <c r="I14" s="1373"/>
    </row>
    <row r="15" spans="1:12" ht="12.75" customHeight="1">
      <c r="A15" s="3558"/>
      <c r="B15" s="3615"/>
      <c r="C15" s="3605"/>
      <c r="D15" s="3605"/>
      <c r="E15" s="131" t="s">
        <v>1283</v>
      </c>
      <c r="F15" s="1757"/>
      <c r="G15" s="1757"/>
      <c r="H15" s="1757"/>
      <c r="I15" s="1373"/>
    </row>
    <row r="16" spans="1:12" ht="12.75" customHeight="1">
      <c r="A16" s="3558"/>
      <c r="B16" s="3615"/>
      <c r="C16" s="3606"/>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26131</v>
      </c>
      <c r="D19" s="135">
        <f ca="1">SUMIF(INDIRECT("'"&amp;D4&amp;"'"&amp;"!A:A"),结果表!B19,INDIRECT("'"&amp;D4&amp;"'"&amp;"!B:B"))</f>
        <v>19943</v>
      </c>
      <c r="E19" s="1761" t="s">
        <v>1292</v>
      </c>
      <c r="F19" s="1762" t="s">
        <v>1291</v>
      </c>
      <c r="G19" s="136">
        <f ca="1">ROUND(C19*$C$18+D19*$D$18,0)</f>
        <v>24275</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42003</v>
      </c>
      <c r="D20" s="138">
        <f ca="1">SUMIF(INDIRECT("'"&amp;D4&amp;"'"&amp;"!A:A"),结果表!B20,INDIRECT("'"&amp;D4&amp;"'"&amp;"!B:B"))</f>
        <v>32057</v>
      </c>
      <c r="E20" s="1764"/>
      <c r="F20" s="1026" t="s">
        <v>1295</v>
      </c>
      <c r="G20" s="139">
        <f ca="1">ROUND(C20*$C$18+D20*$D$18,0)</f>
        <v>39019</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0.31028431028431025</v>
      </c>
      <c r="E22" s="129"/>
      <c r="F22" s="129"/>
      <c r="G22" s="129"/>
      <c r="H22" s="129"/>
      <c r="I22" s="129"/>
    </row>
    <row r="23" spans="1:36" ht="13.5" thickBot="1">
      <c r="A23" s="1747"/>
      <c r="B23" s="1747"/>
      <c r="C23" s="1747"/>
      <c r="D23" s="1747"/>
      <c r="E23" s="129"/>
      <c r="F23" s="129"/>
      <c r="G23" s="129">
        <v>24274</v>
      </c>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24275</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20901</v>
      </c>
      <c r="D34" s="861">
        <f ca="1">IF(C33="自定义",ROUND(C34/C32,3),IF(C33="收益比率",SUMIF(INDIRECT("'"&amp;D33&amp;"'"&amp;"!b:b"),"土地收益比率",INDIRECT("'"&amp;D33&amp;"'"&amp;"!c:c")),SUMIF(INDIRECT("'"&amp;D33&amp;"'"&amp;"!b:b"),"土地成本比率",INDIRECT("'"&amp;D33&amp;"'"&amp;"!c:c"))))</f>
        <v>0.86099999999999999</v>
      </c>
      <c r="E34" s="1783" t="s">
        <v>1309</v>
      </c>
      <c r="F34" s="1330"/>
      <c r="G34" s="129"/>
      <c r="H34" s="129"/>
      <c r="I34" s="129"/>
    </row>
    <row r="35" spans="1:15" ht="15.75" thickBot="1">
      <c r="A35" s="1784"/>
      <c r="B35" s="1785" t="s">
        <v>1310</v>
      </c>
      <c r="C35" s="1170">
        <f ca="1">IF(C33="自定义",F35,ROUND(C32*D35,0))</f>
        <v>3374</v>
      </c>
      <c r="D35" s="1171">
        <f ca="1">IF(C33="自定义",ROUND(C35/C32,3),IF(C33="收益比率",SUMIF(INDIRECT("'"&amp;D33&amp;"'"&amp;"!b:b"),"建筑物收益比率",INDIRECT("'"&amp;D33&amp;"'"&amp;"!c:c")),SUMIF(INDIRECT("'"&amp;D33&amp;"'"&amp;"!b:b"),"建筑物成本比率",INDIRECT("'"&amp;D33&amp;"'"&amp;"!c:c"))))</f>
        <v>0.13900000000000001</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24275</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45475</v>
      </c>
      <c r="N47" s="3548"/>
      <c r="O47" s="3548"/>
    </row>
    <row r="48" spans="1:15" ht="25.5">
      <c r="A48" s="3610" t="s">
        <v>1338</v>
      </c>
      <c r="B48" s="3611"/>
      <c r="C48" s="3611"/>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546" t="s">
        <v>1340</v>
      </c>
      <c r="L48" s="3546"/>
      <c r="M48" s="3549">
        <f ca="1">H101</f>
        <v>24275</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24275</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1295</v>
      </c>
      <c r="E52" s="2334" t="s">
        <v>1354</v>
      </c>
      <c r="F52" s="2554">
        <f>'数据-取费表'!B41</f>
        <v>5.6000000000000001E-2</v>
      </c>
      <c r="G52" s="2555"/>
      <c r="H52" s="2544"/>
      <c r="I52" s="1807"/>
      <c r="J52" s="2523">
        <v>1</v>
      </c>
      <c r="K52" s="3571" t="s">
        <v>1355</v>
      </c>
      <c r="L52" s="3571"/>
      <c r="M52" s="2525">
        <f ca="1">D48</f>
        <v>0</v>
      </c>
      <c r="N52" s="2523" t="str">
        <f>E48</f>
        <v>(销售额-原购置价)×税（费）率</v>
      </c>
      <c r="O52" s="2526">
        <f>F48</f>
        <v>5.6000000000000001E-2</v>
      </c>
    </row>
    <row r="53" spans="1:35" ht="12" customHeight="1">
      <c r="A53" s="2335" t="s">
        <v>1356</v>
      </c>
      <c r="B53" s="3595" t="s">
        <v>2291</v>
      </c>
      <c r="C53" s="3596"/>
      <c r="D53" s="1087">
        <f ca="1">ROUND(D45*'数据-取费表'!B41/(1+'数据-取费表'!C42),0)</f>
        <v>1295</v>
      </c>
      <c r="E53" s="2334" t="s">
        <v>1354</v>
      </c>
      <c r="F53" s="2554">
        <f>'数据-取费表'!B41</f>
        <v>5.6000000000000001E-2</v>
      </c>
      <c r="G53" s="2555"/>
      <c r="H53" s="2544"/>
      <c r="I53" s="1807"/>
      <c r="J53" s="2523">
        <v>2</v>
      </c>
      <c r="K53" s="3571" t="s">
        <v>1357</v>
      </c>
      <c r="L53" s="3571"/>
      <c r="M53" s="2525">
        <f t="shared" ref="M53:O54" ca="1" si="0">D55</f>
        <v>12</v>
      </c>
      <c r="N53" s="2523" t="str">
        <f t="shared" si="0"/>
        <v>销售额×税（费）率</v>
      </c>
      <c r="O53" s="2526">
        <f t="shared" si="0"/>
        <v>5.0000000000000001E-4</v>
      </c>
    </row>
    <row r="54" spans="1:35" ht="12" customHeight="1">
      <c r="A54" s="2335" t="s">
        <v>1358</v>
      </c>
      <c r="B54" s="3595" t="s">
        <v>2292</v>
      </c>
      <c r="C54" s="3596"/>
      <c r="D54" s="1087">
        <f ca="1">C68</f>
        <v>0</v>
      </c>
      <c r="E54" s="327" t="s">
        <v>1359</v>
      </c>
      <c r="F54" s="2554">
        <f>'数据-取费表'!B41</f>
        <v>5.6000000000000001E-2</v>
      </c>
      <c r="G54" s="2555"/>
      <c r="H54" s="2556"/>
      <c r="I54" s="1807"/>
      <c r="J54" s="2523">
        <v>3</v>
      </c>
      <c r="K54" s="3571" t="s">
        <v>1360</v>
      </c>
      <c r="L54" s="3571"/>
      <c r="M54" s="2525">
        <f t="shared" ca="1" si="0"/>
        <v>0</v>
      </c>
      <c r="N54" s="2523" t="str">
        <f t="shared" si="0"/>
        <v>增值额×税（费）率</v>
      </c>
      <c r="O54" s="2527" t="str">
        <f t="shared" si="0"/>
        <v>——</v>
      </c>
    </row>
    <row r="55" spans="1:35" ht="24" customHeight="1">
      <c r="A55" s="3631" t="s">
        <v>1361</v>
      </c>
      <c r="B55" s="3611"/>
      <c r="C55" s="3611"/>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571" t="str">
        <f>IF(H59="非个人房产","——","个人所得税")</f>
        <v>——</v>
      </c>
      <c r="L55" s="3571"/>
      <c r="M55" s="2528" t="str">
        <f>D59</f>
        <v>——</v>
      </c>
      <c r="N55" s="2040" t="str">
        <f>E59</f>
        <v>——</v>
      </c>
      <c r="O55" s="2529" t="str">
        <f>F59</f>
        <v>——</v>
      </c>
    </row>
    <row r="56" spans="1:35" ht="24.75">
      <c r="A56" s="3631" t="s">
        <v>1363</v>
      </c>
      <c r="B56" s="3611"/>
      <c r="C56" s="3611"/>
      <c r="D56" s="2324">
        <f ca="1">IF(H56="个人住宅",D57,D58)</f>
        <v>0</v>
      </c>
      <c r="E56" s="2334" t="s">
        <v>1364</v>
      </c>
      <c r="F56" s="2554" t="str">
        <f>IF(H56="正常",F58,"免征")</f>
        <v>——</v>
      </c>
      <c r="G56" s="2557" t="s">
        <v>1365</v>
      </c>
      <c r="H56" s="2558" t="s">
        <v>3429</v>
      </c>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4</v>
      </c>
      <c r="K57" s="3571" t="s">
        <v>1367</v>
      </c>
      <c r="L57" s="2530" t="s">
        <v>1368</v>
      </c>
      <c r="M57" s="2531"/>
      <c r="N57" s="2532">
        <f ca="1">SUMIF(M52:M56,"&lt;9e307")</f>
        <v>12</v>
      </c>
      <c r="O57" s="2533"/>
      <c r="P57" s="2690">
        <f ca="1">N57/M49</f>
        <v>4.9433573635427393E-4</v>
      </c>
    </row>
    <row r="58" spans="1:35" ht="24.75">
      <c r="A58" s="2335" t="s">
        <v>1352</v>
      </c>
      <c r="B58" s="3595" t="s">
        <v>1369</v>
      </c>
      <c r="C58" s="3594"/>
      <c r="D58" s="2324">
        <f ca="1">IF(H58="转让取得",C81,C97)</f>
        <v>0</v>
      </c>
      <c r="E58" s="2334" t="s">
        <v>1364</v>
      </c>
      <c r="F58" s="302" t="s">
        <v>28</v>
      </c>
      <c r="G58" s="2555"/>
      <c r="H58" s="2558" t="s">
        <v>3430</v>
      </c>
      <c r="I58" s="1808"/>
      <c r="J58" s="3571"/>
      <c r="K58" s="3571"/>
      <c r="L58" s="2530" t="s">
        <v>1370</v>
      </c>
      <c r="M58" s="2534"/>
      <c r="N58" s="2535" t="str">
        <f ca="1">NUMBERSTRING(INT(N57*10000),2)&amp;"元整"</f>
        <v>壹拾贰万元整</v>
      </c>
      <c r="O58" s="2536"/>
    </row>
    <row r="59" spans="1:35" ht="24.75" thickBot="1">
      <c r="A59" s="3575" t="s">
        <v>1371</v>
      </c>
      <c r="B59" s="3576"/>
      <c r="C59" s="357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573">
        <f>J57+1</f>
        <v>5</v>
      </c>
      <c r="K59" s="3571" t="s">
        <v>1372</v>
      </c>
      <c r="L59" s="2523" t="s">
        <v>1368</v>
      </c>
      <c r="M59" s="2537"/>
      <c r="N59" s="2538">
        <f ca="1">M49-N57</f>
        <v>24263</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贰亿肆仟贰佰陆拾叁万元整</v>
      </c>
      <c r="O60" s="2536"/>
    </row>
    <row r="61" spans="1:35" ht="13.5" thickBot="1">
      <c r="A61" s="3630" t="s">
        <v>1373</v>
      </c>
      <c r="B61" s="3630"/>
      <c r="C61" s="3630"/>
      <c r="D61" s="3630"/>
      <c r="E61" s="3630"/>
      <c r="F61" s="1808"/>
      <c r="G61" s="1808"/>
      <c r="H61" s="1810"/>
      <c r="I61" s="129"/>
      <c r="J61" s="2523">
        <f>J59+1</f>
        <v>6</v>
      </c>
      <c r="K61" s="3571" t="s">
        <v>1374</v>
      </c>
      <c r="L61" s="3571"/>
      <c r="M61" s="2540"/>
      <c r="N61" s="2541">
        <f ca="1">ROUND(N59*10000/'数据-汇总表'!E3,0)</f>
        <v>39001</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23119</v>
      </c>
      <c r="D63" s="167"/>
      <c r="E63" s="168"/>
      <c r="F63" s="1808"/>
      <c r="G63" s="1808"/>
      <c r="H63" s="1810"/>
      <c r="I63" s="129"/>
      <c r="J63" s="3554" t="s">
        <v>1379</v>
      </c>
      <c r="K63" s="1332" t="s">
        <v>1380</v>
      </c>
      <c r="L63" s="1332">
        <f ca="1">IF(M49&gt;10000,M49*0.5%,IF(AND(M49&gt;1000,M49&lt;=10000),M49*1%,IF(AND(M49&gt;100,M49&lt;=1000),M49*3%,IF(AND(M49&gt;10,M49&lt;=100),M49*5%,M49*8%))))</f>
        <v>121.375</v>
      </c>
      <c r="M63" s="302">
        <f ca="1">ROUND(L63,1)</f>
        <v>121.4</v>
      </c>
      <c r="N63" s="2543"/>
      <c r="Z63" s="1752"/>
      <c r="AI63" s="1753"/>
    </row>
    <row r="64" spans="1:35" ht="14.25" customHeight="1">
      <c r="A64" s="169" t="s">
        <v>325</v>
      </c>
      <c r="B64" s="170" t="s">
        <v>1381</v>
      </c>
      <c r="C64" s="2565">
        <f ca="1">D45</f>
        <v>24275</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121.375</v>
      </c>
      <c r="M64" s="302">
        <f t="shared" ref="M64:M65" ca="1" si="1">ROUND(L64,1)</f>
        <v>121.4</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24.275000000000002</v>
      </c>
      <c r="M65" s="302">
        <f t="shared" ca="1" si="1"/>
        <v>24.3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554"/>
      <c r="K66" s="1332" t="s">
        <v>1387</v>
      </c>
      <c r="L66" s="1332">
        <f ca="1">M49*0.5%</f>
        <v>121.375</v>
      </c>
      <c r="M66" s="302">
        <f ca="1">IF(L66&gt;0.5,0.5,ROUND(L66,0))</f>
        <v>0.5</v>
      </c>
      <c r="N66" s="2544" t="s">
        <v>1388</v>
      </c>
      <c r="Z66" s="1752"/>
      <c r="AI66" s="1753"/>
    </row>
    <row r="67" spans="1:35" ht="14.25" customHeight="1">
      <c r="A67" s="173" t="s">
        <v>328</v>
      </c>
      <c r="B67" s="174" t="s">
        <v>1389</v>
      </c>
      <c r="C67" s="2568">
        <f ca="1">C63-C66</f>
        <v>-1452.4285714285688</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9.6775000000000002</v>
      </c>
      <c r="M67" s="302">
        <f ca="1">ROUND(L67*0.9,1)</f>
        <v>8.6999999999999993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121.375</v>
      </c>
      <c r="M68" s="302">
        <f ca="1">ROUND(L68,1)</f>
        <v>121.4</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398</v>
      </c>
      <c r="N69" s="2545">
        <f ca="1">M69/M49</f>
        <v>1.6395468589083421E-2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23119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25459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25320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(4200+10753+10847)</f>
        <v>25800</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749</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139</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23119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139</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22980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165.32374100719426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13739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v>
      </c>
      <c r="D101" s="2586" t="str">
        <f>D4</f>
        <v>收益法</v>
      </c>
      <c r="E101" s="3550" t="s">
        <v>1431</v>
      </c>
      <c r="F101" s="3551"/>
      <c r="G101" s="1827" t="s">
        <v>1432</v>
      </c>
      <c r="H101" s="2595">
        <f ca="1">H118</f>
        <v>24275</v>
      </c>
      <c r="I101" s="129"/>
    </row>
    <row r="102" spans="1:35" ht="18.75" customHeight="1">
      <c r="A102" s="3582" t="s">
        <v>1433</v>
      </c>
      <c r="B102" s="2584" t="s">
        <v>1432</v>
      </c>
      <c r="C102" s="2585">
        <f ca="1">IF(D32="楼面单价",ROUND(C19,0),C19)</f>
        <v>26131</v>
      </c>
      <c r="D102" s="2586">
        <f ca="1">IF(D32="楼面单价",ROUND(D19,0),D19)</f>
        <v>19943</v>
      </c>
      <c r="E102" s="3550"/>
      <c r="F102" s="3551"/>
      <c r="G102" s="1827" t="s">
        <v>1434</v>
      </c>
      <c r="H102" s="2555">
        <f ca="1">I118</f>
        <v>39020</v>
      </c>
      <c r="I102" s="129"/>
    </row>
    <row r="103" spans="1:35" ht="42.75" customHeight="1">
      <c r="A103" s="3582"/>
      <c r="B103" s="2584" t="s">
        <v>1434</v>
      </c>
      <c r="C103" s="2587">
        <f ca="1">C20</f>
        <v>42003</v>
      </c>
      <c r="D103" s="2588">
        <f ca="1">D20</f>
        <v>32057</v>
      </c>
      <c r="E103" s="3543" t="s">
        <v>1435</v>
      </c>
      <c r="F103" s="3544"/>
      <c r="G103" s="1828" t="s">
        <v>1436</v>
      </c>
      <c r="H103" s="2595">
        <f>IF(D36="正常操作",H104+H105+H106,H105+H106)</f>
        <v>0</v>
      </c>
      <c r="I103" s="129"/>
    </row>
    <row r="104" spans="1:35" ht="18.75" customHeight="1">
      <c r="A104" s="3582" t="s">
        <v>1437</v>
      </c>
      <c r="B104" s="2589" t="s">
        <v>1432</v>
      </c>
      <c r="C104" s="2590">
        <f ca="1">H118</f>
        <v>24275</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39020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24275</v>
      </c>
      <c r="I107" s="129"/>
    </row>
    <row r="108" spans="1:35" ht="18.75" customHeight="1">
      <c r="A108" s="129"/>
      <c r="B108" s="129"/>
      <c r="C108" s="129"/>
      <c r="D108" s="129"/>
      <c r="E108" s="3583"/>
      <c r="F108" s="3551"/>
      <c r="G108" s="1827" t="s">
        <v>1434</v>
      </c>
      <c r="H108" s="2555">
        <f ca="1">IF(H107=H101,H102,ROUND(H107*10000/'数据-汇总表'!E3,0))</f>
        <v>39020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1432</v>
      </c>
      <c r="H111" s="2595">
        <f ca="1">IF(E111="——","——",N59)</f>
        <v>24263</v>
      </c>
      <c r="I111" s="129"/>
    </row>
    <row r="112" spans="1:35" ht="18.75" customHeight="1" thickBot="1">
      <c r="A112" s="129"/>
      <c r="B112" s="129"/>
      <c r="C112" s="129"/>
      <c r="D112" s="129"/>
      <c r="E112" s="3585"/>
      <c r="F112" s="3586"/>
      <c r="G112" s="1830" t="s">
        <v>1434</v>
      </c>
      <c r="H112" s="2599">
        <f ca="1">IF(E111="——","——",N61)</f>
        <v>39001</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20901</v>
      </c>
      <c r="E118" s="2329">
        <f ca="1">ROUND(IF(C33="自定义",IF(D32="楼面单价",C34,D118*10000/B118),I118-G118),0)</f>
        <v>33597</v>
      </c>
      <c r="F118" s="2329">
        <f ca="1">ROUND(IF(D32="总价",C35,G118*B118/10000),0)</f>
        <v>3374</v>
      </c>
      <c r="G118" s="2329">
        <f ca="1">ROUND(IF(D32="楼面单价",C35,F118*10000/B118),0)</f>
        <v>5423</v>
      </c>
      <c r="H118" s="2329">
        <f ca="1">ROUND(IF(D32="总价",C32,I118*B118/10000),0)</f>
        <v>24275</v>
      </c>
      <c r="I118" s="2329">
        <f ca="1">ROUND(IF(D32="楼面单价",C32,H118*10000/B118),0)</f>
        <v>39020</v>
      </c>
    </row>
    <row r="119" spans="1:27" ht="18.75" customHeight="1">
      <c r="A119" s="3558" t="s">
        <v>1452</v>
      </c>
      <c r="B119" s="3558"/>
      <c r="C119" s="3558"/>
      <c r="D119" s="3564" t="str">
        <f ca="1">NUMBERSTRING(INT(D118*10000),2)&amp;"元整"</f>
        <v>贰亿零玖佰零壹万元整</v>
      </c>
      <c r="E119" s="3565"/>
      <c r="F119" s="3564" t="str">
        <f ca="1">NUMBERSTRING(INT(F118*10000),2)&amp;"元整"</f>
        <v>叁仟叁佰柒拾肆万元整</v>
      </c>
      <c r="G119" s="3565"/>
      <c r="H119" s="3564" t="str">
        <f ca="1">NUMBERSTRING(INT(H118*10000),2)&amp;"元整"</f>
        <v>贰亿肆仟贰佰柒拾伍万元整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24275</v>
      </c>
      <c r="E122" s="3560"/>
      <c r="F122" s="3560"/>
      <c r="G122" s="3560"/>
      <c r="H122" s="3560"/>
      <c r="I122" s="3561"/>
      <c r="AA122" s="725"/>
    </row>
    <row r="123" spans="1:27" ht="18.75" customHeight="1">
      <c r="A123" s="3558" t="s">
        <v>1452</v>
      </c>
      <c r="B123" s="3558"/>
      <c r="C123" s="3558"/>
      <c r="D123" s="3564" t="str">
        <f ca="1">NUMBERSTRING(INT(D122*10000),2)&amp;"元整"</f>
        <v>贰亿肆仟贰佰柒拾伍万元整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24263</v>
      </c>
      <c r="E126" s="3560"/>
      <c r="F126" s="3560"/>
      <c r="G126" s="3560"/>
      <c r="H126" s="3560"/>
      <c r="I126" s="3561"/>
      <c r="AA126" s="725"/>
    </row>
    <row r="127" spans="1:27" ht="18.75" customHeight="1">
      <c r="A127" s="3558" t="s">
        <v>1452</v>
      </c>
      <c r="B127" s="3558"/>
      <c r="C127" s="3558"/>
      <c r="D127" s="3564" t="str">
        <f ca="1">NUMBERSTRING(INT(D126*10000),2)&amp;"元整"</f>
        <v>贰亿肆仟贰佰陆拾叁万元整</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4" stopIfTrue="1" operator="equal">
      <formula>25</formula>
    </cfRule>
  </conditionalFormatting>
  <conditionalFormatting sqref="C8:C9">
    <cfRule type="cellIs" dxfId="176" priority="22" stopIfTrue="1" operator="equal">
      <formula>15</formula>
    </cfRule>
  </conditionalFormatting>
  <conditionalFormatting sqref="C14:C16">
    <cfRule type="cellIs" dxfId="175" priority="16" stopIfTrue="1" operator="equal">
      <formula>30</formula>
    </cfRule>
  </conditionalFormatting>
  <conditionalFormatting sqref="D5:D7">
    <cfRule type="cellIs" dxfId="174" priority="13" stopIfTrue="1" operator="equal">
      <formula>25</formula>
    </cfRule>
  </conditionalFormatting>
  <conditionalFormatting sqref="C10:C13">
    <cfRule type="cellIs" dxfId="173" priority="11" stopIfTrue="1" operator="equal">
      <formula>15</formula>
    </cfRule>
  </conditionalFormatting>
  <conditionalFormatting sqref="C90">
    <cfRule type="expression" dxfId="172" priority="6" stopIfTrue="1">
      <formula>$H$88&lt;&gt;"仅含出让金"</formula>
    </cfRule>
  </conditionalFormatting>
  <conditionalFormatting sqref="C91">
    <cfRule type="expression" dxfId="171" priority="5" stopIfTrue="1">
      <formula>$H$91="由企业提供"</formula>
    </cfRule>
  </conditionalFormatting>
  <conditionalFormatting sqref="E36">
    <cfRule type="expression" dxfId="170" priority="4" stopIfTrue="1">
      <formula>$D$36="同一抵押权人同一抵押物续贷"</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B46" sqref="B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26131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42003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16013</v>
      </c>
      <c r="D5" s="211" t="s">
        <v>1469</v>
      </c>
      <c r="E5" s="212" t="s">
        <v>1470</v>
      </c>
      <c r="F5" s="212" t="s">
        <v>1471</v>
      </c>
      <c r="G5" s="213"/>
    </row>
    <row r="6" spans="1:9" s="214" customFormat="1" ht="13.5" customHeight="1">
      <c r="A6" s="778" t="s">
        <v>1472</v>
      </c>
      <c r="B6" s="215" t="s">
        <v>1473</v>
      </c>
      <c r="C6" s="216">
        <f>基准地价修正!B2</f>
        <v>15419</v>
      </c>
      <c r="D6" s="217"/>
      <c r="E6" s="218"/>
      <c r="F6" s="218"/>
      <c r="G6" s="219"/>
    </row>
    <row r="7" spans="1:9" s="214" customFormat="1" ht="13.5" customHeight="1">
      <c r="A7" s="778" t="s">
        <v>1474</v>
      </c>
      <c r="B7" s="215" t="s">
        <v>1475</v>
      </c>
      <c r="C7" s="220">
        <f>ROUND(C6*F7,0)</f>
        <v>470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3267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3111</v>
      </c>
      <c r="D34" s="217"/>
      <c r="E34" s="220"/>
      <c r="F34" s="257">
        <f ca="1">IF('数据-取费表'!B24=0,1,IF(B1="",'数据-取费表'!N16,INDIRECT("'数据-取费表'!n"&amp;$G$1)))</f>
        <v>1</v>
      </c>
      <c r="G34" s="219" t="s">
        <v>1526</v>
      </c>
    </row>
    <row r="35" spans="1:7" ht="13.5" customHeight="1">
      <c r="A35" s="780" t="s">
        <v>351</v>
      </c>
      <c r="B35" s="215" t="s">
        <v>1527</v>
      </c>
      <c r="C35" s="220">
        <f ca="1">ROUND(C34*F35,0)</f>
        <v>93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47</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116</v>
      </c>
      <c r="D42" s="238"/>
      <c r="E42" s="238"/>
      <c r="F42" s="239"/>
      <c r="G42" s="3637" t="s">
        <v>1544</v>
      </c>
    </row>
    <row r="43" spans="1:7" ht="13.5" customHeight="1">
      <c r="A43" s="780" t="s">
        <v>347</v>
      </c>
      <c r="B43" s="215" t="s">
        <v>1545</v>
      </c>
      <c r="C43" s="238">
        <f ca="1">ROUND(IF('数据-取费表'!B22&lt;=1,C39*F22*'数据-取费表'!B21/2,C39*(POWER((1+F22),'数据-取费表'!B21/2)-1)),0)</f>
        <v>2</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689</v>
      </c>
      <c r="D45" s="235">
        <f ca="1">C47</f>
        <v>4.0000000000000001E-3</v>
      </c>
      <c r="E45" s="236" t="s">
        <v>1539</v>
      </c>
      <c r="F45" s="246">
        <f ca="1">F27</f>
        <v>0.2</v>
      </c>
      <c r="G45" s="247" t="s">
        <v>1548</v>
      </c>
    </row>
    <row r="46" spans="1:7" s="214" customFormat="1" ht="13.5" customHeight="1">
      <c r="A46" s="780" t="s">
        <v>346</v>
      </c>
      <c r="B46" s="248" t="s">
        <v>1549</v>
      </c>
      <c r="C46" s="249">
        <f ca="1">ROUND((C33+C39)*F27,0)</f>
        <v>689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4610</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3642</v>
      </c>
      <c r="D51" s="232"/>
      <c r="E51" s="232"/>
      <c r="F51" s="264"/>
      <c r="G51" s="234" t="s">
        <v>1560</v>
      </c>
    </row>
    <row r="52" spans="1:7" s="208" customFormat="1" ht="16.5" thickBot="1">
      <c r="A52" s="265" t="s">
        <v>1561</v>
      </c>
      <c r="B52" s="266"/>
      <c r="C52" s="267">
        <f ca="1">C31+C51</f>
        <v>26131</v>
      </c>
      <c r="D52" s="266"/>
      <c r="E52" s="266"/>
      <c r="F52" s="266"/>
      <c r="G52" s="268"/>
    </row>
    <row r="55" spans="1:7" ht="15">
      <c r="B55" s="270" t="s">
        <v>1562</v>
      </c>
      <c r="C55" s="271"/>
    </row>
    <row r="56" spans="1:7">
      <c r="B56" s="273" t="s">
        <v>802</v>
      </c>
      <c r="C56" s="275">
        <f ca="1">1-C57</f>
        <v>0.86099999999999999</v>
      </c>
    </row>
    <row r="57" spans="1:7">
      <c r="B57" s="273" t="s">
        <v>803</v>
      </c>
      <c r="C57" s="274">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3990.8036999999999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507647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507647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3494862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33749793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31105800</v>
      </c>
      <c r="D34" s="217"/>
      <c r="E34" s="220"/>
      <c r="F34" s="257"/>
      <c r="G34" s="219"/>
    </row>
    <row r="35" spans="1:7" ht="13.5" customHeight="1">
      <c r="A35" s="780" t="s">
        <v>351</v>
      </c>
      <c r="B35" s="215" t="s">
        <v>1527</v>
      </c>
      <c r="C35" s="220">
        <f ca="1">ROUND(C34*F35,0)</f>
        <v>933174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466587</v>
      </c>
      <c r="D38" s="220"/>
      <c r="E38" s="220"/>
      <c r="F38" s="259">
        <f>'数据-取费表'!B36</f>
        <v>1.4999999999999999E-2</v>
      </c>
      <c r="G38" s="219" t="s">
        <v>1528</v>
      </c>
    </row>
    <row r="39" spans="1:7" s="214" customFormat="1" ht="13.5" customHeight="1">
      <c r="A39" s="255" t="s">
        <v>1534</v>
      </c>
      <c r="B39" s="210" t="s">
        <v>1535</v>
      </c>
      <c r="C39" s="232">
        <f ca="1">ROUND(C33*F20,0)</f>
        <v>674996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1187655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1164368</v>
      </c>
      <c r="D42" s="238"/>
      <c r="E42" s="238"/>
      <c r="F42" s="239"/>
      <c r="G42" s="3637" t="s">
        <v>1591</v>
      </c>
    </row>
    <row r="43" spans="1:7" ht="13.5" customHeight="1">
      <c r="A43" s="780" t="s">
        <v>347</v>
      </c>
      <c r="B43" s="215" t="s">
        <v>1545</v>
      </c>
      <c r="C43" s="238">
        <f ca="1">ROUND(IF('数据-取费表'!B22&lt;=1,C39*F22*'数据-取费表'!B20/2,C39*(POWER((1+F22),'数据-取费表'!B20/2)-1)),0)</f>
        <v>23287</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6884958</v>
      </c>
      <c r="D45" s="235">
        <f ca="1">C47</f>
        <v>4.0000000000000001E-3</v>
      </c>
      <c r="E45" s="236" t="s">
        <v>1539</v>
      </c>
      <c r="F45" s="246">
        <f ca="1">F27</f>
        <v>0.2</v>
      </c>
      <c r="G45" s="247" t="s">
        <v>1548</v>
      </c>
    </row>
    <row r="46" spans="1:7" s="214" customFormat="1" ht="13.5" customHeight="1">
      <c r="A46" s="780" t="s">
        <v>346</v>
      </c>
      <c r="B46" s="248" t="s">
        <v>1549</v>
      </c>
      <c r="C46" s="249">
        <f ca="1">ROUND((C33+C39)*F27,0)</f>
        <v>6884958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46092627</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36413175</v>
      </c>
      <c r="D51" s="232"/>
      <c r="E51" s="232"/>
      <c r="F51" s="264"/>
      <c r="G51" s="234" t="s">
        <v>1560</v>
      </c>
    </row>
    <row r="52" spans="1:7" s="208" customFormat="1" ht="16.5" thickBot="1">
      <c r="A52" s="265" t="s">
        <v>1561</v>
      </c>
      <c r="B52" s="266"/>
      <c r="C52" s="267">
        <f ca="1">C31+C51</f>
        <v>39908037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2" sqref="E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19943</v>
      </c>
      <c r="C2" s="1387" t="s">
        <v>805</v>
      </c>
      <c r="D2" s="1387"/>
      <c r="E2" s="1388"/>
      <c r="F2" s="1389"/>
      <c r="G2" s="2706"/>
      <c r="H2" s="2695"/>
      <c r="I2" s="2695"/>
      <c r="J2" s="2695"/>
      <c r="K2" s="2696"/>
      <c r="L2" s="2695"/>
      <c r="M2" s="2695"/>
    </row>
    <row r="3" spans="1:37" ht="18" customHeight="1" thickBot="1">
      <c r="A3" s="1390" t="s">
        <v>806</v>
      </c>
      <c r="B3" s="1391">
        <f ca="1">IF(ISERROR(B2*10000/F43),0,ROUND(B2*10000/F43,0))</f>
        <v>32057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1328</v>
      </c>
      <c r="D6" s="155" t="s">
        <v>2109</v>
      </c>
      <c r="E6" s="302" t="s">
        <v>696</v>
      </c>
      <c r="F6" s="303">
        <f ca="1">INDIRECT("'数据-取费表'!u"&amp;$G$1)</f>
        <v>6.5</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6221.16</v>
      </c>
      <c r="G7" s="1384"/>
      <c r="H7" s="304"/>
      <c r="I7" s="3643"/>
      <c r="J7" s="306"/>
      <c r="K7" s="307"/>
      <c r="L7" s="302" t="s">
        <v>697</v>
      </c>
      <c r="M7" s="303">
        <f ca="1">F7</f>
        <v>6221.16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3642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3111</v>
      </c>
      <c r="D14" s="1345" t="s">
        <v>708</v>
      </c>
      <c r="E14" s="1342"/>
      <c r="F14" s="319"/>
      <c r="G14" s="1384"/>
      <c r="H14" s="982" t="s">
        <v>398</v>
      </c>
      <c r="I14" s="302" t="s">
        <v>709</v>
      </c>
      <c r="J14" s="21">
        <f ca="1">C29</f>
        <v>4610</v>
      </c>
      <c r="K14" s="12"/>
      <c r="L14" s="807"/>
      <c r="M14" s="808"/>
    </row>
    <row r="15" spans="1:37" s="1397" customFormat="1" ht="18" customHeight="1" thickBot="1">
      <c r="A15" s="982" t="s">
        <v>399</v>
      </c>
      <c r="B15" s="302" t="s">
        <v>710</v>
      </c>
      <c r="C15" s="21">
        <f ca="1">ROUND(C14*F15,0)</f>
        <v>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689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4610</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23.05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5.46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19700</v>
      </c>
      <c r="D40" s="324" t="s">
        <v>758</v>
      </c>
      <c r="E40" s="302" t="s">
        <v>759</v>
      </c>
      <c r="F40" s="312">
        <f ca="1">INDIRECT("'数据-取费表'!I"&amp;$G$1)</f>
        <v>5.5E-2</v>
      </c>
      <c r="G40" s="1384"/>
      <c r="H40" s="1461">
        <f ca="1">C39/C5</f>
        <v>0.80150375939849627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31666</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-20110</v>
      </c>
      <c r="D46" s="1406" t="str">
        <f>C2</f>
        <v>万元</v>
      </c>
      <c r="E46" s="1400"/>
      <c r="F46" s="1400"/>
      <c r="I46" s="1407" t="s">
        <v>810</v>
      </c>
      <c r="J46" s="1408"/>
      <c r="K46" s="1409"/>
      <c r="L46" s="1410">
        <f ca="1">IF(M47="住宅",0,IF(L48&gt;J51,L60,J60))</f>
        <v>243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19700</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243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4610</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13605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40" t="s">
        <v>837</v>
      </c>
      <c r="L53" s="3641"/>
      <c r="O53" s="1418" t="s">
        <v>409</v>
      </c>
      <c r="P53" s="1419" t="s">
        <v>838</v>
      </c>
      <c r="Q53" s="1420">
        <f ca="1">Q47+Q48</f>
        <v>19943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3642</v>
      </c>
      <c r="D56" s="1447"/>
      <c r="E56" s="1448"/>
      <c r="F56" s="1440"/>
      <c r="I56" s="1449" t="s">
        <v>842</v>
      </c>
      <c r="J56" s="1450" t="s">
        <v>3422</v>
      </c>
      <c r="K56" s="1421" t="s">
        <v>843</v>
      </c>
      <c r="L56" s="1424" t="str">
        <f ca="1">IF(L48&lt;J51,"——",L48-J53)</f>
        <v>——</v>
      </c>
      <c r="O56" s="1418" t="s">
        <v>403</v>
      </c>
      <c r="P56" s="1419" t="s">
        <v>817</v>
      </c>
      <c r="Q56" s="1420">
        <f ca="1">C40+J29</f>
        <v>19700</v>
      </c>
      <c r="R56" s="1420" t="s">
        <v>818</v>
      </c>
    </row>
    <row r="57" spans="1:18" s="1384" customFormat="1" ht="24.75" thickBot="1">
      <c r="A57" s="1451"/>
      <c r="B57" s="950" t="s">
        <v>767</v>
      </c>
      <c r="C57" s="238">
        <f ca="1">C29</f>
        <v>4610</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19700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5.46</v>
      </c>
      <c r="D65" s="964" t="s">
        <v>743</v>
      </c>
      <c r="E65" s="950" t="s">
        <v>744</v>
      </c>
      <c r="F65" s="330">
        <f t="shared" ca="1" si="0"/>
        <v>1.5E-3</v>
      </c>
      <c r="I65" s="1462" t="s">
        <v>867</v>
      </c>
      <c r="J65" s="1463">
        <v>40</v>
      </c>
      <c r="K65" s="1463">
        <v>30</v>
      </c>
      <c r="L65" s="1463">
        <v>50</v>
      </c>
      <c r="M65" s="1465">
        <v>0.02</v>
      </c>
      <c r="O65" s="1418" t="s">
        <v>403</v>
      </c>
      <c r="P65" s="1419" t="s">
        <v>868</v>
      </c>
      <c r="Q65" s="1420">
        <f ca="1">C40+J29</f>
        <v>19700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13605</v>
      </c>
      <c r="R67" s="1420" t="s">
        <v>870</v>
      </c>
    </row>
    <row r="68" spans="1:18" s="1384" customFormat="1" ht="16.5" thickBot="1">
      <c r="A68" s="947" t="s">
        <v>395</v>
      </c>
      <c r="B68" s="948" t="s">
        <v>774</v>
      </c>
      <c r="C68" s="301">
        <f ca="1">ROUND(C67*(1-((1+F70)/(1+F68))^F69)/(F68-F70),0)</f>
        <v>-410</v>
      </c>
      <c r="D68" s="965" t="s">
        <v>758</v>
      </c>
      <c r="E68" s="950" t="s">
        <v>759</v>
      </c>
      <c r="F68" s="312">
        <f ca="1">F40</f>
        <v>5.5E-2</v>
      </c>
      <c r="O68" s="1428" t="s">
        <v>406</v>
      </c>
      <c r="P68" s="1467" t="s">
        <v>871</v>
      </c>
      <c r="Q68" s="1420">
        <f ca="1">ROUND(Q69-Q70*Q71,0)</f>
        <v>793</v>
      </c>
      <c r="R68" s="1420" t="s">
        <v>414</v>
      </c>
    </row>
    <row r="69" spans="1:18" s="1384" customFormat="1" ht="13.5" thickBot="1">
      <c r="A69" s="951"/>
      <c r="B69" s="952"/>
      <c r="C69" s="306"/>
      <c r="D69" s="970" t="s">
        <v>762</v>
      </c>
      <c r="E69" s="950" t="s">
        <v>763</v>
      </c>
      <c r="F69" s="333">
        <f ca="1">F41</f>
        <v>28.02</v>
      </c>
      <c r="O69" s="1428" t="s">
        <v>411</v>
      </c>
      <c r="P69" s="1467" t="s">
        <v>872</v>
      </c>
      <c r="Q69" s="1420">
        <f ca="1">C39</f>
        <v>1066</v>
      </c>
      <c r="R69" s="1420" t="s">
        <v>818</v>
      </c>
    </row>
    <row r="70" spans="1:18" s="1384" customFormat="1" ht="13.5" thickBot="1">
      <c r="A70" s="954"/>
      <c r="B70" s="955"/>
      <c r="C70" s="310"/>
      <c r="D70" s="966"/>
      <c r="E70" s="950" t="s">
        <v>766</v>
      </c>
      <c r="F70" s="1054"/>
      <c r="O70" s="1428" t="s">
        <v>412</v>
      </c>
      <c r="P70" s="1467" t="s">
        <v>873</v>
      </c>
      <c r="Q70" s="1420">
        <f ca="1">C13</f>
        <v>3642</v>
      </c>
      <c r="R70" s="1420" t="s">
        <v>818</v>
      </c>
    </row>
    <row r="71" spans="1:18" s="1384" customFormat="1" ht="13.5" thickBot="1">
      <c r="A71" s="971" t="s">
        <v>396</v>
      </c>
      <c r="B71" s="972" t="s">
        <v>776</v>
      </c>
      <c r="C71" s="336">
        <f ca="1">ROUND(C68*10000/F71,0)</f>
        <v>-659</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273</v>
      </c>
      <c r="D75" s="1384"/>
      <c r="E75" s="1384"/>
      <c r="F75" s="1384"/>
      <c r="K75" s="1402"/>
      <c r="L75" s="1384"/>
      <c r="O75" s="1418" t="s">
        <v>409</v>
      </c>
      <c r="P75" s="1419" t="s">
        <v>838</v>
      </c>
      <c r="Q75" s="1420">
        <f ca="1">Q65+Q66</f>
        <v>19700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0.74399999999999999</v>
      </c>
    </row>
    <row r="80" spans="1:18">
      <c r="B80" s="340" t="s">
        <v>800</v>
      </c>
      <c r="C80" s="274">
        <f ca="1">ROUND(C75/C39,3)</f>
        <v>0.25600000000000001</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5" t="s">
        <v>2321</v>
      </c>
      <c r="K2" s="364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7" t="s">
        <v>2331</v>
      </c>
      <c r="K3" s="364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7" t="s">
        <v>2333</v>
      </c>
      <c r="K4" s="364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9" t="s">
        <v>2337</v>
      </c>
      <c r="B6" s="3650"/>
      <c r="C6" s="3651"/>
      <c r="D6" s="2870"/>
      <c r="E6" s="2871"/>
      <c r="F6" s="2872"/>
      <c r="G6" s="2873"/>
      <c r="H6" s="2848"/>
      <c r="I6" s="2849"/>
      <c r="J6" s="3652">
        <v>1</v>
      </c>
      <c r="K6" s="365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2"/>
      <c r="K7" s="365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6" t="s">
        <v>2351</v>
      </c>
      <c r="C8" s="3657"/>
      <c r="D8" s="2889" t="s">
        <v>2352</v>
      </c>
      <c r="E8" s="2890" t="s">
        <v>2353</v>
      </c>
      <c r="F8" s="2891" t="s">
        <v>2354</v>
      </c>
      <c r="G8" s="2892"/>
      <c r="H8" s="2848"/>
      <c r="I8" s="2849"/>
      <c r="J8" s="3652"/>
      <c r="K8" s="365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6" t="s">
        <v>2357</v>
      </c>
      <c r="C9" s="3657"/>
      <c r="D9" s="2889">
        <f>ROUND(D6*E9,0)</f>
        <v>0</v>
      </c>
      <c r="E9" s="2893"/>
      <c r="F9" s="2894" t="s">
        <v>2358</v>
      </c>
      <c r="G9" s="2873"/>
      <c r="H9" s="2848"/>
      <c r="I9" s="2849"/>
      <c r="J9" s="3652"/>
      <c r="K9" s="3654"/>
      <c r="L9" s="2883" t="s">
        <v>2359</v>
      </c>
      <c r="M9" s="2884"/>
      <c r="N9" s="2860"/>
      <c r="O9" s="2885"/>
      <c r="P9" s="2885"/>
      <c r="Q9" s="2886">
        <v>365</v>
      </c>
      <c r="R9" s="2887">
        <f t="shared" si="0"/>
        <v>0</v>
      </c>
      <c r="S9" s="2841"/>
      <c r="T9" s="2841"/>
      <c r="U9" s="2841"/>
      <c r="V9" s="2849"/>
    </row>
    <row r="10" spans="1:22" s="2853" customFormat="1" ht="13.15" customHeight="1">
      <c r="A10" s="2888">
        <v>2</v>
      </c>
      <c r="B10" s="3656" t="s">
        <v>2360</v>
      </c>
      <c r="C10" s="3657"/>
      <c r="D10" s="2889">
        <f>ROUND(D6*E10,0)</f>
        <v>0</v>
      </c>
      <c r="E10" s="2893"/>
      <c r="F10" s="2894" t="s">
        <v>2361</v>
      </c>
      <c r="G10" s="2873"/>
      <c r="H10" s="2848"/>
      <c r="I10" s="2849"/>
      <c r="J10" s="3652"/>
      <c r="K10" s="3654"/>
      <c r="L10" s="2883" t="s">
        <v>2362</v>
      </c>
      <c r="M10" s="2884"/>
      <c r="N10" s="2860"/>
      <c r="O10" s="2885"/>
      <c r="P10" s="2885"/>
      <c r="Q10" s="2886">
        <v>365</v>
      </c>
      <c r="R10" s="2887">
        <f t="shared" si="0"/>
        <v>0</v>
      </c>
      <c r="S10" s="2841"/>
      <c r="T10" s="2841"/>
      <c r="U10" s="2841"/>
      <c r="V10" s="2849"/>
    </row>
    <row r="11" spans="1:22" s="2853" customFormat="1" ht="13.15" customHeight="1">
      <c r="A11" s="2888">
        <v>3</v>
      </c>
      <c r="B11" s="3656" t="s">
        <v>2363</v>
      </c>
      <c r="C11" s="3657"/>
      <c r="D11" s="2889">
        <f>D12+D14+D15+D16</f>
        <v>0</v>
      </c>
      <c r="E11" s="2895" t="e">
        <f>D11/D6</f>
        <v>#DIV/0!</v>
      </c>
      <c r="F11" s="2891"/>
      <c r="G11" s="2892"/>
      <c r="H11" s="2848"/>
      <c r="I11" s="2849"/>
      <c r="J11" s="3652"/>
      <c r="K11" s="365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8" t="s">
        <v>2366</v>
      </c>
      <c r="C12" s="3659"/>
      <c r="D12" s="2897">
        <f>ROUND(D13*1.2%*(1-30%),0)</f>
        <v>0</v>
      </c>
      <c r="E12" s="2898">
        <v>1.2E-2</v>
      </c>
      <c r="F12" s="2891" t="s">
        <v>2367</v>
      </c>
      <c r="G12" s="2892"/>
      <c r="H12" s="2848"/>
      <c r="I12" s="2849"/>
      <c r="J12" s="3652"/>
      <c r="K12" s="365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2"/>
      <c r="K13" s="365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8" t="s">
        <v>2372</v>
      </c>
      <c r="C14" s="3659"/>
      <c r="D14" s="2897">
        <f>ROUND(E14*B5/10000,0)</f>
        <v>0</v>
      </c>
      <c r="E14" s="2886"/>
      <c r="F14" s="2891" t="s">
        <v>2373</v>
      </c>
      <c r="G14" s="2892"/>
      <c r="H14" s="2848"/>
      <c r="I14" s="2849"/>
      <c r="J14" s="3652"/>
      <c r="K14" s="365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8" t="s">
        <v>2376</v>
      </c>
      <c r="C15" s="3659"/>
      <c r="D15" s="2897">
        <f>ROUND(D6*E15,0)</f>
        <v>0</v>
      </c>
      <c r="E15" s="2898">
        <v>5.5E-2</v>
      </c>
      <c r="F15" s="2891" t="s">
        <v>2377</v>
      </c>
      <c r="G15" s="2873"/>
      <c r="H15" s="2848"/>
      <c r="I15" s="2849"/>
      <c r="J15" s="3652">
        <v>2</v>
      </c>
      <c r="K15" s="365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8" t="s">
        <v>2385</v>
      </c>
      <c r="C16" s="3659"/>
      <c r="D16" s="2908">
        <f>D6*E16</f>
        <v>0</v>
      </c>
      <c r="E16" s="2909"/>
      <c r="F16" s="2894" t="s">
        <v>2386</v>
      </c>
      <c r="G16" s="2873"/>
      <c r="H16" s="2848"/>
      <c r="I16" s="2849"/>
      <c r="J16" s="3652"/>
      <c r="K16" s="365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2388</v>
      </c>
      <c r="C17" s="3661"/>
      <c r="D17" s="2911">
        <f>ROUND(D6*E17,0)</f>
        <v>0</v>
      </c>
      <c r="E17" s="2912"/>
      <c r="F17" s="2913" t="s">
        <v>2389</v>
      </c>
      <c r="G17" s="2873"/>
      <c r="H17" s="2848"/>
      <c r="I17" s="2849"/>
      <c r="J17" s="3652"/>
      <c r="K17" s="365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2"/>
      <c r="K18" s="365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2"/>
      <c r="K19" s="365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2"/>
      <c r="K21" s="365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2"/>
      <c r="K22" s="365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2"/>
      <c r="K23" s="365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2"/>
      <c r="K24" s="365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5" t="s">
        <v>2321</v>
      </c>
      <c r="K32" s="364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7" t="s">
        <v>2331</v>
      </c>
      <c r="K33" s="364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7" t="s">
        <v>2333</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2">
        <v>1</v>
      </c>
      <c r="K36" s="365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2"/>
      <c r="K40" s="365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19943</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32057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19943</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13" t="s">
        <v>1771</v>
      </c>
      <c r="S4" s="3714"/>
      <c r="T4" s="3713" t="s">
        <v>1772</v>
      </c>
      <c r="U4" s="3714"/>
      <c r="V4" s="3722" t="s">
        <v>1773</v>
      </c>
      <c r="W4" s="3722"/>
      <c r="X4" s="1958"/>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5"/>
      <c r="M5" s="2716"/>
      <c r="N5" s="2716"/>
      <c r="O5" s="2716"/>
      <c r="P5" s="3720"/>
      <c r="Q5" s="3691"/>
      <c r="R5" s="3673"/>
      <c r="S5" s="3674"/>
      <c r="T5" s="3673"/>
      <c r="U5" s="3674"/>
      <c r="V5" s="3696"/>
      <c r="W5" s="3696"/>
      <c r="X5" s="1355"/>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721"/>
      <c r="Q6" s="3693"/>
      <c r="R6" s="3673"/>
      <c r="S6" s="3674"/>
      <c r="T6" s="3694"/>
      <c r="U6" s="3695"/>
      <c r="V6" s="3696"/>
      <c r="W6" s="3696"/>
      <c r="X6" s="1355"/>
      <c r="Y6" s="3694"/>
      <c r="Z6" s="3695"/>
      <c r="AA6" s="3668"/>
      <c r="AB6" s="3668"/>
      <c r="AC6" s="3717"/>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15"/>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15"/>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15419</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24785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15419</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D23" sqref="D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15419</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24785</v>
      </c>
      <c r="C3" s="1999" t="s">
        <v>1941</v>
      </c>
      <c r="D3" s="2000" t="s">
        <v>1942</v>
      </c>
      <c r="E3" s="3420" t="s">
        <v>3400</v>
      </c>
      <c r="F3" s="2004" t="s">
        <v>3401</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3258</v>
      </c>
      <c r="B20" s="167" t="s">
        <v>1994</v>
      </c>
      <c r="C20" s="3325">
        <f>ROUND(IF(F21="与级别开发程度一致",0,(G21-E21)/C21),0)</f>
        <v>-17</v>
      </c>
      <c r="D20" s="3341" t="s">
        <v>1998</v>
      </c>
      <c r="E20" s="3342"/>
      <c r="F20" s="3759" t="s">
        <v>1995</v>
      </c>
      <c r="G20" s="3760"/>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15419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24785</v>
      </c>
      <c r="D33" s="2098">
        <f>'数据-基础表'!I5</f>
        <v>6221.16</v>
      </c>
      <c r="E33" s="773">
        <f>ROUND(C33*D33/10000,0)</f>
        <v>15419</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6196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3.5</v>
      </c>
      <c r="C116" s="3400" t="s">
        <v>3317</v>
      </c>
      <c r="D116" s="3401">
        <f>SUMPRODUCT((A118:A122=F116)*(B117:M117=H116)*B118:M122)</f>
        <v>0.95379999999999998</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3333</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3334</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3335</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1"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1" t="s">
        <v>2616</v>
      </c>
      <c r="C27" s="3103" t="s">
        <v>2456</v>
      </c>
      <c r="D27" s="3104"/>
      <c r="E27" s="3105">
        <v>1</v>
      </c>
      <c r="F27" s="3106" t="s">
        <v>2457</v>
      </c>
      <c r="G27" s="3106"/>
    </row>
    <row r="28" spans="1:13" ht="19.5" customHeight="1">
      <c r="A28" s="3765"/>
      <c r="B28" s="3762"/>
      <c r="C28" s="3107" t="s">
        <v>2458</v>
      </c>
      <c r="D28" s="3108"/>
      <c r="E28" s="3109">
        <v>1</v>
      </c>
      <c r="F28" s="3106" t="s">
        <v>2459</v>
      </c>
      <c r="G28" s="3106"/>
    </row>
    <row r="29" spans="1:13" ht="19.5" customHeight="1">
      <c r="A29" s="3765"/>
      <c r="B29" s="3762"/>
      <c r="C29" s="3107" t="s">
        <v>2460</v>
      </c>
      <c r="D29" s="3108"/>
      <c r="E29" s="3109">
        <v>0.8</v>
      </c>
      <c r="F29" s="3106" t="s">
        <v>2461</v>
      </c>
      <c r="G29" s="3106"/>
    </row>
    <row r="30" spans="1:13" ht="19.5" customHeight="1">
      <c r="A30" s="3765"/>
      <c r="B30" s="3762"/>
      <c r="C30" s="3107" t="s">
        <v>2462</v>
      </c>
      <c r="D30" s="3108"/>
      <c r="E30" s="3109">
        <v>0.8</v>
      </c>
      <c r="F30" s="3106" t="s">
        <v>2463</v>
      </c>
      <c r="G30" s="3106"/>
    </row>
    <row r="31" spans="1:13" ht="19.5" customHeight="1">
      <c r="A31" s="3765"/>
      <c r="B31" s="3762"/>
      <c r="C31" s="3107" t="s">
        <v>2464</v>
      </c>
      <c r="D31" s="3108"/>
      <c r="E31" s="3109">
        <v>0.8</v>
      </c>
      <c r="F31" s="3106" t="s">
        <v>2465</v>
      </c>
      <c r="G31" s="3106"/>
    </row>
    <row r="32" spans="1:13" ht="19.5" customHeight="1">
      <c r="A32" s="3765"/>
      <c r="B32" s="3762"/>
      <c r="C32" s="3107" t="s">
        <v>2466</v>
      </c>
      <c r="D32" s="3108"/>
      <c r="E32" s="3109">
        <v>0.7</v>
      </c>
      <c r="F32" s="3106" t="s">
        <v>2467</v>
      </c>
      <c r="G32" s="3106"/>
    </row>
    <row r="33" spans="1:7" ht="19.5" customHeight="1">
      <c r="A33" s="3765"/>
      <c r="B33" s="3762"/>
      <c r="C33" s="3107" t="s">
        <v>2468</v>
      </c>
      <c r="D33" s="3108"/>
      <c r="E33" s="3109">
        <v>0.8</v>
      </c>
      <c r="F33" s="3106" t="s">
        <v>2469</v>
      </c>
      <c r="G33" s="3106"/>
    </row>
    <row r="34" spans="1:7" ht="19.5" customHeight="1">
      <c r="A34" s="3765"/>
      <c r="B34" s="3762"/>
      <c r="C34" s="3107" t="s">
        <v>2470</v>
      </c>
      <c r="D34" s="3108"/>
      <c r="E34" s="3109">
        <v>0.6</v>
      </c>
      <c r="F34" s="3106" t="s">
        <v>2471</v>
      </c>
      <c r="G34" s="3106"/>
    </row>
    <row r="35" spans="1:7" ht="19.5" customHeight="1">
      <c r="A35" s="3765"/>
      <c r="B35" s="3762"/>
      <c r="C35" s="3107" t="s">
        <v>2472</v>
      </c>
      <c r="D35" s="3108"/>
      <c r="E35" s="3109">
        <v>0.2</v>
      </c>
      <c r="F35" s="3106" t="s">
        <v>2473</v>
      </c>
      <c r="G35" s="3106"/>
    </row>
    <row r="36" spans="1:7" ht="19.5" customHeight="1">
      <c r="A36" s="3765"/>
      <c r="B36" s="3762"/>
      <c r="C36" s="3107" t="s">
        <v>2474</v>
      </c>
      <c r="D36" s="3108"/>
      <c r="E36" s="3109">
        <v>0.2</v>
      </c>
      <c r="F36" s="3106" t="s">
        <v>2475</v>
      </c>
      <c r="G36" s="3106"/>
    </row>
    <row r="37" spans="1:7" ht="19.5" customHeight="1">
      <c r="A37" s="3765"/>
      <c r="B37" s="3767" t="s">
        <v>2636</v>
      </c>
      <c r="C37" s="3107" t="s">
        <v>2476</v>
      </c>
      <c r="D37" s="3108"/>
      <c r="E37" s="3109">
        <v>0.6</v>
      </c>
      <c r="F37" s="3106" t="s">
        <v>2477</v>
      </c>
      <c r="G37" s="3106"/>
    </row>
    <row r="38" spans="1:7" ht="19.5" customHeight="1">
      <c r="A38" s="3765"/>
      <c r="B38" s="3762"/>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1"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7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7"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71"/>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71"/>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71"/>
      <c r="C112" s="3118" t="s">
        <v>2736</v>
      </c>
      <c r="D112" s="3092" t="s">
        <v>2737</v>
      </c>
      <c r="E112" s="3118">
        <v>0.1</v>
      </c>
      <c r="F112" s="3118">
        <v>15</v>
      </c>
    </row>
    <row r="113" spans="1:6" ht="13.5">
      <c r="A113" s="3118">
        <v>41</v>
      </c>
      <c r="B113" s="3772" t="s">
        <v>2738</v>
      </c>
      <c r="C113" s="3118" t="s">
        <v>2739</v>
      </c>
      <c r="D113" s="3092" t="s">
        <v>2740</v>
      </c>
      <c r="E113" s="3118">
        <v>0.1</v>
      </c>
      <c r="F113" s="3118">
        <v>15</v>
      </c>
    </row>
    <row r="114" spans="1:6" ht="13.5">
      <c r="A114" s="3118">
        <v>42</v>
      </c>
      <c r="B114" s="3772"/>
      <c r="C114" s="3118" t="s">
        <v>2741</v>
      </c>
      <c r="D114" s="3092" t="s">
        <v>2742</v>
      </c>
      <c r="E114" s="3118">
        <v>0.1</v>
      </c>
      <c r="F114" s="3118">
        <v>15</v>
      </c>
    </row>
    <row r="115" spans="1:6" ht="24">
      <c r="A115" s="3118">
        <v>43</v>
      </c>
      <c r="B115" s="3772"/>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71"/>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71"/>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71"/>
      <c r="C121" s="3118" t="s">
        <v>2758</v>
      </c>
      <c r="D121" s="3092" t="s">
        <v>2759</v>
      </c>
      <c r="E121" s="3118">
        <v>0.1</v>
      </c>
      <c r="F121" s="3118">
        <v>15</v>
      </c>
    </row>
    <row r="122" spans="1:6" ht="24">
      <c r="A122" s="3118">
        <v>50</v>
      </c>
      <c r="B122" s="3772" t="s">
        <v>2760</v>
      </c>
      <c r="C122" s="3118" t="s">
        <v>2761</v>
      </c>
      <c r="D122" s="3092" t="s">
        <v>2762</v>
      </c>
      <c r="E122" s="3118">
        <v>0.1</v>
      </c>
      <c r="F122" s="3118">
        <v>15</v>
      </c>
    </row>
    <row r="123" spans="1:6" ht="24">
      <c r="A123" s="3118">
        <v>51</v>
      </c>
      <c r="B123" s="3772"/>
      <c r="C123" s="3118" t="s">
        <v>2763</v>
      </c>
      <c r="D123" s="3092" t="s">
        <v>2764</v>
      </c>
      <c r="E123" s="3118">
        <v>0.1</v>
      </c>
      <c r="F123" s="3118">
        <v>15</v>
      </c>
    </row>
    <row r="124" spans="1:6" ht="24">
      <c r="A124" s="3118">
        <v>52</v>
      </c>
      <c r="B124" s="3772" t="s">
        <v>2765</v>
      </c>
      <c r="C124" s="3118" t="s">
        <v>2766</v>
      </c>
      <c r="D124" s="3092" t="s">
        <v>2767</v>
      </c>
      <c r="E124" s="3118">
        <v>0.1</v>
      </c>
      <c r="F124" s="3118">
        <v>15</v>
      </c>
    </row>
    <row r="125" spans="1:6" ht="24">
      <c r="A125" s="3118">
        <v>53</v>
      </c>
      <c r="B125" s="377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2" t="s">
        <v>2773</v>
      </c>
      <c r="C127" s="3118" t="s">
        <v>2774</v>
      </c>
      <c r="D127" s="3092" t="s">
        <v>2775</v>
      </c>
      <c r="E127" s="3118">
        <v>0.1</v>
      </c>
      <c r="F127" s="3118">
        <v>15</v>
      </c>
    </row>
    <row r="128" spans="1:6" ht="13.5">
      <c r="A128" s="3118">
        <v>56</v>
      </c>
      <c r="B128" s="3772"/>
      <c r="C128" s="3118" t="s">
        <v>2776</v>
      </c>
      <c r="D128" s="3092" t="s">
        <v>2777</v>
      </c>
      <c r="E128" s="3118">
        <v>0.1</v>
      </c>
      <c r="F128" s="3118">
        <v>15</v>
      </c>
    </row>
    <row r="129" spans="1:6" ht="24">
      <c r="A129" s="3118">
        <v>57</v>
      </c>
      <c r="B129" s="3772"/>
      <c r="C129" s="3118" t="s">
        <v>2778</v>
      </c>
      <c r="D129" s="3092" t="s">
        <v>2779</v>
      </c>
      <c r="E129" s="3118">
        <v>0.1</v>
      </c>
      <c r="F129" s="3118">
        <v>15</v>
      </c>
    </row>
    <row r="130" spans="1:6" ht="24">
      <c r="A130" s="3118">
        <v>58</v>
      </c>
      <c r="B130" s="3772" t="s">
        <v>2780</v>
      </c>
      <c r="C130" s="3118" t="s">
        <v>2781</v>
      </c>
      <c r="D130" s="3092" t="s">
        <v>2782</v>
      </c>
      <c r="E130" s="3118">
        <v>0.1</v>
      </c>
      <c r="F130" s="3118">
        <v>15</v>
      </c>
    </row>
    <row r="131" spans="1:6" ht="13.5">
      <c r="A131" s="3118">
        <v>59</v>
      </c>
      <c r="B131" s="3772"/>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7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2" t="s">
        <v>2793</v>
      </c>
      <c r="C135" s="3118" t="s">
        <v>2794</v>
      </c>
      <c r="D135" s="3092" t="s">
        <v>2795</v>
      </c>
      <c r="E135" s="3118">
        <v>0.1</v>
      </c>
      <c r="F135" s="3118">
        <v>15</v>
      </c>
    </row>
    <row r="136" spans="1:6" ht="13.5">
      <c r="A136" s="3118">
        <v>64</v>
      </c>
      <c r="B136" s="377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32763</v>
      </c>
      <c r="C2" s="2" t="s">
        <v>106</v>
      </c>
      <c r="D2" s="199"/>
      <c r="E2" s="199"/>
      <c r="F2" s="199"/>
      <c r="G2" s="199"/>
    </row>
    <row r="3" spans="1:7" s="200" customFormat="1" ht="18" customHeight="1" thickBot="1">
      <c r="A3" s="203" t="s">
        <v>58</v>
      </c>
      <c r="B3" s="204">
        <f ca="1">ROUND(B2*10000/'数据-汇总表'!E3,0)</f>
        <v>52664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4230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3111</v>
      </c>
      <c r="D34" s="217"/>
      <c r="E34" s="220"/>
      <c r="F34" s="257">
        <f>IF('数据-取费表'!B24=0,1,'数据-取费表'!N16)</f>
        <v>1</v>
      </c>
      <c r="G34" s="219" t="s">
        <v>89</v>
      </c>
    </row>
    <row r="35" spans="1:7" ht="13.5" customHeight="1">
      <c r="A35" s="780" t="s">
        <v>351</v>
      </c>
      <c r="B35" s="215" t="s">
        <v>33</v>
      </c>
      <c r="C35" s="220">
        <f>ROUND(C34*F35,0)</f>
        <v>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47</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116</v>
      </c>
      <c r="D42" s="238"/>
      <c r="E42" s="238"/>
      <c r="F42" s="239"/>
      <c r="G42" s="3637" t="s">
        <v>94</v>
      </c>
    </row>
    <row r="43" spans="1:7" ht="13.5" customHeight="1">
      <c r="A43" s="780" t="s">
        <v>347</v>
      </c>
      <c r="B43" s="215" t="s">
        <v>426</v>
      </c>
      <c r="C43" s="238">
        <f ca="1">ROUND(IF('数据-取费表'!B22&lt;=1,C39*F22*'数据-取费表'!B21/2,C39*(POWER((1+F22),'数据-取费表'!B21/2)-1)),0)</f>
        <v>2</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689</v>
      </c>
      <c r="D45" s="235">
        <f>C47</f>
        <v>4.0000000000000001E-3</v>
      </c>
      <c r="E45" s="236" t="s">
        <v>102</v>
      </c>
      <c r="F45" s="246"/>
      <c r="G45" s="247" t="s">
        <v>434</v>
      </c>
    </row>
    <row r="46" spans="1:7" s="214" customFormat="1" ht="13.5" customHeight="1">
      <c r="A46" s="780" t="s">
        <v>349</v>
      </c>
      <c r="B46" s="248" t="s">
        <v>427</v>
      </c>
      <c r="C46" s="249">
        <f>ROUND((C33+C39)*F27,0)</f>
        <v>689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4610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3642</v>
      </c>
      <c r="D51" s="232"/>
      <c r="E51" s="232"/>
      <c r="F51" s="264"/>
      <c r="G51" s="234" t="s">
        <v>37</v>
      </c>
    </row>
    <row r="52" spans="1:7" s="208" customFormat="1" ht="16.5" thickBot="1">
      <c r="A52" s="265" t="s">
        <v>38</v>
      </c>
      <c r="B52" s="266"/>
      <c r="C52" s="267">
        <f ca="1">C31+C51</f>
        <v>32763</v>
      </c>
      <c r="D52" s="266"/>
      <c r="E52" s="266"/>
      <c r="F52" s="266"/>
      <c r="G52" s="268"/>
    </row>
    <row r="55" spans="1:7" ht="15">
      <c r="B55" s="270" t="s">
        <v>39</v>
      </c>
      <c r="C55" s="271"/>
    </row>
    <row r="56" spans="1:7">
      <c r="B56" s="273" t="s">
        <v>40</v>
      </c>
      <c r="C56" s="274">
        <f ca="1">ROUND(C51/C52,3)</f>
        <v>0.111</v>
      </c>
    </row>
    <row r="57" spans="1:7">
      <c r="B57" s="273" t="s">
        <v>41</v>
      </c>
      <c r="C57" s="275">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24275</v>
      </c>
      <c r="E5" s="1491"/>
    </row>
    <row r="6" spans="1:5" ht="15.75">
      <c r="A6" s="1491"/>
      <c r="B6" s="3456"/>
      <c r="C6" s="1494" t="s">
        <v>911</v>
      </c>
      <c r="D6" s="850" t="str">
        <f ca="1">NUMBERSTRING(INT(D5*10000),2)&amp;"元整"</f>
        <v>贰亿肆仟贰佰柒拾伍万元整</v>
      </c>
      <c r="E6" s="1491"/>
    </row>
    <row r="7" spans="1:5" ht="15.75">
      <c r="A7" s="1491"/>
      <c r="B7" s="3461"/>
      <c r="C7" s="1495" t="s">
        <v>912</v>
      </c>
      <c r="D7" s="851">
        <f ca="1">结果表!H102</f>
        <v>39020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24275</v>
      </c>
      <c r="E13" s="1491"/>
    </row>
    <row r="14" spans="1:5" ht="15.75">
      <c r="A14" s="1491"/>
      <c r="B14" s="3456"/>
      <c r="C14" s="1494" t="s">
        <v>911</v>
      </c>
      <c r="D14" s="850" t="str">
        <f ca="1">NUMBERSTRING(INT(D13*10000),2)&amp;"元整"</f>
        <v>贰亿肆仟贰佰柒拾伍万元整</v>
      </c>
      <c r="E14" s="1491"/>
    </row>
    <row r="15" spans="1:5" ht="15">
      <c r="A15" s="1491"/>
      <c r="B15" s="3461"/>
      <c r="C15" s="1495" t="s">
        <v>921</v>
      </c>
      <c r="D15" s="859">
        <f ca="1">结果表!H108</f>
        <v>39020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24263</v>
      </c>
      <c r="E19" s="1491"/>
    </row>
    <row r="20" spans="1:5" ht="15.75">
      <c r="A20" s="1491"/>
      <c r="B20" s="3456"/>
      <c r="C20" s="1494" t="s">
        <v>923</v>
      </c>
      <c r="D20" s="850" t="str">
        <f ca="1">NUMBERSTRING(INT(D19*10000),2)&amp;"元整"</f>
        <v>贰亿肆仟贰佰陆拾叁万元整</v>
      </c>
      <c r="E20" s="1491"/>
    </row>
    <row r="21" spans="1:5" ht="15.75" thickBot="1">
      <c r="A21" s="1491"/>
      <c r="B21" s="3457"/>
      <c r="C21" s="1501" t="s">
        <v>921</v>
      </c>
      <c r="D21" s="860">
        <f ca="1">结果表!H112</f>
        <v>39001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2843</v>
      </c>
      <c r="B1" s="3775"/>
      <c r="C1" s="3775"/>
      <c r="D1" s="3775"/>
      <c r="E1" s="3775"/>
      <c r="F1" s="3775"/>
      <c r="G1" s="3776"/>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3"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4"/>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3185</v>
      </c>
      <c r="B1" s="3777"/>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8" t="s">
        <v>3236</v>
      </c>
      <c r="B1" s="3778"/>
      <c r="C1" s="3778"/>
      <c r="D1" s="3778"/>
      <c r="E1" s="3778"/>
      <c r="F1" s="3779"/>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0" t="s">
        <v>2831</v>
      </c>
      <c r="S24" s="3781"/>
      <c r="T24" s="3781"/>
      <c r="U24" s="3781"/>
      <c r="V24" s="3781"/>
      <c r="W24" s="3781"/>
      <c r="X24" s="3165"/>
      <c r="Y24" s="3780" t="s">
        <v>2832</v>
      </c>
      <c r="Z24" s="3781"/>
      <c r="AA24" s="3781"/>
      <c r="AB24" s="3781"/>
      <c r="AC24" s="3781"/>
      <c r="AD24" s="3781"/>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20901</v>
      </c>
      <c r="E4" s="854">
        <f ca="1">结果表!E118</f>
        <v>33597</v>
      </c>
      <c r="F4" s="854">
        <f ca="1">结果表!F118</f>
        <v>3374</v>
      </c>
      <c r="G4" s="854">
        <f ca="1">结果表!G118</f>
        <v>5423</v>
      </c>
      <c r="H4" s="854">
        <f ca="1">结果表!H118</f>
        <v>24275</v>
      </c>
      <c r="I4" s="854">
        <f ca="1">结果表!I118</f>
        <v>39020</v>
      </c>
    </row>
    <row r="5" spans="1:9" ht="30" customHeight="1">
      <c r="A5" s="3467" t="s">
        <v>927</v>
      </c>
      <c r="B5" s="3467"/>
      <c r="C5" s="3467"/>
      <c r="D5" s="3467" t="str">
        <f ca="1">结果表!D119</f>
        <v>贰亿零玖佰零壹万元整</v>
      </c>
      <c r="E5" s="3467"/>
      <c r="F5" s="3467" t="str">
        <f ca="1">结果表!F119</f>
        <v>叁仟叁佰柒拾肆万元整</v>
      </c>
      <c r="G5" s="3467"/>
      <c r="H5" s="3467" t="str">
        <f ca="1">结果表!H119</f>
        <v>贰亿肆仟贰佰柒拾伍万元整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24275</v>
      </c>
      <c r="E8" s="3468"/>
      <c r="F8" s="3468"/>
      <c r="G8" s="3468"/>
      <c r="H8" s="3468"/>
      <c r="I8" s="3468"/>
    </row>
    <row r="9" spans="1:9" ht="15">
      <c r="A9" s="3467" t="s">
        <v>927</v>
      </c>
      <c r="B9" s="3467"/>
      <c r="C9" s="3467"/>
      <c r="D9" s="3467" t="str">
        <f ca="1">结果表!D123</f>
        <v>贰亿肆仟贰佰柒拾伍万元整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24263</v>
      </c>
      <c r="E12" s="3468"/>
      <c r="F12" s="3468"/>
      <c r="G12" s="3468"/>
      <c r="H12" s="3468"/>
      <c r="I12" s="3468"/>
    </row>
    <row r="13" spans="1:9" ht="15.75" thickBot="1">
      <c r="A13" s="3472" t="s">
        <v>927</v>
      </c>
      <c r="B13" s="3472"/>
      <c r="C13" s="3472"/>
      <c r="D13" s="3472" t="str">
        <f ca="1">结果表!D127</f>
        <v>贰亿肆仟贰佰陆拾叁万元整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2024-08-12T07:27:58Z</dcterms:modified>
</cp:coreProperties>
</file>