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T20" i="1" l="1"/>
  <c r="V20" i="1" s="1"/>
  <c r="T19" i="1"/>
  <c r="T21" i="1" s="1"/>
  <c r="V19" i="1" l="1"/>
  <c r="V21" i="1" s="1"/>
  <c r="U21" i="1" s="1"/>
  <c r="H75" i="9"/>
  <c r="J49" i="15" l="1"/>
  <c r="AB28" i="79"/>
  <c r="AA28" i="79"/>
  <c r="Z28" i="79"/>
  <c r="N28" i="79"/>
  <c r="M28" i="79"/>
  <c r="P28" i="79" s="1"/>
  <c r="L28" i="79"/>
  <c r="I28" i="79"/>
  <c r="AD28" i="79" s="1"/>
  <c r="AC5" i="79"/>
  <c r="AB5" i="79"/>
  <c r="AA5" i="79"/>
  <c r="AD5" i="79" s="1"/>
  <c r="Z5" i="79"/>
  <c r="Y5" i="79"/>
  <c r="P5" i="79"/>
  <c r="O5" i="79"/>
  <c r="N5" i="79"/>
  <c r="M5" i="79"/>
  <c r="L5" i="79"/>
  <c r="K5" i="79"/>
  <c r="I5" i="79"/>
  <c r="N18" i="1" l="1"/>
  <c r="N6" i="1" s="1"/>
  <c r="Y6" i="1" s="1"/>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AD29" i="79" s="1"/>
  <c r="U26"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K12" i="79"/>
  <c r="I12" i="79"/>
  <c r="AC6" i="79"/>
  <c r="AB6" i="79"/>
  <c r="AA6" i="79"/>
  <c r="AD6" i="79" s="1"/>
  <c r="Z6" i="79"/>
  <c r="Y6" i="79"/>
  <c r="O6" i="79"/>
  <c r="V3" i="79" s="1"/>
  <c r="N6" i="79"/>
  <c r="U5" i="79" s="1"/>
  <c r="M6" i="79"/>
  <c r="L6" i="79"/>
  <c r="K6" i="79"/>
  <c r="I6"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AB3" i="79"/>
  <c r="T13" i="79"/>
  <c r="W13" i="79" s="1"/>
  <c r="U14" i="79"/>
  <c r="R15" i="79"/>
  <c r="V15" i="79"/>
  <c r="R16" i="79"/>
  <c r="V16" i="79"/>
  <c r="T26" i="79"/>
  <c r="W26" i="79" s="1"/>
  <c r="T29" i="79"/>
  <c r="T28" i="79"/>
  <c r="W28" i="79" s="1"/>
  <c r="U30" i="79"/>
  <c r="AD36" i="79"/>
  <c r="S37" i="79"/>
  <c r="U39" i="79"/>
  <c r="AD40" i="79"/>
  <c r="S5" i="79"/>
  <c r="Y3" i="79"/>
  <c r="AC3" i="79"/>
  <c r="U13" i="79"/>
  <c r="R14" i="79"/>
  <c r="V14" i="79"/>
  <c r="L26" i="79"/>
  <c r="U28" i="79"/>
  <c r="S3" i="79"/>
  <c r="Z3" i="79"/>
  <c r="U3" i="79"/>
  <c r="R13" i="79"/>
  <c r="V13" i="79"/>
  <c r="S14" i="79"/>
  <c r="T15" i="79"/>
  <c r="W15" i="79" s="1"/>
  <c r="M26" i="79"/>
  <c r="P26" i="79" s="1"/>
  <c r="S30" i="79"/>
  <c r="T36" i="79"/>
  <c r="U37" i="79"/>
  <c r="AD38" i="79"/>
  <c r="S39" i="79"/>
  <c r="K3" i="79"/>
  <c r="R5" i="79"/>
  <c r="O3" i="79"/>
  <c r="V5" i="79"/>
  <c r="P6" i="79"/>
  <c r="T5" i="79"/>
  <c r="W5" i="79" s="1"/>
  <c r="S29" i="79"/>
  <c r="M3" i="79"/>
  <c r="P3" i="79" s="1"/>
  <c r="T3" i="79"/>
  <c r="W3" i="79" s="1"/>
  <c r="U29" i="79"/>
  <c r="AD35" i="79"/>
  <c r="T34" i="79"/>
  <c r="W34" i="79" s="1"/>
  <c r="T32" i="79"/>
  <c r="T35" i="79"/>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W35"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c r="E68" i="71"/>
  <c r="P68" i="71" s="1"/>
  <c r="C68" i="71"/>
  <c r="B68" i="71"/>
  <c r="S68" i="71"/>
  <c r="F67" i="71"/>
  <c r="F66" i="71" s="1"/>
  <c r="Q65" i="71" s="1"/>
  <c r="Q66" i="71"/>
  <c r="B67" i="71"/>
  <c r="D65" i="71"/>
  <c r="Q64" i="71"/>
  <c r="P64" i="71"/>
  <c r="O64" i="71"/>
  <c r="N64" i="71"/>
  <c r="Q63" i="71"/>
  <c r="P63" i="71"/>
  <c r="O63" i="71"/>
  <c r="N63" i="71"/>
  <c r="Q62" i="71"/>
  <c r="P62" i="71"/>
  <c r="O62" i="71"/>
  <c r="C63" i="71" s="1"/>
  <c r="N62" i="71"/>
  <c r="Q61" i="71"/>
  <c r="F62" i="71"/>
  <c r="F63" i="71" s="1"/>
  <c r="F64" i="71" s="1"/>
  <c r="V64" i="71" s="1"/>
  <c r="P61" i="71"/>
  <c r="E62" i="71" s="1"/>
  <c r="E63" i="71" s="1"/>
  <c r="E64" i="71" s="1"/>
  <c r="U64" i="71" s="1"/>
  <c r="O61" i="71"/>
  <c r="C62" i="71"/>
  <c r="N61" i="71"/>
  <c r="B62" i="71" s="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B55" i="71" s="1"/>
  <c r="B56" i="71" s="1"/>
  <c r="S56" i="71" s="1"/>
  <c r="Q53" i="71"/>
  <c r="F54" i="71"/>
  <c r="F55" i="71"/>
  <c r="F56" i="71" s="1"/>
  <c r="V56" i="71" s="1"/>
  <c r="P53" i="71"/>
  <c r="E54" i="7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N45" i="71"/>
  <c r="B46" i="71" s="1"/>
  <c r="B47" i="71" s="1"/>
  <c r="B48" i="71"/>
  <c r="S48" i="71" s="1"/>
  <c r="D45" i="71"/>
  <c r="Q44" i="71"/>
  <c r="P44" i="71"/>
  <c r="O44" i="71"/>
  <c r="N44" i="71"/>
  <c r="Q43" i="71"/>
  <c r="P43" i="71"/>
  <c r="O43" i="71"/>
  <c r="N43" i="71"/>
  <c r="Q42" i="71"/>
  <c r="P42" i="71"/>
  <c r="O42" i="71"/>
  <c r="N42" i="71"/>
  <c r="F43" i="71"/>
  <c r="F44" i="71"/>
  <c r="V44" i="71" s="1"/>
  <c r="Q41" i="71"/>
  <c r="F42" i="71" s="1"/>
  <c r="P41" i="71"/>
  <c r="E42" i="71" s="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N38" i="71"/>
  <c r="X29" i="71" s="1"/>
  <c r="Q37" i="71"/>
  <c r="AB37" i="71" s="1"/>
  <c r="P37" i="71"/>
  <c r="O37" i="71"/>
  <c r="N37" i="71"/>
  <c r="D37" i="71"/>
  <c r="Q36" i="71"/>
  <c r="AB36" i="71" s="1"/>
  <c r="P36" i="71"/>
  <c r="O36" i="71"/>
  <c r="Y36" i="71" s="1"/>
  <c r="Z36" i="71" s="1"/>
  <c r="N36" i="71"/>
  <c r="Q35" i="71"/>
  <c r="AB35" i="71" s="1"/>
  <c r="P35" i="71"/>
  <c r="O35" i="71"/>
  <c r="Y35" i="71" s="1"/>
  <c r="Z35" i="71" s="1"/>
  <c r="N35" i="71"/>
  <c r="Q34" i="71"/>
  <c r="P34" i="71"/>
  <c r="O34" i="71"/>
  <c r="N34" i="71"/>
  <c r="F35" i="71"/>
  <c r="F36" i="71" s="1"/>
  <c r="V36" i="71" s="1"/>
  <c r="Q33" i="71"/>
  <c r="F34" i="71" s="1"/>
  <c r="P33" i="71"/>
  <c r="O33" i="71"/>
  <c r="Y33" i="71" s="1"/>
  <c r="Z33" i="71" s="1"/>
  <c r="N33" i="71"/>
  <c r="D33" i="71"/>
  <c r="Q32" i="71"/>
  <c r="AB32" i="71"/>
  <c r="P32" i="71"/>
  <c r="O32" i="71"/>
  <c r="N32" i="71"/>
  <c r="Q31" i="71"/>
  <c r="P31" i="71"/>
  <c r="AA31" i="71" s="1"/>
  <c r="O31" i="71"/>
  <c r="N31" i="71"/>
  <c r="Q30" i="71"/>
  <c r="AB30" i="71" s="1"/>
  <c r="P30" i="71"/>
  <c r="O30" i="71"/>
  <c r="N30" i="71"/>
  <c r="X25" i="71" s="1"/>
  <c r="F30" i="71"/>
  <c r="F31" i="71" s="1"/>
  <c r="F32" i="71" s="1"/>
  <c r="V32" i="71" s="1"/>
  <c r="Q29" i="71"/>
  <c r="P29" i="71"/>
  <c r="O29" i="71"/>
  <c r="N29" i="71"/>
  <c r="D29" i="71"/>
  <c r="O28" i="71"/>
  <c r="N28" i="71"/>
  <c r="B30" i="71"/>
  <c r="B31" i="71"/>
  <c r="B32" i="71" s="1"/>
  <c r="S32" i="71" s="1"/>
  <c r="E30" i="71"/>
  <c r="E31" i="71" s="1"/>
  <c r="E32" i="71" s="1"/>
  <c r="U32" i="71" s="1"/>
  <c r="B34" i="71"/>
  <c r="B35" i="71" s="1"/>
  <c r="B36" i="71"/>
  <c r="S36" i="71" s="1"/>
  <c r="E38" i="71"/>
  <c r="E39" i="71" s="1"/>
  <c r="E40" i="71" s="1"/>
  <c r="U40" i="71" s="1"/>
  <c r="AA37" i="71"/>
  <c r="N68" i="71"/>
  <c r="C30" i="71"/>
  <c r="AA32" i="71"/>
  <c r="C34" i="71"/>
  <c r="AA35" i="71"/>
  <c r="C38" i="71"/>
  <c r="Y37" i="71"/>
  <c r="Z37" i="71" s="1"/>
  <c r="AA38" i="71"/>
  <c r="C28" i="71"/>
  <c r="T28" i="71" s="1"/>
  <c r="B28" i="71"/>
  <c r="B27" i="71" s="1"/>
  <c r="B26" i="71"/>
  <c r="C31" i="71"/>
  <c r="D30" i="71"/>
  <c r="C39" i="71"/>
  <c r="D38" i="71"/>
  <c r="C43" i="71"/>
  <c r="D43" i="71" s="1"/>
  <c r="C47" i="71"/>
  <c r="D47" i="71" s="1"/>
  <c r="D46" i="71"/>
  <c r="D50" i="71"/>
  <c r="P28" i="71"/>
  <c r="AA3" i="71" s="1"/>
  <c r="E55" i="71"/>
  <c r="E56" i="71" s="1"/>
  <c r="U56" i="71"/>
  <c r="E59" i="71"/>
  <c r="E60" i="71"/>
  <c r="U60" i="71" s="1"/>
  <c r="U68" i="71"/>
  <c r="E67" i="71"/>
  <c r="Q28" i="71"/>
  <c r="C59" i="71"/>
  <c r="D59" i="71" s="1"/>
  <c r="D58" i="71"/>
  <c r="D62" i="71"/>
  <c r="N67" i="71"/>
  <c r="B66" i="71"/>
  <c r="N65" i="71" s="1"/>
  <c r="Q67" i="71"/>
  <c r="T68" i="71"/>
  <c r="O68" i="71"/>
  <c r="D68" i="71"/>
  <c r="C67" i="71"/>
  <c r="Q68" i="71"/>
  <c r="C71" i="71"/>
  <c r="D71" i="71" s="1"/>
  <c r="E71" i="71"/>
  <c r="E70" i="71" s="1"/>
  <c r="D72" i="71"/>
  <c r="C75" i="71"/>
  <c r="E75" i="71"/>
  <c r="E74" i="71" s="1"/>
  <c r="D76" i="71"/>
  <c r="C79" i="71"/>
  <c r="E79" i="71"/>
  <c r="E78" i="71" s="1"/>
  <c r="D80" i="71"/>
  <c r="C83" i="71"/>
  <c r="D83" i="71" s="1"/>
  <c r="C87" i="71"/>
  <c r="C27" i="71"/>
  <c r="S28" i="71"/>
  <c r="F28" i="71"/>
  <c r="F27" i="71" s="1"/>
  <c r="F26" i="71" s="1"/>
  <c r="AB28" i="71"/>
  <c r="AA25" i="71"/>
  <c r="D28" i="71"/>
  <c r="U28" i="71" s="1"/>
  <c r="C66" i="71"/>
  <c r="O67" i="71"/>
  <c r="D67" i="71"/>
  <c r="C64" i="71"/>
  <c r="D63" i="71"/>
  <c r="C82" i="71"/>
  <c r="D82" i="71" s="1"/>
  <c r="D75" i="71"/>
  <c r="C74" i="71"/>
  <c r="D74" i="71"/>
  <c r="D87" i="71"/>
  <c r="C86" i="71"/>
  <c r="D86" i="71" s="1"/>
  <c r="D79" i="71"/>
  <c r="C78" i="71"/>
  <c r="D78" i="71"/>
  <c r="C70" i="71"/>
  <c r="D70" i="71"/>
  <c r="C60" i="71"/>
  <c r="T60" i="71" s="1"/>
  <c r="P67" i="71"/>
  <c r="E66" i="71"/>
  <c r="C52" i="71"/>
  <c r="T52" i="71" s="1"/>
  <c r="D51" i="71"/>
  <c r="C44" i="71"/>
  <c r="T44" i="71" s="1"/>
  <c r="C40" i="71"/>
  <c r="T40" i="71" s="1"/>
  <c r="D39" i="71"/>
  <c r="C32" i="71"/>
  <c r="T32" i="71" s="1"/>
  <c r="D31" i="71"/>
  <c r="C26" i="71"/>
  <c r="D26" i="71" s="1"/>
  <c r="D27" i="71"/>
  <c r="P65" i="71"/>
  <c r="P66" i="71"/>
  <c r="O66" i="71"/>
  <c r="D66" i="71"/>
  <c r="O65" i="71"/>
  <c r="D32" i="71"/>
  <c r="D40" i="71"/>
  <c r="D44" i="71"/>
  <c r="D52" i="71"/>
  <c r="T64" i="71"/>
  <c r="D6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C21" i="37"/>
  <c r="Q21" i="34"/>
  <c r="Z21" i="34" s="1"/>
  <c r="D84" i="34"/>
  <c r="E84" i="34"/>
  <c r="F21" i="34"/>
  <c r="S21" i="34" s="1"/>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F94" i="40"/>
  <c r="G94" i="40" s="1"/>
  <c r="H25" i="40"/>
  <c r="AB25" i="40" s="1"/>
  <c r="J25" i="40"/>
  <c r="H29" i="39"/>
  <c r="AB29" i="39" s="1"/>
  <c r="J29" i="39"/>
  <c r="AC29" i="39" s="1"/>
  <c r="J18" i="36"/>
  <c r="AC18" i="36" s="1"/>
  <c r="F68" i="35"/>
  <c r="H18" i="35"/>
  <c r="AB18" i="35" s="1"/>
  <c r="G68" i="35"/>
  <c r="J18" i="35"/>
  <c r="F77" i="37"/>
  <c r="G77" i="37" s="1"/>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s="1"/>
  <c r="BK78" i="3"/>
  <c r="BJ78" i="3"/>
  <c r="BI78" i="3"/>
  <c r="BH78" i="3"/>
  <c r="BG78" i="3"/>
  <c r="BF78" i="3"/>
  <c r="BE78" i="3"/>
  <c r="BD78" i="3"/>
  <c r="BC78" i="3"/>
  <c r="BA78" i="3" s="1"/>
  <c r="AZ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s="1"/>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G30" i="3" s="1"/>
  <c r="H30" i="3"/>
  <c r="BT29" i="3"/>
  <c r="BS29" i="3"/>
  <c r="BR29" i="3"/>
  <c r="BQ29" i="3"/>
  <c r="BP29" i="3"/>
  <c r="BO29" i="3"/>
  <c r="BN29" i="3"/>
  <c r="BM29" i="3"/>
  <c r="BL29" i="3" s="1"/>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c r="F100" i="40"/>
  <c r="G100" i="40" s="1"/>
  <c r="H100" i="40" s="1"/>
  <c r="I100" i="40" s="1"/>
  <c r="J100" i="40" s="1"/>
  <c r="K100" i="40" s="1"/>
  <c r="L100" i="40" s="1"/>
  <c r="M100" i="40" s="1"/>
  <c r="D98" i="40"/>
  <c r="J28" i="40"/>
  <c r="AC28" i="40" s="1"/>
  <c r="D96" i="40"/>
  <c r="E96" i="40"/>
  <c r="F96" i="40" s="1"/>
  <c r="G96" i="40" s="1"/>
  <c r="H96" i="40" s="1"/>
  <c r="I96" i="40"/>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J38" i="40"/>
  <c r="AC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D73" i="37"/>
  <c r="E73" i="37" s="1"/>
  <c r="F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H23" i="36" s="1"/>
  <c r="AB23" i="36" s="1"/>
  <c r="D70" i="36"/>
  <c r="H22" i="36"/>
  <c r="AB22" i="36"/>
  <c r="D68" i="36"/>
  <c r="E68" i="36" s="1"/>
  <c r="F68" i="36" s="1"/>
  <c r="G68" i="36" s="1"/>
  <c r="D64" i="36"/>
  <c r="E64" i="36" s="1"/>
  <c r="F64" i="36" s="1"/>
  <c r="G64" i="36"/>
  <c r="J16" i="36"/>
  <c r="W16" i="36" s="1"/>
  <c r="D62" i="36"/>
  <c r="E62" i="36"/>
  <c r="F62" i="36" s="1"/>
  <c r="G62" i="36" s="1"/>
  <c r="B59" i="36"/>
  <c r="B57" i="36"/>
  <c r="B55" i="36"/>
  <c r="C51" i="36"/>
  <c r="H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W22" i="35" s="1"/>
  <c r="B101" i="35"/>
  <c r="H36" i="35"/>
  <c r="AB36" i="35" s="1"/>
  <c r="B99" i="35"/>
  <c r="B97" i="35"/>
  <c r="J34" i="35" s="1"/>
  <c r="AC34" i="35" s="1"/>
  <c r="B77" i="35"/>
  <c r="B75" i="35"/>
  <c r="J24" i="35" s="1"/>
  <c r="AC24" i="35" s="1"/>
  <c r="B73" i="35"/>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c r="F96" i="35"/>
  <c r="G96" i="35" s="1"/>
  <c r="D94" i="35"/>
  <c r="E94" i="35"/>
  <c r="F94" i="35"/>
  <c r="G94" i="35" s="1"/>
  <c r="H94" i="35" s="1"/>
  <c r="I94" i="35" s="1"/>
  <c r="J94" i="35"/>
  <c r="K94" i="35" s="1"/>
  <c r="L94" i="35" s="1"/>
  <c r="M94" i="35" s="1"/>
  <c r="D84" i="35"/>
  <c r="E84" i="35" s="1"/>
  <c r="F84" i="35" s="1"/>
  <c r="G84" i="35" s="1"/>
  <c r="H84" i="35"/>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Q35" i="35"/>
  <c r="Z35" i="35"/>
  <c r="Q34" i="35"/>
  <c r="Z34" i="35" s="1"/>
  <c r="H34" i="35"/>
  <c r="AB34" i="35" s="1"/>
  <c r="Q33" i="35"/>
  <c r="Z33" i="35" s="1"/>
  <c r="Q32" i="35"/>
  <c r="Z32" i="35"/>
  <c r="H32" i="35"/>
  <c r="AB32" i="35" s="1"/>
  <c r="F32" i="35"/>
  <c r="AA32" i="35" s="1"/>
  <c r="Q31" i="35"/>
  <c r="Z31" i="35"/>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c r="Q20" i="35"/>
  <c r="Z20" i="35" s="1"/>
  <c r="Q16" i="35"/>
  <c r="Z16" i="35"/>
  <c r="Q14" i="35"/>
  <c r="Z14" i="35" s="1"/>
  <c r="Q13" i="35"/>
  <c r="Z13" i="35"/>
  <c r="Q12" i="35"/>
  <c r="Z12" i="35" s="1"/>
  <c r="H12" i="35"/>
  <c r="U12" i="35" s="1"/>
  <c r="F12" i="35"/>
  <c r="S12" i="35" s="1"/>
  <c r="Q11" i="35"/>
  <c r="Z11" i="35"/>
  <c r="Q10" i="35"/>
  <c r="Z10" i="35" s="1"/>
  <c r="Q9" i="35"/>
  <c r="Z9" i="35"/>
  <c r="J8" i="35"/>
  <c r="W8" i="35" s="1"/>
  <c r="H8" i="35"/>
  <c r="AB8" i="35" s="1"/>
  <c r="F8" i="35"/>
  <c r="AA8" i="35" s="1"/>
  <c r="D120" i="34"/>
  <c r="E120" i="34"/>
  <c r="F120" i="34" s="1"/>
  <c r="G120" i="34" s="1"/>
  <c r="H120" i="34" s="1"/>
  <c r="I120" i="34"/>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c r="I124" i="34" s="1"/>
  <c r="J124" i="34" s="1"/>
  <c r="K124" i="34" s="1"/>
  <c r="L124" i="34" s="1"/>
  <c r="M124" i="34" s="1"/>
  <c r="H43" i="34"/>
  <c r="AB43" i="34"/>
  <c r="D118" i="34"/>
  <c r="E118" i="34" s="1"/>
  <c r="F118" i="34" s="1"/>
  <c r="G118" i="34" s="1"/>
  <c r="D116" i="34"/>
  <c r="E116" i="34" s="1"/>
  <c r="F116" i="34" s="1"/>
  <c r="G116" i="34" s="1"/>
  <c r="H116" i="34"/>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s="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c r="D77" i="21"/>
  <c r="E77" i="21" s="1"/>
  <c r="B130" i="21"/>
  <c r="B128" i="21"/>
  <c r="J45" i="21"/>
  <c r="W45" i="21" s="1"/>
  <c r="B126" i="21"/>
  <c r="B98" i="21"/>
  <c r="H31" i="21" s="1"/>
  <c r="B96" i="21"/>
  <c r="B94" i="21"/>
  <c r="J29" i="21"/>
  <c r="AC29" i="21" s="1"/>
  <c r="B92" i="21"/>
  <c r="B90" i="21"/>
  <c r="J27" i="21"/>
  <c r="W27" i="21" s="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AB36" i="39"/>
  <c r="J35" i="39"/>
  <c r="AC35" i="39" s="1"/>
  <c r="F35" i="39"/>
  <c r="AA35" i="39"/>
  <c r="J36" i="39"/>
  <c r="AC36" i="39" s="1"/>
  <c r="U9" i="39"/>
  <c r="W40" i="39"/>
  <c r="W25" i="37"/>
  <c r="E103" i="37"/>
  <c r="F103" i="37"/>
  <c r="G103" i="37" s="1"/>
  <c r="H103" i="37" s="1"/>
  <c r="I103" i="37"/>
  <c r="J103" i="37"/>
  <c r="K103" i="37" s="1"/>
  <c r="L103" i="37" s="1"/>
  <c r="M103" i="37" s="1"/>
  <c r="F39" i="37"/>
  <c r="F29" i="36"/>
  <c r="AA29" i="36" s="1"/>
  <c r="F16" i="36"/>
  <c r="AA16" i="36" s="1"/>
  <c r="W28" i="36"/>
  <c r="U31" i="36"/>
  <c r="J33" i="36"/>
  <c r="AC33" i="36" s="1"/>
  <c r="H22" i="35"/>
  <c r="AB22" i="35"/>
  <c r="AC27" i="35"/>
  <c r="U31" i="35"/>
  <c r="W34" i="35"/>
  <c r="S31" i="35"/>
  <c r="U34" i="35"/>
  <c r="F36" i="34"/>
  <c r="J35" i="34"/>
  <c r="W9" i="34"/>
  <c r="U34" i="34"/>
  <c r="H39" i="33"/>
  <c r="AB39" i="33"/>
  <c r="F26" i="33"/>
  <c r="AA26" i="33"/>
  <c r="U33" i="33"/>
  <c r="S40" i="33"/>
  <c r="W33" i="33"/>
  <c r="H39" i="37"/>
  <c r="AB39" i="37"/>
  <c r="S27" i="35"/>
  <c r="F11" i="40"/>
  <c r="AA11" i="40"/>
  <c r="H11" i="40"/>
  <c r="AB11" i="40" s="1"/>
  <c r="W8" i="40"/>
  <c r="AC40" i="40"/>
  <c r="AA9" i="40"/>
  <c r="AC9" i="40"/>
  <c r="U9" i="40"/>
  <c r="S34" i="40"/>
  <c r="U38" i="40"/>
  <c r="S40" i="40"/>
  <c r="U34" i="40"/>
  <c r="S38" i="40"/>
  <c r="U40" i="40"/>
  <c r="F42" i="39"/>
  <c r="AA42" i="39" s="1"/>
  <c r="F41" i="39"/>
  <c r="S41" i="39" s="1"/>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A12" i="34"/>
  <c r="AB12" i="35"/>
  <c r="S44" i="39"/>
  <c r="F37" i="39"/>
  <c r="AA37" i="39" s="1"/>
  <c r="J34" i="36"/>
  <c r="W34" i="36" s="1"/>
  <c r="U30" i="36"/>
  <c r="J30" i="35"/>
  <c r="W30" i="35" s="1"/>
  <c r="H30" i="35"/>
  <c r="AB30" i="35" s="1"/>
  <c r="F22" i="35"/>
  <c r="AA22" i="35"/>
  <c r="H10" i="35"/>
  <c r="U10" i="35" s="1"/>
  <c r="AC16" i="36"/>
  <c r="F33" i="36"/>
  <c r="AA33" i="36"/>
  <c r="W30" i="36"/>
  <c r="H16" i="36"/>
  <c r="AB16" i="36"/>
  <c r="E85" i="36"/>
  <c r="F85" i="36"/>
  <c r="G85" i="36" s="1"/>
  <c r="H85" i="36" s="1"/>
  <c r="I85" i="36"/>
  <c r="J85" i="36"/>
  <c r="K85" i="36" s="1"/>
  <c r="L85" i="36" s="1"/>
  <c r="M85" i="36" s="1"/>
  <c r="J29" i="36"/>
  <c r="AC29" i="36" s="1"/>
  <c r="F24" i="36"/>
  <c r="AA24" i="36"/>
  <c r="F34" i="36"/>
  <c r="S34" i="36" s="1"/>
  <c r="F14" i="35"/>
  <c r="AA14" i="35"/>
  <c r="F23" i="35"/>
  <c r="AA23" i="35" s="1"/>
  <c r="J32" i="35"/>
  <c r="AC32" i="35" s="1"/>
  <c r="J16" i="35"/>
  <c r="AC16" i="35" s="1"/>
  <c r="H16" i="35"/>
  <c r="U16" i="35"/>
  <c r="F16" i="35"/>
  <c r="S16" i="35" s="1"/>
  <c r="H14" i="35"/>
  <c r="AB14" i="35"/>
  <c r="J29" i="35"/>
  <c r="H33" i="35"/>
  <c r="AB33" i="35" s="1"/>
  <c r="J20" i="35"/>
  <c r="W20" i="35"/>
  <c r="F35" i="37"/>
  <c r="S35" i="37" s="1"/>
  <c r="E101" i="37"/>
  <c r="F101" i="37"/>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7" i="34"/>
  <c r="AA27" i="34" s="1"/>
  <c r="F25" i="34"/>
  <c r="S25" i="34" s="1"/>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G105" i="37"/>
  <c r="J10" i="36"/>
  <c r="AC10" i="36" s="1"/>
  <c r="AB26" i="33"/>
  <c r="AB30" i="21"/>
  <c r="AA14" i="37"/>
  <c r="W31" i="34"/>
  <c r="AC13" i="36"/>
  <c r="W13"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AZ533" i="3" s="1"/>
  <c r="BA531" i="3"/>
  <c r="BA529" i="3"/>
  <c r="BA527" i="3"/>
  <c r="BA525" i="3"/>
  <c r="AZ525" i="3" s="1"/>
  <c r="BA523" i="3"/>
  <c r="BA519" i="3"/>
  <c r="AZ519" i="3" s="1"/>
  <c r="BA517" i="3"/>
  <c r="BA515" i="3"/>
  <c r="AZ515" i="3" s="1"/>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c r="AZ581" i="3" s="1"/>
  <c r="BQ579" i="3"/>
  <c r="BL579" i="3" s="1"/>
  <c r="AZ579" i="3" s="1"/>
  <c r="BQ577" i="3"/>
  <c r="BL577" i="3"/>
  <c r="BQ575" i="3"/>
  <c r="BL575" i="3"/>
  <c r="AZ575" i="3"/>
  <c r="BQ573" i="3"/>
  <c r="BL573" i="3"/>
  <c r="AZ573" i="3"/>
  <c r="BQ571" i="3"/>
  <c r="BL571" i="3" s="1"/>
  <c r="AZ571" i="3" s="1"/>
  <c r="BQ569" i="3"/>
  <c r="BL569" i="3"/>
  <c r="BQ567" i="3"/>
  <c r="BL567" i="3"/>
  <c r="AZ567" i="3"/>
  <c r="BQ565" i="3"/>
  <c r="BL565" i="3"/>
  <c r="AZ565" i="3"/>
  <c r="BQ563" i="3"/>
  <c r="BL563" i="3" s="1"/>
  <c r="AZ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AZ551" i="3" s="1"/>
  <c r="BQ549" i="3"/>
  <c r="BQ547" i="3"/>
  <c r="BL547" i="3"/>
  <c r="AZ547" i="3" s="1"/>
  <c r="BQ545" i="3"/>
  <c r="BL545" i="3"/>
  <c r="AZ545" i="3"/>
  <c r="BQ543" i="3"/>
  <c r="BL543" i="3"/>
  <c r="AZ543" i="3"/>
  <c r="BQ541" i="3"/>
  <c r="BL541" i="3" s="1"/>
  <c r="BQ539" i="3"/>
  <c r="BL539" i="3"/>
  <c r="AZ539" i="3" s="1"/>
  <c r="BQ537" i="3"/>
  <c r="BL537" i="3"/>
  <c r="AZ537" i="3"/>
  <c r="BQ535" i="3"/>
  <c r="BL535" i="3"/>
  <c r="AZ535" i="3"/>
  <c r="BQ533" i="3"/>
  <c r="BL533" i="3" s="1"/>
  <c r="BQ531" i="3"/>
  <c r="BL531" i="3"/>
  <c r="AZ531" i="3" s="1"/>
  <c r="BQ529" i="3"/>
  <c r="BL529" i="3"/>
  <c r="AZ529" i="3"/>
  <c r="BQ527" i="3"/>
  <c r="BL527" i="3"/>
  <c r="AZ527" i="3"/>
  <c r="BQ525" i="3"/>
  <c r="BL525" i="3" s="1"/>
  <c r="BQ523" i="3"/>
  <c r="BL523" i="3"/>
  <c r="AZ523" i="3" s="1"/>
  <c r="BA521" i="3"/>
  <c r="AC521" i="3"/>
  <c r="G521" i="3" s="1"/>
  <c r="BQ521" i="3"/>
  <c r="BL521" i="3"/>
  <c r="AZ521" i="3" s="1"/>
  <c r="BL520" i="3"/>
  <c r="G519" i="3"/>
  <c r="G517" i="3"/>
  <c r="G515" i="3"/>
  <c r="G513" i="3"/>
  <c r="G511" i="3"/>
  <c r="BQ519" i="3"/>
  <c r="BL519" i="3"/>
  <c r="BQ517" i="3"/>
  <c r="BL517" i="3"/>
  <c r="AZ517" i="3"/>
  <c r="BQ515" i="3"/>
  <c r="BL515" i="3"/>
  <c r="BQ513" i="3"/>
  <c r="BL513" i="3" s="1"/>
  <c r="AZ513" i="3" s="1"/>
  <c r="BQ511" i="3"/>
  <c r="BL511" i="3"/>
  <c r="BA509" i="3"/>
  <c r="AC509" i="3"/>
  <c r="BQ509" i="3"/>
  <c r="BL509" i="3" s="1"/>
  <c r="AZ509" i="3" s="1"/>
  <c r="BL508" i="3"/>
  <c r="G507" i="3"/>
  <c r="G505" i="3"/>
  <c r="G503" i="3"/>
  <c r="G501" i="3"/>
  <c r="G499" i="3"/>
  <c r="G497" i="3"/>
  <c r="G495" i="3"/>
  <c r="BQ507" i="3"/>
  <c r="BL507" i="3"/>
  <c r="BQ505" i="3"/>
  <c r="BL505" i="3"/>
  <c r="AZ505" i="3"/>
  <c r="BQ503" i="3"/>
  <c r="BL503" i="3"/>
  <c r="AZ503" i="3"/>
  <c r="BQ501" i="3"/>
  <c r="BL501" i="3" s="1"/>
  <c r="AZ501" i="3" s="1"/>
  <c r="BQ499" i="3"/>
  <c r="BL499" i="3"/>
  <c r="BQ497" i="3"/>
  <c r="BL497" i="3" s="1"/>
  <c r="AZ497" i="3" s="1"/>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s="1"/>
  <c r="H17" i="37"/>
  <c r="U17" i="37"/>
  <c r="AB27" i="37"/>
  <c r="U32" i="33"/>
  <c r="AA36" i="39"/>
  <c r="F39" i="33"/>
  <c r="AA39" i="33"/>
  <c r="E123" i="33"/>
  <c r="F42" i="33"/>
  <c r="AA42" i="33"/>
  <c r="H28" i="34"/>
  <c r="AB28" i="34" s="1"/>
  <c r="F14" i="36"/>
  <c r="AA14" i="36"/>
  <c r="F22" i="36"/>
  <c r="S22" i="36" s="1"/>
  <c r="F26" i="36"/>
  <c r="S26" i="36" s="1"/>
  <c r="H27" i="34"/>
  <c r="AB27" i="34" s="1"/>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AA41" i="34"/>
  <c r="H19" i="37"/>
  <c r="AB19" i="37" s="1"/>
  <c r="F123" i="33"/>
  <c r="G123" i="33"/>
  <c r="H123" i="33" s="1"/>
  <c r="I123" i="33" s="1"/>
  <c r="J123" i="33" s="1"/>
  <c r="K123" i="33" s="1"/>
  <c r="L123" i="33" s="1"/>
  <c r="M123" i="33" s="1"/>
  <c r="H42" i="33"/>
  <c r="AB42" i="33"/>
  <c r="G125" i="33"/>
  <c r="J43" i="33"/>
  <c r="AC43" i="33" s="1"/>
  <c r="U43" i="33"/>
  <c r="S28" i="31"/>
  <c r="S27" i="31"/>
  <c r="S26" i="31"/>
  <c r="U14" i="40"/>
  <c r="U35" i="35"/>
  <c r="AA12" i="35"/>
  <c r="W14" i="37"/>
  <c r="AB28" i="37"/>
  <c r="U33" i="37"/>
  <c r="U39" i="37"/>
  <c r="W47" i="34"/>
  <c r="AB13"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s="1"/>
  <c r="K94" i="37" s="1"/>
  <c r="L94" i="37" s="1"/>
  <c r="M94" i="37" s="1"/>
  <c r="H31" i="37"/>
  <c r="U31" i="37" s="1"/>
  <c r="F71" i="37"/>
  <c r="G71" i="37"/>
  <c r="J15" i="37"/>
  <c r="W15" i="37" s="1"/>
  <c r="AT6" i="3"/>
  <c r="H5" i="3"/>
  <c r="AA25" i="21"/>
  <c r="H19" i="40"/>
  <c r="U19" i="40" s="1"/>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J11" i="39"/>
  <c r="W11" i="39" s="1"/>
  <c r="F11" i="39"/>
  <c r="S11" i="39" s="1"/>
  <c r="G4" i="4"/>
  <c r="I4" i="4"/>
  <c r="F61" i="43"/>
  <c r="H64" i="43" s="1"/>
  <c r="G64" i="43" s="1"/>
  <c r="BL549" i="3"/>
  <c r="AZ494" i="3"/>
  <c r="AZ502" i="3"/>
  <c r="AZ514" i="3"/>
  <c r="AZ522" i="3"/>
  <c r="AZ530" i="3"/>
  <c r="AZ546" i="3"/>
  <c r="G546" i="3"/>
  <c r="G524" i="3"/>
  <c r="G303" i="3"/>
  <c r="BL304" i="3"/>
  <c r="AZ304" i="3" s="1"/>
  <c r="G305" i="3"/>
  <c r="BL306" i="3"/>
  <c r="BA308" i="3"/>
  <c r="AZ308" i="3" s="1"/>
  <c r="BA309" i="3"/>
  <c r="BL309" i="3"/>
  <c r="G310" i="3"/>
  <c r="BA311" i="3"/>
  <c r="G319" i="3"/>
  <c r="BL320" i="3"/>
  <c r="G321" i="3"/>
  <c r="BL322" i="3"/>
  <c r="BA324" i="3"/>
  <c r="AZ324" i="3"/>
  <c r="BA325" i="3"/>
  <c r="AZ325" i="3" s="1"/>
  <c r="BL325" i="3"/>
  <c r="G326" i="3"/>
  <c r="BA327" i="3"/>
  <c r="G335" i="3"/>
  <c r="BL336" i="3"/>
  <c r="AZ336" i="3" s="1"/>
  <c r="G337" i="3"/>
  <c r="BL338" i="3"/>
  <c r="BA340" i="3"/>
  <c r="AZ340" i="3" s="1"/>
  <c r="BA341" i="3"/>
  <c r="BL341" i="3"/>
  <c r="BA343" i="3"/>
  <c r="AZ343" i="3" s="1"/>
  <c r="BA345" i="3"/>
  <c r="BL355" i="3"/>
  <c r="G356" i="3"/>
  <c r="BL357" i="3"/>
  <c r="BA359" i="3"/>
  <c r="AZ359" i="3" s="1"/>
  <c r="BA360" i="3"/>
  <c r="BL360" i="3"/>
  <c r="AZ360" i="3" s="1"/>
  <c r="G361" i="3"/>
  <c r="BA362" i="3"/>
  <c r="G370" i="3"/>
  <c r="BL371" i="3"/>
  <c r="G372" i="3"/>
  <c r="BL373" i="3"/>
  <c r="BA375" i="3"/>
  <c r="AZ375" i="3" s="1"/>
  <c r="BA376" i="3"/>
  <c r="BL376" i="3"/>
  <c r="G377" i="3"/>
  <c r="BA378" i="3"/>
  <c r="AZ378" i="3" s="1"/>
  <c r="BL378" i="3"/>
  <c r="G379" i="3"/>
  <c r="BA380" i="3"/>
  <c r="G388" i="3"/>
  <c r="BL389" i="3"/>
  <c r="G390" i="3"/>
  <c r="BL391" i="3"/>
  <c r="AZ391" i="3" s="1"/>
  <c r="BA393" i="3"/>
  <c r="AZ393" i="3"/>
  <c r="BA394" i="3"/>
  <c r="BL394" i="3"/>
  <c r="G113" i="3"/>
  <c r="BA115" i="3"/>
  <c r="AZ115" i="3"/>
  <c r="BL116" i="3"/>
  <c r="AZ116" i="3" s="1"/>
  <c r="G117" i="3"/>
  <c r="BA119" i="3"/>
  <c r="AZ119" i="3" s="1"/>
  <c r="BL120" i="3"/>
  <c r="G121" i="3"/>
  <c r="BA123" i="3"/>
  <c r="AZ123" i="3" s="1"/>
  <c r="BL124" i="3"/>
  <c r="AZ124" i="3"/>
  <c r="G125" i="3"/>
  <c r="BA127" i="3"/>
  <c r="AZ127" i="3" s="1"/>
  <c r="BL128" i="3"/>
  <c r="G129" i="3"/>
  <c r="BA131" i="3"/>
  <c r="AZ131" i="3" s="1"/>
  <c r="BL132" i="3"/>
  <c r="AZ132" i="3"/>
  <c r="G133" i="3"/>
  <c r="BA135" i="3"/>
  <c r="AZ135" i="3"/>
  <c r="BL136" i="3"/>
  <c r="AZ136" i="3" s="1"/>
  <c r="G137" i="3"/>
  <c r="BA139" i="3"/>
  <c r="AZ139" i="3"/>
  <c r="BL140" i="3"/>
  <c r="AZ140" i="3" s="1"/>
  <c r="G141" i="3"/>
  <c r="BA143" i="3"/>
  <c r="AZ143" i="3"/>
  <c r="BL144" i="3"/>
  <c r="AZ144" i="3" s="1"/>
  <c r="G145" i="3"/>
  <c r="BA147" i="3"/>
  <c r="AZ147" i="3"/>
  <c r="BL148" i="3"/>
  <c r="AZ148" i="3" s="1"/>
  <c r="G149" i="3"/>
  <c r="BA151" i="3"/>
  <c r="AZ151" i="3" s="1"/>
  <c r="BL152" i="3"/>
  <c r="G153" i="3"/>
  <c r="BA155" i="3"/>
  <c r="AZ155" i="3" s="1"/>
  <c r="BL156" i="3"/>
  <c r="AZ156" i="3"/>
  <c r="G157" i="3"/>
  <c r="BA159" i="3"/>
  <c r="AZ159" i="3" s="1"/>
  <c r="BL160" i="3"/>
  <c r="G161" i="3"/>
  <c r="BA163" i="3"/>
  <c r="AZ163" i="3" s="1"/>
  <c r="BL164" i="3"/>
  <c r="AZ164" i="3"/>
  <c r="G165" i="3"/>
  <c r="BA167" i="3"/>
  <c r="AZ167" i="3"/>
  <c r="BL168" i="3"/>
  <c r="AZ168" i="3" s="1"/>
  <c r="G169" i="3"/>
  <c r="BA171" i="3"/>
  <c r="AZ171" i="3"/>
  <c r="BL172" i="3"/>
  <c r="AZ172" i="3" s="1"/>
  <c r="G173" i="3"/>
  <c r="BA175" i="3"/>
  <c r="AZ175" i="3"/>
  <c r="BL176" i="3"/>
  <c r="AZ176" i="3" s="1"/>
  <c r="G177" i="3"/>
  <c r="BA179" i="3"/>
  <c r="AZ179" i="3"/>
  <c r="BL180" i="3"/>
  <c r="AZ180" i="3" s="1"/>
  <c r="G181" i="3"/>
  <c r="BA183" i="3"/>
  <c r="AZ183" i="3" s="1"/>
  <c r="BL184" i="3"/>
  <c r="G185" i="3"/>
  <c r="BA187" i="3"/>
  <c r="AZ187" i="3" s="1"/>
  <c r="BL188" i="3"/>
  <c r="AZ188" i="3"/>
  <c r="G189" i="3"/>
  <c r="BA191" i="3"/>
  <c r="AZ191" i="3" s="1"/>
  <c r="BL192" i="3"/>
  <c r="G193" i="3"/>
  <c r="BA195" i="3"/>
  <c r="AZ195" i="3" s="1"/>
  <c r="BL196" i="3"/>
  <c r="AZ196" i="3"/>
  <c r="G197" i="3"/>
  <c r="BA199" i="3"/>
  <c r="AZ199" i="3"/>
  <c r="BL200" i="3"/>
  <c r="AZ200" i="3" s="1"/>
  <c r="G201" i="3"/>
  <c r="BA203" i="3"/>
  <c r="AZ203" i="3"/>
  <c r="BL204" i="3"/>
  <c r="AZ204" i="3" s="1"/>
  <c r="AZ39" i="3"/>
  <c r="AZ43" i="3"/>
  <c r="AZ47" i="3"/>
  <c r="AZ51" i="3"/>
  <c r="AZ55" i="3"/>
  <c r="AZ59" i="3"/>
  <c r="AZ63" i="3"/>
  <c r="AZ67" i="3"/>
  <c r="AZ71" i="3"/>
  <c r="AZ75" i="3"/>
  <c r="AZ79" i="3"/>
  <c r="AZ83" i="3"/>
  <c r="AZ152" i="3"/>
  <c r="AZ160" i="3"/>
  <c r="AZ184" i="3"/>
  <c r="AZ192" i="3"/>
  <c r="AZ85" i="3"/>
  <c r="AZ89" i="3"/>
  <c r="AZ93" i="3"/>
  <c r="AZ97" i="3"/>
  <c r="AZ101" i="3"/>
  <c r="AZ105" i="3"/>
  <c r="AZ120" i="3"/>
  <c r="AZ128" i="3"/>
  <c r="G534" i="3"/>
  <c r="G530" i="3"/>
  <c r="G522" i="3"/>
  <c r="G516" i="3"/>
  <c r="G512" i="3"/>
  <c r="G506" i="3"/>
  <c r="G498" i="3"/>
  <c r="G494" i="3"/>
  <c r="G16" i="3"/>
  <c r="G15" i="3"/>
  <c r="BA304" i="3"/>
  <c r="BA305" i="3"/>
  <c r="AZ305" i="3" s="1"/>
  <c r="BL305" i="3"/>
  <c r="G306" i="3"/>
  <c r="G309" i="3"/>
  <c r="BL310" i="3"/>
  <c r="AZ310" i="3" s="1"/>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BL364" i="3"/>
  <c r="AZ364" i="3" s="1"/>
  <c r="G365" i="3"/>
  <c r="G368" i="3"/>
  <c r="BL369" i="3"/>
  <c r="BA371" i="3"/>
  <c r="AZ371" i="3" s="1"/>
  <c r="BA372" i="3"/>
  <c r="BL372" i="3"/>
  <c r="AZ372" i="3" s="1"/>
  <c r="G373" i="3"/>
  <c r="G376" i="3"/>
  <c r="BL377" i="3"/>
  <c r="BL379" i="3"/>
  <c r="AZ379" i="3" s="1"/>
  <c r="BA381" i="3"/>
  <c r="AZ381" i="3" s="1"/>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c r="G308" i="3"/>
  <c r="BA310" i="3"/>
  <c r="BL311" i="3"/>
  <c r="AZ311" i="3" s="1"/>
  <c r="G312" i="3"/>
  <c r="BA314" i="3"/>
  <c r="AZ314" i="3"/>
  <c r="BL315" i="3"/>
  <c r="AZ315" i="3" s="1"/>
  <c r="G316" i="3"/>
  <c r="BA318" i="3"/>
  <c r="AZ318" i="3" s="1"/>
  <c r="BL319" i="3"/>
  <c r="G320" i="3"/>
  <c r="BA322" i="3"/>
  <c r="AZ322" i="3" s="1"/>
  <c r="BL323" i="3"/>
  <c r="AZ323" i="3"/>
  <c r="G324" i="3"/>
  <c r="BA326" i="3"/>
  <c r="AZ326" i="3" s="1"/>
  <c r="BL327" i="3"/>
  <c r="AZ327" i="3"/>
  <c r="G328" i="3"/>
  <c r="BA330" i="3"/>
  <c r="AZ330" i="3"/>
  <c r="BL331" i="3"/>
  <c r="AZ331" i="3" s="1"/>
  <c r="G332" i="3"/>
  <c r="BA334" i="3"/>
  <c r="AZ334" i="3"/>
  <c r="BL335" i="3"/>
  <c r="AZ335" i="3" s="1"/>
  <c r="G336" i="3"/>
  <c r="BA338" i="3"/>
  <c r="AZ338" i="3"/>
  <c r="BL339" i="3"/>
  <c r="AZ339" i="3" s="1"/>
  <c r="G340" i="3"/>
  <c r="BL343" i="3"/>
  <c r="G344" i="3"/>
  <c r="G348" i="3"/>
  <c r="G355" i="3"/>
  <c r="AZ209" i="3"/>
  <c r="AZ214" i="3"/>
  <c r="AZ218" i="3"/>
  <c r="AZ222" i="3"/>
  <c r="AZ303" i="3"/>
  <c r="AZ319" i="3"/>
  <c r="G342" i="3"/>
  <c r="BL345" i="3"/>
  <c r="AZ345" i="3" s="1"/>
  <c r="G346" i="3"/>
  <c r="AZ348" i="3"/>
  <c r="BL349" i="3"/>
  <c r="AZ349" i="3" s="1"/>
  <c r="BL352" i="3"/>
  <c r="G353" i="3"/>
  <c r="BA357" i="3"/>
  <c r="AZ357" i="3" s="1"/>
  <c r="BL358" i="3"/>
  <c r="AZ358" i="3"/>
  <c r="G359" i="3"/>
  <c r="BA361" i="3"/>
  <c r="AZ361" i="3" s="1"/>
  <c r="BL362" i="3"/>
  <c r="AZ362" i="3" s="1"/>
  <c r="G363" i="3"/>
  <c r="BA365" i="3"/>
  <c r="AZ365" i="3" s="1"/>
  <c r="BL366" i="3"/>
  <c r="AZ366" i="3"/>
  <c r="G367" i="3"/>
  <c r="BA369" i="3"/>
  <c r="AZ369" i="3"/>
  <c r="BL370" i="3"/>
  <c r="AZ370" i="3" s="1"/>
  <c r="G371" i="3"/>
  <c r="BA373" i="3"/>
  <c r="AZ373" i="3"/>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c r="BL384" i="3"/>
  <c r="G385" i="3"/>
  <c r="BA387" i="3"/>
  <c r="AZ387" i="3"/>
  <c r="BL388" i="3"/>
  <c r="AZ388" i="3" s="1"/>
  <c r="G389" i="3"/>
  <c r="BA391" i="3"/>
  <c r="BL392" i="3"/>
  <c r="AZ392" i="3" s="1"/>
  <c r="G393" i="3"/>
  <c r="AZ263" i="3"/>
  <c r="AZ275" i="3"/>
  <c r="AZ279" i="3"/>
  <c r="AZ287" i="3"/>
  <c r="AZ291" i="3"/>
  <c r="AZ295" i="3"/>
  <c r="AZ299" i="3"/>
  <c r="BO5" i="3"/>
  <c r="BM5" i="3"/>
  <c r="F29" i="6" s="1"/>
  <c r="BJ5" i="3"/>
  <c r="BH5" i="3"/>
  <c r="BF5" i="3"/>
  <c r="BD5" i="3"/>
  <c r="AZ309" i="3"/>
  <c r="AZ317"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8" i="3"/>
  <c r="BA15" i="3"/>
  <c r="BB5" i="3"/>
  <c r="BR5" i="3"/>
  <c r="AZ384" i="3"/>
  <c r="AZ396" i="3"/>
  <c r="AZ394" i="3"/>
  <c r="AZ499" i="3"/>
  <c r="G509" i="3"/>
  <c r="BL493" i="3"/>
  <c r="AZ493" i="3" s="1"/>
  <c r="AZ491" i="3"/>
  <c r="AZ376" i="3"/>
  <c r="AZ390" i="3"/>
  <c r="AZ382" i="3"/>
  <c r="U36" i="40"/>
  <c r="F83" i="43"/>
  <c r="H85" i="43" s="1"/>
  <c r="F50" i="43"/>
  <c r="H54" i="43" s="1"/>
  <c r="F72" i="43"/>
  <c r="H75" i="43" s="1"/>
  <c r="U17" i="39"/>
  <c r="S14" i="35"/>
  <c r="U43" i="21"/>
  <c r="U35" i="21"/>
  <c r="AC35" i="21"/>
  <c r="G8" i="1"/>
  <c r="G10" i="1"/>
  <c r="AC11" i="39"/>
  <c r="W37" i="37"/>
  <c r="W44" i="34"/>
  <c r="AC44" i="34"/>
  <c r="S15" i="37"/>
  <c r="U13" i="37"/>
  <c r="U12" i="40"/>
  <c r="AA12" i="40"/>
  <c r="J37" i="33"/>
  <c r="W37" i="33"/>
  <c r="AC17" i="34"/>
  <c r="F106" i="33"/>
  <c r="G106" i="33"/>
  <c r="H106" i="33"/>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c r="G98" i="40"/>
  <c r="H98" i="40" s="1"/>
  <c r="I98" i="40" s="1"/>
  <c r="J98" i="40" s="1"/>
  <c r="K98" i="40" s="1"/>
  <c r="L98" i="40" s="1"/>
  <c r="M98" i="40" s="1"/>
  <c r="F10" i="33"/>
  <c r="S10" i="33" s="1"/>
  <c r="F34" i="33"/>
  <c r="AA34" i="33" s="1"/>
  <c r="H34" i="33"/>
  <c r="U34" i="33"/>
  <c r="F35" i="33"/>
  <c r="S35" i="33" s="1"/>
  <c r="F39" i="34"/>
  <c r="S39" i="34"/>
  <c r="J39" i="34"/>
  <c r="W39" i="34" s="1"/>
  <c r="F40" i="34"/>
  <c r="S40" i="34"/>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G29" i="6"/>
  <c r="AC26" i="33"/>
  <c r="W26" i="33"/>
  <c r="W27" i="34"/>
  <c r="AC27" i="34"/>
  <c r="AB34" i="36"/>
  <c r="U34" i="36"/>
  <c r="AB33" i="36"/>
  <c r="U33" i="36"/>
  <c r="AC12" i="39"/>
  <c r="W12" i="39"/>
  <c r="AZ401" i="3"/>
  <c r="AZ412" i="3"/>
  <c r="AZ428" i="3"/>
  <c r="AZ433" i="3"/>
  <c r="AZ465" i="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35" i="3"/>
  <c r="AZ41" i="3"/>
  <c r="B12" i="1"/>
  <c r="E12" i="1" s="1"/>
  <c r="B10" i="1"/>
  <c r="E10" i="1" s="1"/>
  <c r="AZ80" i="3"/>
  <c r="AZ84" i="3"/>
  <c r="AZ88" i="3"/>
  <c r="AZ111" i="3"/>
  <c r="K12" i="1"/>
  <c r="M12" i="1" s="1"/>
  <c r="S13" i="1"/>
  <c r="AR13" i="1" s="1"/>
  <c r="R13" i="1"/>
  <c r="J51" i="67"/>
  <c r="C42" i="1"/>
  <c r="C24" i="12" s="1"/>
  <c r="AC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s="1"/>
  <c r="M101" i="21" s="1"/>
  <c r="F33" i="21"/>
  <c r="AA33" i="21" s="1"/>
  <c r="J33" i="21"/>
  <c r="AC33" i="21" s="1"/>
  <c r="H33" i="21"/>
  <c r="AB33" i="21" s="1"/>
  <c r="F37" i="21"/>
  <c r="AA37" i="21"/>
  <c r="AA26" i="21"/>
  <c r="AB14" i="21"/>
  <c r="AB46" i="21"/>
  <c r="U40" i="21"/>
  <c r="AC15" i="21"/>
  <c r="U13" i="21"/>
  <c r="AB13" i="21"/>
  <c r="S35" i="21"/>
  <c r="J37" i="21"/>
  <c r="W37" i="21" s="1"/>
  <c r="H15" i="21"/>
  <c r="AB15" i="21" s="1"/>
  <c r="J17" i="21"/>
  <c r="AC17" i="21" s="1"/>
  <c r="AC19" i="21"/>
  <c r="W39" i="21"/>
  <c r="AC14" i="21"/>
  <c r="W30" i="21"/>
  <c r="S46" i="21"/>
  <c r="H45" i="21"/>
  <c r="U45" i="21" s="1"/>
  <c r="F29" i="21"/>
  <c r="S29" i="2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c r="L111" i="33" s="1"/>
  <c r="M111" i="33" s="1"/>
  <c r="J36" i="33"/>
  <c r="W36" i="33" s="1"/>
  <c r="H36" i="33"/>
  <c r="U36" i="33" s="1"/>
  <c r="S36" i="33"/>
  <c r="AC32" i="33"/>
  <c r="W32" i="33"/>
  <c r="U27" i="33"/>
  <c r="AB27" i="33"/>
  <c r="G91" i="33"/>
  <c r="H91" i="33"/>
  <c r="I91" i="33"/>
  <c r="J91" i="33" s="1"/>
  <c r="K91" i="33" s="1"/>
  <c r="L91" i="33" s="1"/>
  <c r="M91" i="33" s="1"/>
  <c r="J27" i="33"/>
  <c r="AC27" i="33" s="1"/>
  <c r="U25" i="33"/>
  <c r="AB25" i="33"/>
  <c r="S25" i="33"/>
  <c r="AA25" i="33"/>
  <c r="G87" i="33"/>
  <c r="H87" i="33"/>
  <c r="I87" i="33"/>
  <c r="J87" i="33"/>
  <c r="K87" i="33" s="1"/>
  <c r="L87" i="33" s="1"/>
  <c r="M87" i="33" s="1"/>
  <c r="J25" i="33"/>
  <c r="W25" i="33" s="1"/>
  <c r="AB23" i="33"/>
  <c r="U23" i="33"/>
  <c r="F23" i="33"/>
  <c r="S23" i="33" s="1"/>
  <c r="G85" i="33"/>
  <c r="AC23" i="33"/>
  <c r="W23" i="33"/>
  <c r="AA19" i="33"/>
  <c r="H19" i="33"/>
  <c r="U19" i="33" s="1"/>
  <c r="G81" i="33"/>
  <c r="G79" i="33"/>
  <c r="H17" i="33"/>
  <c r="U17" i="33" s="1"/>
  <c r="F17" i="33"/>
  <c r="S17" i="33" s="1"/>
  <c r="W17" i="33"/>
  <c r="AC17" i="33"/>
  <c r="S37" i="21"/>
  <c r="AA23" i="21"/>
  <c r="J23" i="21"/>
  <c r="F85" i="21"/>
  <c r="G85" i="21"/>
  <c r="H23" i="21"/>
  <c r="S13" i="21"/>
  <c r="D6" i="52"/>
  <c r="AP7" i="1"/>
  <c r="AB45" i="21"/>
  <c r="AB9" i="21"/>
  <c r="U9" i="21"/>
  <c r="AA32" i="21"/>
  <c r="W9" i="21"/>
  <c r="AC9" i="21"/>
  <c r="AB32" i="21"/>
  <c r="U32" i="39"/>
  <c r="AC32" i="39"/>
  <c r="W32" i="39"/>
  <c r="W23" i="37"/>
  <c r="AC23" i="37"/>
  <c r="J63" i="37"/>
  <c r="K63" i="37" s="1"/>
  <c r="L63" i="37" s="1"/>
  <c r="M63" i="37" s="1"/>
  <c r="J11" i="37"/>
  <c r="AC11" i="37" s="1"/>
  <c r="H70" i="34"/>
  <c r="I70" i="34" s="1"/>
  <c r="J70" i="34" s="1"/>
  <c r="K70" i="34"/>
  <c r="L70" i="34" s="1"/>
  <c r="M70" i="34" s="1"/>
  <c r="J11" i="34"/>
  <c r="W11" i="34" s="1"/>
  <c r="AB36" i="33"/>
  <c r="W27" i="33"/>
  <c r="AC25" i="33"/>
  <c r="AA23" i="33"/>
  <c r="AB19" i="33"/>
  <c r="U23" i="21"/>
  <c r="AB23" i="21"/>
  <c r="AC23" i="21"/>
  <c r="W23" i="21"/>
  <c r="H109" i="9"/>
  <c r="D16" i="53" s="1"/>
  <c r="B34" i="72" s="1"/>
  <c r="AD3" i="71"/>
  <c r="J1" i="73"/>
  <c r="H69" i="43"/>
  <c r="G69" i="43" s="1"/>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E21" i="71"/>
  <c r="E20" i="71" s="1"/>
  <c r="E19" i="71" s="1"/>
  <c r="E18" i="71" s="1"/>
  <c r="E17" i="71" s="1"/>
  <c r="E16" i="71" s="1"/>
  <c r="D21" i="71"/>
  <c r="F26" i="67"/>
  <c r="F7" i="67"/>
  <c r="F42" i="67"/>
  <c r="M6" i="15"/>
  <c r="B9" i="76"/>
  <c r="F20" i="31"/>
  <c r="M6" i="67"/>
  <c r="M9" i="15"/>
  <c r="F6" i="67"/>
  <c r="E8" i="76"/>
  <c r="F42" i="15"/>
  <c r="L48" i="15"/>
  <c r="F8" i="67"/>
  <c r="F9" i="15"/>
  <c r="M23" i="15"/>
  <c r="F6" i="15"/>
  <c r="E2" i="68"/>
  <c r="B11" i="76"/>
  <c r="M22" i="15"/>
  <c r="M24" i="15"/>
  <c r="F8" i="15"/>
  <c r="M28" i="67"/>
  <c r="E10" i="76"/>
  <c r="F13" i="67"/>
  <c r="F13" i="15"/>
  <c r="M22" i="67"/>
  <c r="E9" i="76"/>
  <c r="M8" i="15"/>
  <c r="F43" i="67"/>
  <c r="E7" i="76"/>
  <c r="J15" i="67"/>
  <c r="E11" i="76"/>
  <c r="F16" i="67"/>
  <c r="B8" i="76"/>
  <c r="F5" i="73"/>
  <c r="F6" i="73"/>
  <c r="F4" i="73"/>
  <c r="C76" i="15"/>
  <c r="AO13" i="1"/>
  <c r="F9" i="67"/>
  <c r="C76" i="67"/>
  <c r="M28" i="15"/>
  <c r="L47" i="67"/>
  <c r="M23" i="67"/>
  <c r="F16" i="15"/>
  <c r="M8" i="67"/>
  <c r="B13" i="76"/>
  <c r="E2" i="69"/>
  <c r="B7" i="76"/>
  <c r="F36" i="15"/>
  <c r="F7" i="73"/>
  <c r="M26" i="15"/>
  <c r="E13" i="76"/>
  <c r="F26" i="15"/>
  <c r="F36" i="67"/>
  <c r="F38" i="67"/>
  <c r="B10" i="76"/>
  <c r="L48" i="67"/>
  <c r="F40" i="15"/>
  <c r="M29" i="67"/>
  <c r="L47" i="15"/>
  <c r="B12" i="76"/>
  <c r="F37" i="15"/>
  <c r="J15" i="15"/>
  <c r="F38" i="15"/>
  <c r="E12" i="76"/>
  <c r="F40" i="67"/>
  <c r="M26" i="67"/>
  <c r="M24" i="67"/>
  <c r="F3" i="73"/>
  <c r="F37" i="67"/>
  <c r="M9" i="67"/>
  <c r="C19" i="71" l="1"/>
  <c r="D20" i="71"/>
  <c r="U20" i="71" s="1"/>
  <c r="T20" i="71"/>
  <c r="E15" i="71"/>
  <c r="E14" i="71" s="1"/>
  <c r="E13" i="71" s="1"/>
  <c r="E12" i="71" s="1"/>
  <c r="V16" i="71"/>
  <c r="M69" i="43"/>
  <c r="N69" i="43" s="1"/>
  <c r="K69" i="43"/>
  <c r="J69" i="43" s="1"/>
  <c r="AB17" i="33"/>
  <c r="AA17" i="33"/>
  <c r="W19" i="37"/>
  <c r="AC19" i="37"/>
  <c r="V20" i="71"/>
  <c r="U31" i="21"/>
  <c r="AB31" i="21"/>
  <c r="AZ541" i="3"/>
  <c r="U15" i="21"/>
  <c r="S34" i="33"/>
  <c r="M64" i="43"/>
  <c r="N64" i="43" s="1"/>
  <c r="K64" i="43"/>
  <c r="J64" i="43" s="1"/>
  <c r="AA11" i="39"/>
  <c r="H12" i="21"/>
  <c r="F12" i="21"/>
  <c r="J12" i="21"/>
  <c r="J12" i="33"/>
  <c r="H12" i="33"/>
  <c r="J12" i="36"/>
  <c r="F12" i="36"/>
  <c r="W32" i="40"/>
  <c r="AC32" i="40"/>
  <c r="AZ406" i="3"/>
  <c r="AZ419" i="3"/>
  <c r="W12" i="34"/>
  <c r="AC12" i="34"/>
  <c r="W31" i="37"/>
  <c r="AC31" i="37"/>
  <c r="AZ415" i="3"/>
  <c r="W17" i="21"/>
  <c r="S30" i="40"/>
  <c r="AC11" i="35"/>
  <c r="BL585" i="3"/>
  <c r="AZ585" i="3" s="1"/>
  <c r="U35" i="33"/>
  <c r="AB35" i="33"/>
  <c r="AC39" i="33"/>
  <c r="W39" i="33"/>
  <c r="AC36" i="35"/>
  <c r="W36" i="35"/>
  <c r="H23" i="35"/>
  <c r="J23" i="35"/>
  <c r="H12" i="36"/>
  <c r="AB9" i="36"/>
  <c r="U9" i="36"/>
  <c r="U14" i="37"/>
  <c r="AB14" i="37"/>
  <c r="H26" i="37"/>
  <c r="J26" i="37"/>
  <c r="F26" i="37"/>
  <c r="W31" i="40"/>
  <c r="AC31" i="40"/>
  <c r="U12" i="39"/>
  <c r="S11" i="36"/>
  <c r="S39" i="37"/>
  <c r="AA39" i="37"/>
  <c r="H39" i="40"/>
  <c r="J39" i="40"/>
  <c r="AZ402" i="3"/>
  <c r="AZ407" i="3"/>
  <c r="AZ423" i="3"/>
  <c r="C27" i="39"/>
  <c r="W28" i="35"/>
  <c r="U30" i="37"/>
  <c r="B73" i="43"/>
  <c r="B76" i="43"/>
  <c r="F34" i="35"/>
  <c r="AC22" i="35"/>
  <c r="BL417" i="3"/>
  <c r="AZ417" i="3" s="1"/>
  <c r="G423" i="3"/>
  <c r="AZ424" i="3"/>
  <c r="AZ432" i="3"/>
  <c r="AZ434" i="3"/>
  <c r="AZ435" i="3"/>
  <c r="AZ485" i="3"/>
  <c r="AZ395" i="3"/>
  <c r="D33" i="43"/>
  <c r="D1" i="43" s="1"/>
  <c r="F19" i="6"/>
  <c r="E19" i="6" s="1"/>
  <c r="K6" i="1" s="1"/>
  <c r="BL421" i="3"/>
  <c r="AZ421" i="3" s="1"/>
  <c r="AZ425" i="3"/>
  <c r="AZ442" i="3"/>
  <c r="AZ444" i="3"/>
  <c r="AZ448" i="3"/>
  <c r="AZ464" i="3"/>
  <c r="AZ466" i="3"/>
  <c r="AZ468" i="3"/>
  <c r="AZ475" i="3"/>
  <c r="AZ483" i="3"/>
  <c r="AZ486" i="3"/>
  <c r="AZ487" i="3"/>
  <c r="AZ316" i="3"/>
  <c r="AZ276" i="3"/>
  <c r="AZ282" i="3"/>
  <c r="G14" i="3"/>
  <c r="BL15" i="3"/>
  <c r="AZ445" i="3"/>
  <c r="AZ446" i="3"/>
  <c r="AZ449" i="3"/>
  <c r="AZ450" i="3"/>
  <c r="AZ467" i="3"/>
  <c r="AZ474" i="3"/>
  <c r="AZ481" i="3"/>
  <c r="AZ482" i="3"/>
  <c r="AZ211" i="3"/>
  <c r="AZ221" i="3"/>
  <c r="AZ277" i="3"/>
  <c r="C21" i="39"/>
  <c r="A15" i="62"/>
  <c r="B61" i="72" s="1"/>
  <c r="BL426" i="3"/>
  <c r="AZ426" i="3" s="1"/>
  <c r="AZ431" i="3"/>
  <c r="AZ210" i="3"/>
  <c r="AZ244" i="3"/>
  <c r="AZ264" i="3"/>
  <c r="BL283" i="3"/>
  <c r="AZ283" i="3" s="1"/>
  <c r="G285" i="3"/>
  <c r="AZ185" i="3"/>
  <c r="AZ284" i="3"/>
  <c r="AZ292" i="3"/>
  <c r="AZ300" i="3"/>
  <c r="AZ121" i="3"/>
  <c r="AZ129" i="3"/>
  <c r="BA285" i="3"/>
  <c r="AZ285" i="3" s="1"/>
  <c r="AZ289" i="3"/>
  <c r="AZ290" i="3"/>
  <c r="AZ298" i="3"/>
  <c r="AZ125" i="3"/>
  <c r="AZ137" i="3"/>
  <c r="AZ145" i="3"/>
  <c r="AZ153" i="3"/>
  <c r="AZ27" i="3"/>
  <c r="BL27" i="3"/>
  <c r="BA30" i="3"/>
  <c r="AZ30" i="3" s="1"/>
  <c r="G203" i="3"/>
  <c r="AZ18" i="3"/>
  <c r="BL23" i="3"/>
  <c r="AZ23" i="3" s="1"/>
  <c r="BA25" i="3"/>
  <c r="AZ25" i="3" s="1"/>
  <c r="BA26" i="3"/>
  <c r="AZ26" i="3" s="1"/>
  <c r="BL28" i="3"/>
  <c r="AZ28" i="3" s="1"/>
  <c r="AZ38" i="3"/>
  <c r="AZ54" i="3"/>
  <c r="AZ57" i="3"/>
  <c r="AZ70" i="3"/>
  <c r="AZ92" i="3"/>
  <c r="BL205" i="3"/>
  <c r="AZ205" i="3" s="1"/>
  <c r="BL20" i="3"/>
  <c r="AZ20" i="3" s="1"/>
  <c r="BA22" i="3"/>
  <c r="AZ22" i="3" s="1"/>
  <c r="BL24" i="3"/>
  <c r="AZ24" i="3" s="1"/>
  <c r="AZ104" i="3"/>
  <c r="BL21" i="3"/>
  <c r="AZ21" i="3" s="1"/>
  <c r="BA32" i="3"/>
  <c r="AZ32" i="3" s="1"/>
  <c r="AZ34" i="3"/>
  <c r="AZ46" i="3"/>
  <c r="AZ49" i="3"/>
  <c r="AZ62" i="3"/>
  <c r="AZ65" i="3"/>
  <c r="BL109" i="3"/>
  <c r="AZ109" i="3" s="1"/>
  <c r="C55" i="71"/>
  <c r="D54" i="71"/>
  <c r="G100" i="3"/>
  <c r="BA107" i="3"/>
  <c r="AZ107" i="3" s="1"/>
  <c r="BA112" i="3"/>
  <c r="AZ112" i="3" s="1"/>
  <c r="C40" i="68"/>
  <c r="AB21" i="21"/>
  <c r="U21" i="34"/>
  <c r="BL104" i="3"/>
  <c r="AC21" i="33"/>
  <c r="S21" i="21"/>
  <c r="U18" i="36"/>
  <c r="D60" i="71"/>
  <c r="N66" i="71"/>
  <c r="AA27" i="71"/>
  <c r="AB25" i="71"/>
  <c r="AB27" i="71"/>
  <c r="X28" i="71"/>
  <c r="AB33" i="71"/>
  <c r="X31" i="71"/>
  <c r="AA29" i="71"/>
  <c r="AB29" i="71"/>
  <c r="Y30" i="71"/>
  <c r="Z30" i="71" s="1"/>
  <c r="Y25" i="71"/>
  <c r="Z25" i="71" s="1"/>
  <c r="Y27" i="71"/>
  <c r="Z27" i="71" s="1"/>
  <c r="AB34" i="71"/>
  <c r="B38" i="71"/>
  <c r="B39" i="71" s="1"/>
  <c r="B40" i="71" s="1"/>
  <c r="S40" i="71" s="1"/>
  <c r="X37" i="71"/>
  <c r="Y9" i="71"/>
  <c r="Z9" i="71" s="1"/>
  <c r="Y10" i="71"/>
  <c r="Z10" i="71" s="1"/>
  <c r="Y39" i="71"/>
  <c r="Z39" i="71" s="1"/>
  <c r="X24" i="71"/>
  <c r="AA22" i="71"/>
  <c r="X22" i="71"/>
  <c r="X17" i="71"/>
  <c r="AA17" i="71"/>
  <c r="Y14" i="71"/>
  <c r="Z14" i="71" s="1"/>
  <c r="AA26" i="71"/>
  <c r="E28" i="71"/>
  <c r="Y28" i="71"/>
  <c r="Z28" i="71" s="1"/>
  <c r="AA30" i="71"/>
  <c r="X26" i="71"/>
  <c r="X27" i="71"/>
  <c r="Y31" i="71"/>
  <c r="Z31" i="71" s="1"/>
  <c r="Y34" i="71"/>
  <c r="Z34" i="71" s="1"/>
  <c r="AA34" i="71"/>
  <c r="AA36" i="71"/>
  <c r="F38" i="71"/>
  <c r="F39" i="71" s="1"/>
  <c r="F40" i="71" s="1"/>
  <c r="V40" i="71" s="1"/>
  <c r="F75" i="71"/>
  <c r="F74" i="71" s="1"/>
  <c r="Y22" i="71"/>
  <c r="Z22" i="71" s="1"/>
  <c r="Y23" i="71"/>
  <c r="Z23" i="71" s="1"/>
  <c r="Y21" i="71"/>
  <c r="Z21" i="71" s="1"/>
  <c r="AA11" i="71"/>
  <c r="C35" i="71"/>
  <c r="D34" i="71"/>
  <c r="AA24" i="71"/>
  <c r="AB21" i="71"/>
  <c r="Y17" i="71"/>
  <c r="Z17" i="71" s="1"/>
  <c r="AB18" i="71"/>
  <c r="AB14" i="71"/>
  <c r="AA28" i="71"/>
  <c r="AB26" i="71"/>
  <c r="Y26" i="71"/>
  <c r="Z26" i="71" s="1"/>
  <c r="X38" i="71"/>
  <c r="X35" i="71"/>
  <c r="Y29" i="71"/>
  <c r="Z29" i="71" s="1"/>
  <c r="X30" i="71"/>
  <c r="AB31" i="71"/>
  <c r="Y32" i="71"/>
  <c r="Z32" i="71" s="1"/>
  <c r="E34" i="71"/>
  <c r="E35" i="71" s="1"/>
  <c r="E36" i="71" s="1"/>
  <c r="U36" i="71" s="1"/>
  <c r="AA33" i="71"/>
  <c r="X33" i="71"/>
  <c r="X34" i="71"/>
  <c r="X36" i="71"/>
  <c r="X32" i="71"/>
  <c r="Y38" i="71"/>
  <c r="Z38" i="71" s="1"/>
  <c r="X9" i="71"/>
  <c r="X10" i="71"/>
  <c r="AB10" i="71"/>
  <c r="AB24" i="71"/>
  <c r="AB23" i="71"/>
  <c r="Y18" i="71"/>
  <c r="Z18" i="71" s="1"/>
  <c r="X18" i="71"/>
  <c r="AA18" i="71"/>
  <c r="AB17" i="71"/>
  <c r="X21" i="71"/>
  <c r="X15" i="71"/>
  <c r="AB12" i="71"/>
  <c r="AA13" i="71"/>
  <c r="X12" i="71"/>
  <c r="Y12" i="71"/>
  <c r="Z12" i="71" s="1"/>
  <c r="Y24" i="71"/>
  <c r="Z24" i="71" s="1"/>
  <c r="AA21" i="71"/>
  <c r="X11" i="71"/>
  <c r="Y13" i="71"/>
  <c r="Z13" i="71" s="1"/>
  <c r="AA10" i="71"/>
  <c r="AA9" i="71"/>
  <c r="K56" i="9"/>
  <c r="AA23" i="71"/>
  <c r="AA15" i="71"/>
  <c r="AB13" i="71"/>
  <c r="AA14" i="71"/>
  <c r="X13" i="71"/>
  <c r="Y11" i="71"/>
  <c r="Z11" i="71" s="1"/>
  <c r="AB9" i="71"/>
  <c r="N56" i="9"/>
  <c r="AB15" i="71"/>
  <c r="AB11" i="71"/>
  <c r="AA12" i="71"/>
  <c r="X14" i="71"/>
  <c r="C18" i="9"/>
  <c r="D18" i="9" s="1"/>
  <c r="G6" i="1"/>
  <c r="I24" i="43"/>
  <c r="C24" i="43" s="1"/>
  <c r="H67" i="43"/>
  <c r="G67" i="43" s="1"/>
  <c r="B41" i="1"/>
  <c r="D93" i="9"/>
  <c r="C40" i="69"/>
  <c r="C21" i="68"/>
  <c r="D23" i="15"/>
  <c r="AZ15" i="3"/>
  <c r="G5" i="3"/>
  <c r="B3" i="3" s="1"/>
  <c r="E77" i="3" s="1"/>
  <c r="BL5" i="3"/>
  <c r="G28" i="6"/>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453" i="3"/>
  <c r="E314" i="3"/>
  <c r="E99" i="3"/>
  <c r="E193" i="3"/>
  <c r="E573" i="3"/>
  <c r="E481" i="3"/>
  <c r="E527" i="3"/>
  <c r="E344" i="3"/>
  <c r="E562" i="3"/>
  <c r="E429" i="3"/>
  <c r="E450" i="3"/>
  <c r="E55" i="3"/>
  <c r="E72" i="3"/>
  <c r="E73" i="3"/>
  <c r="E111" i="3"/>
  <c r="E203" i="3"/>
  <c r="E150" i="3"/>
  <c r="E256" i="3"/>
  <c r="E279" i="3"/>
  <c r="E274" i="3"/>
  <c r="E351" i="3"/>
  <c r="E394" i="3"/>
  <c r="E318" i="3"/>
  <c r="E580" i="3"/>
  <c r="E31" i="3"/>
  <c r="E32" i="3"/>
  <c r="E567" i="3"/>
  <c r="I6" i="3"/>
  <c r="E549" i="3"/>
  <c r="E236" i="3"/>
  <c r="E269" i="3"/>
  <c r="E252" i="3"/>
  <c r="E271" i="3"/>
  <c r="E164" i="3"/>
  <c r="E107" i="3"/>
  <c r="E576" i="3"/>
  <c r="E585" i="3"/>
  <c r="AG6" i="3"/>
  <c r="E515" i="3"/>
  <c r="E448" i="3"/>
  <c r="E478" i="3"/>
  <c r="E485" i="3"/>
  <c r="P6" i="3"/>
  <c r="E414" i="3"/>
  <c r="E400"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77" i="9"/>
  <c r="C74" i="9" s="1"/>
  <c r="C21" i="69"/>
  <c r="J84" i="43"/>
  <c r="J85" i="43"/>
  <c r="J86" i="43"/>
  <c r="J87" i="43"/>
  <c r="J88" i="43"/>
  <c r="J89" i="43"/>
  <c r="J90" i="43"/>
  <c r="D83" i="43"/>
  <c r="E83" i="43" s="1"/>
  <c r="B81" i="43" s="1"/>
  <c r="D64"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B29" i="1" s="1"/>
  <c r="C8" i="68"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D6" i="73"/>
  <c r="F7" i="15"/>
  <c r="M29" i="15"/>
  <c r="F43" i="15"/>
  <c r="C16" i="67"/>
  <c r="D4" i="73"/>
  <c r="C16" i="15"/>
  <c r="D3" i="73"/>
  <c r="D5" i="73"/>
  <c r="G1" i="73" s="1"/>
  <c r="D7" i="73"/>
  <c r="F71" i="15" l="1"/>
  <c r="F50" i="15"/>
  <c r="M7" i="15"/>
  <c r="J6" i="15" s="1"/>
  <c r="C6" i="15"/>
  <c r="M63" i="43"/>
  <c r="N63" i="43" s="1"/>
  <c r="K63" i="43"/>
  <c r="E432" i="3"/>
  <c r="E548" i="3"/>
  <c r="E411" i="3"/>
  <c r="U6" i="3"/>
  <c r="E379" i="3"/>
  <c r="E145" i="3"/>
  <c r="E207" i="3"/>
  <c r="E196" i="3"/>
  <c r="E397" i="3"/>
  <c r="E93" i="3"/>
  <c r="E14" i="3"/>
  <c r="E357" i="3"/>
  <c r="E257" i="3"/>
  <c r="E208" i="3"/>
  <c r="E168" i="3"/>
  <c r="E54" i="3"/>
  <c r="E433" i="3"/>
  <c r="E571" i="3"/>
  <c r="E457" i="3"/>
  <c r="E458" i="3"/>
  <c r="E519" i="3"/>
  <c r="E45" i="3"/>
  <c r="E511" i="3"/>
  <c r="E85" i="3"/>
  <c r="V28" i="71"/>
  <c r="E27" i="71"/>
  <c r="E26" i="71" s="1"/>
  <c r="U12" i="36"/>
  <c r="AB12" i="36"/>
  <c r="W12" i="36"/>
  <c r="AC12" i="36"/>
  <c r="S12" i="21"/>
  <c r="AA12" i="21"/>
  <c r="E11" i="71"/>
  <c r="E10" i="71" s="1"/>
  <c r="E9" i="71" s="1"/>
  <c r="E8" i="71" s="1"/>
  <c r="E7" i="71" s="1"/>
  <c r="E6" i="71" s="1"/>
  <c r="E5" i="71" s="1"/>
  <c r="V12" i="71"/>
  <c r="B15" i="71"/>
  <c r="B14" i="71" s="1"/>
  <c r="B13" i="71" s="1"/>
  <c r="B12" i="71" s="1"/>
  <c r="S16" i="71"/>
  <c r="F7" i="36"/>
  <c r="H7" i="36"/>
  <c r="AZ5" i="3"/>
  <c r="AO6" i="3"/>
  <c r="Z6" i="3"/>
  <c r="E327" i="3"/>
  <c r="E204" i="3"/>
  <c r="E89" i="3"/>
  <c r="E368" i="3"/>
  <c r="E227" i="3"/>
  <c r="E74" i="3"/>
  <c r="E362" i="3"/>
  <c r="E315" i="3"/>
  <c r="E214" i="3"/>
  <c r="E171" i="3"/>
  <c r="E146" i="3"/>
  <c r="E106" i="3"/>
  <c r="E496" i="3"/>
  <c r="AE6" i="3"/>
  <c r="E424" i="3"/>
  <c r="E437" i="3"/>
  <c r="E330" i="3"/>
  <c r="E120" i="3"/>
  <c r="E128" i="3"/>
  <c r="E238" i="3"/>
  <c r="M67" i="43"/>
  <c r="N67" i="43" s="1"/>
  <c r="K67" i="43"/>
  <c r="C36" i="71"/>
  <c r="D35" i="71"/>
  <c r="AC39" i="40"/>
  <c r="W39" i="40"/>
  <c r="AA26" i="37"/>
  <c r="S26" i="37"/>
  <c r="AC23" i="35"/>
  <c r="W23" i="35"/>
  <c r="U12" i="33"/>
  <c r="AB12" i="33"/>
  <c r="AB12" i="21"/>
  <c r="U12" i="21"/>
  <c r="D55" i="71"/>
  <c r="C56" i="71"/>
  <c r="AB39" i="40"/>
  <c r="U39" i="40"/>
  <c r="AC26" i="37"/>
  <c r="W26" i="37"/>
  <c r="U23" i="35"/>
  <c r="AB23" i="35"/>
  <c r="BA5" i="3"/>
  <c r="W12" i="33"/>
  <c r="AC12" i="33"/>
  <c r="M66" i="43"/>
  <c r="N66" i="43" s="1"/>
  <c r="K66" i="43"/>
  <c r="J7" i="37"/>
  <c r="M68" i="43"/>
  <c r="N68" i="43" s="1"/>
  <c r="K68" i="43"/>
  <c r="J68" i="43" s="1"/>
  <c r="D68" i="43" s="1"/>
  <c r="M61" i="43"/>
  <c r="N61" i="43" s="1"/>
  <c r="K61" i="43"/>
  <c r="K65" i="43"/>
  <c r="J65" i="43" s="1"/>
  <c r="M65" i="43"/>
  <c r="M62" i="43"/>
  <c r="N62" i="43" s="1"/>
  <c r="K62" i="43"/>
  <c r="Q6" i="3"/>
  <c r="E177" i="3"/>
  <c r="E262" i="3"/>
  <c r="E434" i="3"/>
  <c r="E253" i="3"/>
  <c r="AP6" i="1"/>
  <c r="C36" i="69" s="1"/>
  <c r="AA34" i="35"/>
  <c r="S34" i="35"/>
  <c r="AB26" i="37"/>
  <c r="U26" i="37"/>
  <c r="AA12" i="36"/>
  <c r="S12" i="36"/>
  <c r="AC12" i="21"/>
  <c r="W12" i="21"/>
  <c r="C18" i="71"/>
  <c r="D19" i="71"/>
  <c r="N94" i="46"/>
  <c r="F26" i="43"/>
  <c r="N370" i="46"/>
  <c r="J26" i="43"/>
  <c r="G26" i="43"/>
  <c r="E26" i="43"/>
  <c r="F48" i="9"/>
  <c r="O52" i="9" s="1"/>
  <c r="F30" i="11"/>
  <c r="M18" i="67"/>
  <c r="J18" i="67" s="1"/>
  <c r="M18" i="15"/>
  <c r="J18" i="15" s="1"/>
  <c r="F28" i="67"/>
  <c r="C28" i="67" s="1"/>
  <c r="F32" i="67"/>
  <c r="F60" i="67" s="1"/>
  <c r="F28" i="15"/>
  <c r="C28" i="15" s="1"/>
  <c r="F31" i="12"/>
  <c r="C31" i="12" s="1"/>
  <c r="F30" i="69"/>
  <c r="D68" i="9"/>
  <c r="F30" i="68"/>
  <c r="F52" i="9"/>
  <c r="F32" i="15"/>
  <c r="F60" i="15" s="1"/>
  <c r="F54" i="9"/>
  <c r="E475" i="3"/>
  <c r="E471" i="3"/>
  <c r="E537" i="3"/>
  <c r="W6" i="3"/>
  <c r="E288" i="3"/>
  <c r="E438" i="3"/>
  <c r="E474" i="3"/>
  <c r="E529" i="3"/>
  <c r="E532" i="3"/>
  <c r="E313" i="3"/>
  <c r="E224" i="3"/>
  <c r="E157" i="3"/>
  <c r="E306" i="3"/>
  <c r="E352" i="3"/>
  <c r="E136" i="3"/>
  <c r="E461" i="3"/>
  <c r="E122" i="3"/>
  <c r="E454" i="3"/>
  <c r="E468" i="3"/>
  <c r="E577" i="3"/>
  <c r="E587" i="3"/>
  <c r="E465" i="3"/>
  <c r="E406" i="3"/>
  <c r="E472" i="3"/>
  <c r="E560" i="3"/>
  <c r="K6" i="3"/>
  <c r="H6" i="3" s="1"/>
  <c r="E133" i="3"/>
  <c r="E277" i="3"/>
  <c r="E228" i="3"/>
  <c r="AK6" i="3"/>
  <c r="E545" i="3"/>
  <c r="E181" i="3"/>
  <c r="E568" i="3"/>
  <c r="E510" i="3"/>
  <c r="E539" i="3"/>
  <c r="E536" i="3"/>
  <c r="E148" i="3"/>
  <c r="E212" i="3"/>
  <c r="E199" i="3"/>
  <c r="E286" i="3"/>
  <c r="E575" i="3"/>
  <c r="E499" i="3"/>
  <c r="R6" i="3"/>
  <c r="E502" i="3"/>
  <c r="E442" i="3"/>
  <c r="E466" i="3"/>
  <c r="E541" i="3"/>
  <c r="E430" i="3"/>
  <c r="E449" i="3"/>
  <c r="E255" i="3"/>
  <c r="I3" i="6"/>
  <c r="AP6" i="3"/>
  <c r="E554" i="3"/>
  <c r="E517" i="3"/>
  <c r="E435" i="3"/>
  <c r="E491" i="3"/>
  <c r="E417" i="3"/>
  <c r="E479" i="3"/>
  <c r="E37" i="3"/>
  <c r="E152" i="3"/>
  <c r="E132" i="3"/>
  <c r="E192" i="3"/>
  <c r="E258" i="3"/>
  <c r="E241" i="3"/>
  <c r="E349" i="3"/>
  <c r="E59" i="3"/>
  <c r="E46" i="3"/>
  <c r="E249" i="3"/>
  <c r="E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09" i="3"/>
  <c r="E142" i="3"/>
  <c r="E310" i="3"/>
  <c r="E67" i="3"/>
  <c r="E184"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0" i="3"/>
  <c r="E218" i="3"/>
  <c r="E365" i="3"/>
  <c r="E101" i="3"/>
  <c r="E56" i="3"/>
  <c r="E363" i="3"/>
  <c r="E544" i="3"/>
  <c r="E484" i="3"/>
  <c r="E467" i="3"/>
  <c r="E103" i="3"/>
  <c r="E200" i="3"/>
  <c r="E300" i="3"/>
  <c r="E23" i="3"/>
  <c r="E329" i="3"/>
  <c r="E16" i="3"/>
  <c r="E188" i="3"/>
  <c r="E223" i="3"/>
  <c r="E116" i="3"/>
  <c r="E105" i="3"/>
  <c r="E393" i="3"/>
  <c r="E493" i="3"/>
  <c r="E564" i="3"/>
  <c r="E543" i="3"/>
  <c r="E427" i="3"/>
  <c r="E486" i="3"/>
  <c r="E507" i="3"/>
  <c r="E422" i="3"/>
  <c r="E440" i="3"/>
  <c r="E490" i="3"/>
  <c r="E376" i="3"/>
  <c r="AH6" i="3"/>
  <c r="AC6" i="3" s="1"/>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65" i="3"/>
  <c r="E524" i="3"/>
  <c r="E95" i="3"/>
  <c r="E292" i="3"/>
  <c r="E389" i="3"/>
  <c r="E76" i="3"/>
  <c r="E425" i="3"/>
  <c r="E64" i="3"/>
  <c r="E160" i="3"/>
  <c r="E267" i="3"/>
  <c r="E371" i="3"/>
  <c r="E492" i="3"/>
  <c r="E33" i="3"/>
  <c r="E355" i="3"/>
  <c r="E81" i="3"/>
  <c r="E513" i="3"/>
  <c r="E381" i="3"/>
  <c r="E144" i="3"/>
  <c r="E68" i="3"/>
  <c r="E264" i="3"/>
  <c r="E21" i="3"/>
  <c r="E233" i="3"/>
  <c r="E63" i="3"/>
  <c r="E283" i="3"/>
  <c r="E309" i="3"/>
  <c r="E118" i="3"/>
  <c r="E156" i="3"/>
  <c r="E59" i="40"/>
  <c r="D18" i="53"/>
  <c r="B35" i="72"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F41" i="67"/>
  <c r="AE6" i="1"/>
  <c r="J62" i="43" l="1"/>
  <c r="D62" i="43"/>
  <c r="J61" i="43"/>
  <c r="D61" i="43"/>
  <c r="T56" i="71"/>
  <c r="D56" i="71"/>
  <c r="C17" i="71"/>
  <c r="D18" i="71"/>
  <c r="J66" i="43"/>
  <c r="D66" i="43"/>
  <c r="T36" i="71"/>
  <c r="D36" i="71"/>
  <c r="J63" i="43"/>
  <c r="D63" i="43"/>
  <c r="N65" i="43"/>
  <c r="D65" i="43"/>
  <c r="J67" i="43"/>
  <c r="D67" i="43"/>
  <c r="B11" i="71"/>
  <c r="B10" i="71" s="1"/>
  <c r="B9" i="71" s="1"/>
  <c r="B8" i="71" s="1"/>
  <c r="B7" i="71" s="1"/>
  <c r="B6" i="71" s="1"/>
  <c r="B5" i="71" s="1"/>
  <c r="S12" i="71"/>
  <c r="D26" i="43"/>
  <c r="C25" i="43" s="1"/>
  <c r="C48" i="11"/>
  <c r="C30" i="11"/>
  <c r="F48" i="68"/>
  <c r="C48" i="68"/>
  <c r="C30" i="68"/>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E61" i="43" l="1"/>
  <c r="B59" i="43" s="1"/>
  <c r="C28" i="43" s="1"/>
  <c r="C16" i="71"/>
  <c r="D17" i="71"/>
  <c r="B14" i="74"/>
  <c r="B1" i="74"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5" i="71" l="1"/>
  <c r="T16" i="71"/>
  <c r="D16" i="71"/>
  <c r="T9" i="43"/>
  <c r="V9" i="43" s="1"/>
  <c r="T12" i="43"/>
  <c r="V12" i="43" s="1"/>
  <c r="T3" i="43"/>
  <c r="V3" i="43" s="1"/>
  <c r="C33" i="43"/>
  <c r="C39" i="43"/>
  <c r="T15" i="43"/>
  <c r="V15" i="43" s="1"/>
  <c r="T7" i="43"/>
  <c r="V7" i="43" s="1"/>
  <c r="T10" i="43"/>
  <c r="V10" i="43" s="1"/>
  <c r="T2" i="43"/>
  <c r="V2" i="43" s="1"/>
  <c r="C40" i="43"/>
  <c r="C42" i="43"/>
  <c r="T13" i="43"/>
  <c r="V13" i="43" s="1"/>
  <c r="T16" i="43"/>
  <c r="V16" i="43" s="1"/>
  <c r="T8" i="43"/>
  <c r="V8" i="43" s="1"/>
  <c r="T6" i="43"/>
  <c r="V6" i="43" s="1"/>
  <c r="C37" i="43"/>
  <c r="C38" i="43"/>
  <c r="T11" i="43"/>
  <c r="V11" i="43" s="1"/>
  <c r="T14" i="43"/>
  <c r="V14" i="43" s="1"/>
  <c r="T4" i="43"/>
  <c r="V4" i="43" s="1"/>
  <c r="T5" i="43"/>
  <c r="V5" i="43" s="1"/>
  <c r="C41" i="43"/>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8" i="43" l="1"/>
  <c r="G38" i="43"/>
  <c r="I38" i="43" s="1"/>
  <c r="G39" i="43"/>
  <c r="I39" i="43" s="1"/>
  <c r="E39" i="43"/>
  <c r="G37" i="43"/>
  <c r="I37" i="43" s="1"/>
  <c r="E37" i="43"/>
  <c r="C34" i="43"/>
  <c r="E34" i="43" s="1"/>
  <c r="E33" i="43"/>
  <c r="M23" i="43"/>
  <c r="U16" i="71"/>
  <c r="E42" i="43"/>
  <c r="G42" i="43"/>
  <c r="I42" i="43" s="1"/>
  <c r="G41" i="43"/>
  <c r="I41" i="43" s="1"/>
  <c r="E41" i="43"/>
  <c r="E40" i="43"/>
  <c r="G40" i="43"/>
  <c r="I40" i="43" s="1"/>
  <c r="D15" i="71"/>
  <c r="C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C31"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W7" i="21"/>
  <c r="E6" i="76"/>
  <c r="E2" i="76" l="1"/>
  <c r="AA7" i="21"/>
  <c r="R48" i="21" s="1"/>
  <c r="D13" i="71"/>
  <c r="C12" i="71"/>
  <c r="B2" i="43"/>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B6" i="76"/>
  <c r="M21" i="67"/>
  <c r="F35" i="15"/>
  <c r="F35" i="67"/>
  <c r="M21" i="15"/>
  <c r="B2" i="76" l="1"/>
  <c r="B3" i="76" s="1"/>
  <c r="C11" i="71"/>
  <c r="T12" i="71"/>
  <c r="D12" i="71"/>
  <c r="U12" i="71" s="1"/>
  <c r="B3" i="43"/>
  <c r="C6" i="68"/>
  <c r="C7" i="68" s="1"/>
  <c r="C5"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 i="71" l="1"/>
  <c r="D10" i="71"/>
  <c r="C28" i="68"/>
  <c r="C27" i="68" s="1"/>
  <c r="C25" i="68"/>
  <c r="C22" i="68" s="1"/>
  <c r="C31" i="68" s="1"/>
  <c r="C52" i="68"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B2" i="68" l="1"/>
  <c r="C57" i="68"/>
  <c r="C56" i="68" s="1"/>
  <c r="C8" i="71"/>
  <c r="D9" i="71"/>
  <c r="Q69" i="15"/>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D2" i="37"/>
  <c r="D2" i="35"/>
  <c r="L51" i="15"/>
  <c r="D2" i="34"/>
  <c r="C102" i="9" l="1"/>
  <c r="C21" i="9"/>
  <c r="D8" i="71"/>
  <c r="C7" i="71"/>
  <c r="B3" i="68"/>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0" i="1"/>
  <c r="AO9" i="1"/>
  <c r="AO12" i="1"/>
  <c r="AO7" i="1"/>
  <c r="AO8" i="1"/>
  <c r="D19" i="9"/>
  <c r="AO11" i="1"/>
  <c r="AO6" i="1"/>
  <c r="C103" i="9" l="1"/>
  <c r="D7" i="71"/>
  <c r="C6" i="71"/>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34" i="9"/>
  <c r="D35" i="9"/>
  <c r="D6" i="71" l="1"/>
  <c r="C5" i="71"/>
  <c r="D5" i="71" s="1"/>
  <c r="M24" i="43" s="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G14" i="74" s="1"/>
  <c r="B6" i="74" s="1"/>
  <c r="D6" i="74" s="1"/>
  <c r="G118" i="9"/>
  <c r="G4" i="52" s="1"/>
  <c r="B52" i="72" s="1"/>
  <c r="I118" i="9"/>
  <c r="F4" i="52"/>
  <c r="B51" i="72" s="1"/>
  <c r="H119" i="9"/>
  <c r="H5" i="52" s="1"/>
  <c r="H4" i="52"/>
  <c r="H101" i="9"/>
  <c r="D119" i="9"/>
  <c r="D5" i="52" s="1"/>
  <c r="B49" i="72" s="1"/>
  <c r="E14" i="74" l="1"/>
  <c r="F14" i="74"/>
  <c r="B5" i="74"/>
  <c r="D5" i="74" s="1"/>
  <c r="I4" i="52"/>
  <c r="E118" i="9"/>
  <c r="E4" i="52" s="1"/>
  <c r="B48" i="72" s="1"/>
  <c r="C105" i="9"/>
  <c r="H102" i="9"/>
  <c r="D45" i="9"/>
  <c r="M48" i="9"/>
  <c r="D5" i="53"/>
  <c r="H107" i="9"/>
  <c r="D52" i="9" l="1"/>
  <c r="D55" i="9"/>
  <c r="M53" i="9" s="1"/>
  <c r="D53" i="9"/>
  <c r="C93" i="9"/>
  <c r="C86" i="9" s="1"/>
  <c r="C64" i="9"/>
  <c r="C63" i="9" s="1"/>
  <c r="C67" i="9" s="1"/>
  <c r="C78" i="9"/>
  <c r="C73" i="9" s="1"/>
  <c r="C72" i="9"/>
  <c r="C85" i="9"/>
  <c r="D122" i="9"/>
  <c r="M49" i="9"/>
  <c r="H108" i="9"/>
  <c r="D13" i="53"/>
  <c r="D7" i="53"/>
  <c r="B21" i="72" s="1"/>
  <c r="C5" i="74"/>
  <c r="B20" i="72"/>
  <c r="D6" i="53"/>
  <c r="B22" i="72" s="1"/>
  <c r="C95" i="9" l="1"/>
  <c r="C96" i="9" s="1"/>
  <c r="E96" i="9" s="1"/>
  <c r="E97" i="9" s="1"/>
  <c r="B30" i="72"/>
  <c r="D14" i="53"/>
  <c r="B32" i="72" s="1"/>
  <c r="L65" i="9"/>
  <c r="M65" i="9" s="1"/>
  <c r="L67" i="9"/>
  <c r="M67" i="9" s="1"/>
  <c r="L68" i="9"/>
  <c r="M68" i="9" s="1"/>
  <c r="L64" i="9"/>
  <c r="M64" i="9" s="1"/>
  <c r="L63" i="9"/>
  <c r="M63" i="9" s="1"/>
  <c r="L66" i="9"/>
  <c r="M66" i="9" s="1"/>
  <c r="D8" i="52"/>
  <c r="D123" i="9"/>
  <c r="D9" i="52" s="1"/>
  <c r="C68" i="9"/>
  <c r="D54" i="9" s="1"/>
  <c r="D48" i="9" s="1"/>
  <c r="M52" i="9" s="1"/>
  <c r="D59" i="9"/>
  <c r="M55" i="9" s="1"/>
  <c r="C6" i="74"/>
  <c r="D15" i="53"/>
  <c r="B31" i="72" s="1"/>
  <c r="C79" i="9"/>
  <c r="C80" i="9" l="1"/>
  <c r="E80" i="9" s="1"/>
  <c r="E81" i="9" s="1"/>
  <c r="C97" i="9"/>
  <c r="M69" i="9"/>
  <c r="N69" i="9" s="1"/>
  <c r="C81" i="9" l="1"/>
  <c r="D58" i="9" s="1"/>
  <c r="D56" i="9" s="1"/>
  <c r="M54" i="9" s="1"/>
  <c r="N57" i="9" s="1"/>
  <c r="N59" i="9" l="1"/>
  <c r="N60" i="9" s="1"/>
  <c r="N58" i="9"/>
  <c r="P57" i="9"/>
  <c r="N61" i="9" l="1"/>
  <c r="H112" i="9" s="1"/>
  <c r="H111" i="9"/>
  <c r="I14" i="74" s="1"/>
  <c r="B8" i="74" s="1"/>
  <c r="D8" i="74" s="1"/>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<sst xmlns="http://schemas.openxmlformats.org/spreadsheetml/2006/main" count="7837" uniqueCount="3435">
  <si>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</si>
  <si>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</si>
  <si>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</si>
  <si>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</si>
  <si>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</si>
  <si>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</si>
  <si>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</si>
  <si>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</si>
  <si>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</si>
  <si>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</si>
  <si>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</si>
  <si>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</si>
  <si>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</si>
  <si>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</si>
  <si>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</si>
  <si>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</si>
  <si>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</si>
  <si>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</si>
  <si>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</si>
  <si>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</si>
  <si>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</si>
  <si>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</si>
  <si>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</si>
  <si>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</si>
  <si>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</si>
  <si>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</si>
  <si>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</si>
  <si>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</si>
  <si>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</si>
  <si>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</si>
  <si>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</si>
  <si>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</si>
  <si>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</si>
  <si>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</si>
  <si>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</si>
  <si>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</si>
  <si>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</si>
  <si>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</si>
  <si>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</si>
  <si>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</si>
  <si>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</si>
  <si>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</si>
  <si>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</si>
  <si>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</si>
  <si>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</si>
  <si>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</si>
  <si>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</si>
  <si>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</si>
  <si>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</si>
  <si>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</si>
  <si>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</si>
  <si>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</si>
  <si>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</si>
  <si>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</si>
  <si>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</si>
  <si>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</si>
  <si>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</si>
  <si>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</si>
  <si>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</si>
  <si>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</si>
  <si>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</si>
  <si>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</si>
  <si>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</si>
  <si>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</si>
  <si>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</si>
  <si>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</si>
  <si>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</si>
  <si>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</si>
  <si>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</si>
  <si>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</si>
  <si>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</si>
  <si>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</si>
  <si>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</si>
  <si>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</si>
  <si>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</si>
  <si>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</si>
  <si>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</si>
  <si>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</si>
  <si>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</si>
  <si>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</si>
  <si>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</si>
  <si>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</si>
  <si>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</si>
  <si>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</si>
  <si>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</si>
  <si>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</si>
  <si>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</si>
  <si>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</si>
  <si>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</si>
  <si>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</si>
  <si>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</si>
  <si>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</si>
  <si>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</si>
  <si>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</si>
  <si>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</si>
  <si>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</si>
  <si>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</si>
  <si>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</si>
  <si>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</si>
  <si>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</si>
  <si>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</si>
  <si>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</si>
  <si>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</si>
  <si>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</si>
  <si>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</si>
  <si>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</si>
  <si>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</si>
  <si>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</si>
  <si>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</si>
  <si>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</si>
  <si>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</si>
  <si>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</si>
  <si>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</si>
  <si>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</si>
  <si>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</si>
  <si>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</si>
  <si>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</si>
  <si>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</si>
  <si>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</si>
  <si>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</si>
  <si>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</si>
  <si>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</si>
  <si>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</si>
  <si>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</si>
  <si>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</si>
  <si>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</si>
  <si>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</si>
  <si>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</si>
  <si>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</si>
  <si>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</si>
  <si>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</si>
  <si>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</si>
  <si>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</si>
  <si>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</si>
  <si>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</si>
  <si>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</si>
  <si>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</si>
  <si>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</si>
  <si>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</si>
  <si>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</si>
  <si>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</si>
  <si>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</si>
  <si>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</si>
  <si>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</si>
  <si>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</si>
  <si>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</si>
  <si>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</si>
  <si>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</si>
  <si>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</si>
  <si>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</si>
  <si>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</si>
  <si>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</si>
  <si>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</si>
  <si>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</si>
  <si>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</si>
  <si>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</si>
  <si>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</si>
  <si>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</si>
  <si>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</si>
  <si>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</si>
  <si>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</si>
  <si>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</si>
  <si>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</si>
  <si>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</si>
  <si>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</si>
  <si>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</si>
  <si>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</si>
  <si>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</si>
  <si>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</si>
  <si>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</si>
  <si>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</si>
  <si>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</si>
  <si>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</si>
  <si>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</si>
  <si>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</si>
  <si>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</si>
  <si>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</si>
  <si>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</si>
  <si>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</si>
  <si>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</si>
  <si>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</si>
  <si>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</si>
  <si>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</si>
  <si>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</si>
  <si>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</si>
  <si>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</si>
  <si>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</si>
  <si>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</si>
  <si>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</si>
  <si>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</si>
  <si>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</si>
  <si>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</si>
  <si>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</si>
  <si>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</si>
  <si>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</si>
  <si>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</si>
  <si>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</si>
  <si>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</si>
  <si>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</si>
  <si>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</si>
  <si>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</si>
  <si>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</si>
  <si>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</si>
  <si>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</si>
  <si>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</si>
  <si>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</si>
  <si>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</si>
  <si>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</si>
  <si>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</si>
  <si>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</si>
  <si>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</si>
  <si>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</si>
  <si>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</si>
  <si>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</si>
  <si>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</si>
  <si>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</si>
  <si>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</si>
  <si>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</si>
  <si>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</si>
  <si>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</si>
  <si>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</si>
  <si>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</si>
  <si>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</si>
  <si>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</si>
  <si>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</si>
  <si>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</si>
  <si>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</si>
  <si>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</si>
  <si>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</si>
  <si>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</si>
  <si>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</si>
  <si>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</si>
  <si>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</si>
  <si>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</si>
  <si>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</si>
  <si>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</si>
  <si>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</si>
  <si>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</si>
  <si>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</si>
  <si>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</si>
  <si>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</si>
  <si>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</si>
  <si>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</si>
  <si>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</si>
  <si>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</si>
  <si>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</si>
  <si>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</si>
  <si>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</si>
  <si>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</si>
  <si>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</si>
  <si>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</si>
  <si>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</si>
  <si>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</si>
  <si>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</si>
  <si>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</si>
  <si>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</si>
  <si>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</si>
  <si>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</si>
  <si>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</si>
  <si>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</si>
  <si>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</si>
  <si>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</si>
  <si>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</si>
  <si>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</si>
  <si>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</si>
  <si>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</si>
  <si>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</si>
  <si>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</si>
  <si>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</si>
  <si>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</si>
  <si>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</si>
  <si>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</si>
  <si>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</si>
  <si>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</si>
  <si>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</si>
  <si>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</si>
  <si>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</si>
  <si>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</si>
  <si>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</si>
  <si>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</si>
  <si>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</si>
  <si>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</si>
  <si>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</si>
  <si>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</si>
  <si>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</si>
  <si>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</si>
  <si>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</si>
  <si>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</si>
  <si>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</si>
  <si>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</si>
  <si>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</si>
  <si>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</si>
  <si>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</si>
  <si>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</si>
  <si>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</si>
  <si>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</si>
  <si>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</si>
  <si>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</si>
  <si>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</si>
  <si>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</si>
  <si>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</si>
  <si>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</si>
  <si>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</si>
  <si>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</si>
  <si>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</si>
  <si>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</si>
  <si>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</si>
  <si>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</si>
  <si>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</si>
  <si>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</si>
  <si>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</si>
  <si>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</si>
  <si>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</si>
  <si>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</si>
  <si>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</si>
  <si>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</si>
  <si>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</si>
  <si>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</si>
  <si>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</si>
  <si>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</si>
  <si>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</si>
  <si>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</si>
  <si>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</si>
  <si>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</si>
  <si>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</si>
  <si>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</si>
  <si>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</si>
  <si>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</si>
  <si>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</si>
  <si>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</si>
  <si>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</si>
  <si>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</si>
  <si>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</si>
  <si>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</si>
  <si>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</si>
  <si>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</si>
  <si>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</si>
  <si>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</si>
  <si>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</si>
  <si>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</si>
  <si>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</si>
  <si>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</si>
  <si>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</si>
  <si>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</si>
  <si>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</si>
  <si>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</si>
  <si>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</si>
  <si>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</si>
  <si>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</si>
  <si>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</si>
  <si>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</si>
  <si>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</si>
  <si>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</si>
  <si>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</si>
  <si>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</si>
  <si>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</si>
  <si>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</si>
  <si>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</si>
  <si>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</si>
  <si>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</si>
  <si>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</si>
  <si>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</si>
  <si>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</si>
  <si>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</si>
  <si>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</si>
  <si>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</si>
  <si>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</si>
  <si>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</si>
  <si>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</si>
  <si>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</si>
  <si>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</si>
  <si>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</si>
  <si>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</si>
  <si>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</si>
  <si>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</si>
  <si>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</si>
  <si>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</si>
  <si>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</si>
  <si>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</si>
  <si>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</si>
  <si>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</si>
  <si>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</si>
  <si>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</si>
  <si>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</si>
  <si>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</si>
  <si>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</si>
  <si>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</si>
  <si>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</si>
  <si>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</si>
  <si>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</si>
  <si>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</si>
  <si>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</si>
  <si>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</si>
  <si>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</si>
  <si>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</si>
  <si>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</si>
  <si>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</si>
  <si>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</si>
  <si>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</si>
  <si>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</si>
  <si>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</si>
  <si>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</si>
  <si>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</si>
  <si>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</si>
  <si>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</si>
  <si>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</si>
  <si>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</si>
  <si>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</si>
  <si>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</si>
  <si>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</si>
  <si>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</si>
  <si>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</si>
  <si>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</si>
  <si>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</si>
  <si>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</si>
  <si>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</si>
  <si>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</si>
  <si>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</si>
  <si>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</si>
  <si>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</si>
  <si>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</si>
  <si>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</si>
  <si>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</si>
  <si>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</si>
  <si>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</si>
  <si>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</si>
  <si>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</si>
  <si>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</si>
  <si>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</si>
  <si>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</si>
  <si>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</si>
  <si>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</si>
  <si>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</si>
  <si>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</si>
  <si>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</si>
  <si>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</si>
  <si>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</si>
  <si>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</si>
  <si>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</si>
  <si>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</si>
  <si>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</si>
  <si>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</si>
  <si>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</si>
  <si>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</si>
  <si>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</si>
  <si>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</si>
  <si>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</si>
  <si>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</si>
  <si>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</si>
  <si>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</si>
  <si>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</si>
  <si>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</si>
  <si>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</si>
  <si>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</si>
  <si>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</si>
  <si>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</si>
  <si>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</si>
  <si>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</si>
  <si>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</si>
  <si>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</si>
  <si>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</si>
  <si>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</si>
  <si>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</si>
  <si>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</si>
  <si>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</si>
  <si>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</si>
  <si>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</si>
  <si>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</si>
  <si>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</si>
  <si>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</si>
  <si>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</si>
  <si>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</si>
  <si>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</si>
  <si>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</si>
  <si>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</si>
  <si>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</si>
  <si>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</si>
  <si>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</si>
  <si>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</si>
  <si>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</si>
  <si>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</si>
  <si>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</si>
  <si>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</si>
  <si>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</si>
  <si>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</si>
  <si>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</si>
  <si>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</si>
  <si>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</si>
  <si>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</si>
  <si>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</si>
  <si>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</si>
  <si>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</si>
  <si>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</si>
  <si>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</si>
  <si>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</si>
  <si>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</si>
  <si>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</si>
  <si>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</si>
  <si>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</si>
  <si>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</si>
  <si>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</si>
  <si>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</si>
  <si>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</si>
  <si>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</si>
  <si>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</si>
  <si>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</si>
  <si>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</si>
  <si>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</si>
  <si>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</si>
  <si>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</si>
  <si>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</si>
  <si>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</si>
  <si>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</si>
  <si>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</si>
  <si>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</si>
  <si>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</si>
  <si>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</si>
  <si>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</si>
  <si>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</si>
  <si>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</si>
  <si>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</si>
  <si>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</si>
  <si>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</si>
  <si>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</si>
  <si>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</si>
  <si>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</si>
  <si>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</si>
  <si>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</si>
  <si>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</si>
  <si>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</si>
  <si>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</si>
  <si>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</si>
  <si>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</si>
  <si>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</si>
  <si>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</si>
  <si>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</si>
  <si>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</si>
  <si>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</si>
  <si>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</si>
  <si>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</si>
  <si>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</si>
  <si>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</si>
  <si>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</si>
  <si>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</si>
  <si>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</si>
  <si>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</si>
  <si>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</si>
  <si>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</si>
  <si>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</si>
  <si>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</si>
  <si>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</si>
  <si>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</si>
  <si>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</si>
  <si>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</si>
  <si>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</si>
  <si>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</si>
  <si>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</si>
  <si>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</si>
  <si>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</si>
  <si>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</si>
  <si>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</si>
  <si>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</si>
  <si>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</si>
  <si>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</si>
  <si>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</si>
  <si>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</si>
  <si>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</si>
  <si>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</si>
  <si>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</si>
  <si>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</si>
  <si>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</si>
  <si>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</si>
  <si>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</si>
  <si>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</si>
  <si>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</si>
  <si>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</si>
  <si>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</si>
  <si>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</si>
  <si>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</si>
  <si>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</si>
  <si>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</si>
  <si>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</si>
  <si>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</si>
  <si>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</si>
  <si>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</si>
  <si>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</si>
  <si>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</si>
  <si>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</si>
  <si>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</si>
  <si>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</si>
  <si>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</si>
  <si>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</si>
  <si>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</si>
  <si>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</si>
  <si>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</si>
  <si>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</si>
  <si>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</si>
  <si>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</si>
  <si>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</si>
  <si>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</si>
  <si>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</si>
  <si>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</si>
  <si>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</si>
  <si>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</si>
  <si>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</si>
  <si>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</si>
  <si>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</si>
  <si>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</si>
  <si>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</si>
  <si>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</si>
  <si>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</si>
  <si>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</si>
  <si>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</si>
  <si>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</si>
  <si>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</si>
  <si>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</si>
  <si>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</si>
  <si>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</si>
  <si>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</si>
  <si>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</si>
  <si>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</si>
  <si>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</si>
  <si>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</si>
  <si>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</si>
  <si>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</si>
  <si>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</si>
  <si>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</si>
  <si>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</si>
  <si>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</si>
  <si>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</si>
  <si>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</si>
  <si>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</si>
  <si>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</si>
  <si>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</si>
  <si>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</si>
  <si>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</si>
  <si>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</si>
  <si>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</si>
  <si>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</si>
  <si>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</si>
  <si>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</si>
  <si>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</si>
  <si>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</si>
  <si>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</si>
  <si>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</si>
  <si>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</si>
  <si>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</si>
  <si>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</si>
  <si>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</si>
  <si>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</si>
  <si>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</si>
  <si>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</si>
  <si>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</si>
  <si>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</si>
  <si>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</si>
  <si>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</si>
  <si>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</si>
  <si>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</si>
  <si>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</si>
  <si>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</si>
  <si>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</si>
  <si>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</si>
  <si>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</si>
  <si>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</si>
  <si>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</si>
  <si>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</si>
  <si>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</si>
  <si>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</si>
  <si>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</si>
  <si>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</si>
  <si>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</si>
  <si>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</si>
  <si>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</si>
  <si>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</si>
  <si>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</si>
  <si>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</si>
  <si>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</si>
  <si>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</si>
  <si>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</si>
  <si>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</si>
  <si>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</si>
  <si>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</si>
  <si>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</si>
  <si>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</si>
  <si>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</si>
  <si>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</si>
  <si>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</si>
  <si>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</si>
  <si>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</si>
  <si>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</si>
  <si>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</si>
  <si>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</si>
  <si>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</si>
  <si>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</si>
  <si>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</si>
  <si>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</si>
  <si>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</si>
  <si>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</si>
  <si>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</si>
  <si>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</si>
  <si>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</si>
  <si>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</si>
  <si>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</si>
  <si>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</si>
  <si>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</si>
  <si>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</si>
  <si>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</si>
  <si>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</si>
  <si>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</si>
  <si>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</si>
  <si>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</si>
  <si>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</si>
  <si>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</si>
  <si>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</si>
  <si>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</si>
  <si>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</si>
  <si>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</si>
  <si>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</si>
  <si>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</si>
  <si>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</si>
  <si>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</si>
  <si>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</si>
  <si>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</si>
  <si>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</si>
  <si>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</si>
  <si>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</si>
  <si>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</si>
  <si>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</si>
  <si>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</si>
  <si>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</si>
  <si>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</si>
  <si>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</si>
  <si>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</si>
  <si>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</si>
  <si>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</si>
  <si>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</si>
  <si>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</si>
  <si>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</si>
  <si>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</si>
  <si>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</si>
  <si>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</si>
  <si>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</si>
  <si>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</si>
  <si>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</si>
  <si>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</si>
  <si>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</si>
  <si>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</si>
  <si>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</si>
  <si>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</si>
  <si>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</si>
  <si>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</si>
  <si>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</si>
  <si>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</si>
  <si>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</si>
  <si>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</si>
  <si>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</si>
  <si>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</si>
  <si>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</si>
  <si>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</si>
  <si>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</si>
  <si>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</si>
  <si>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</si>
  <si>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</si>
  <si>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</si>
  <si>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</si>
  <si>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</si>
  <si>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</si>
  <si>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</si>
  <si>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</si>
  <si>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</si>
  <si>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</si>
  <si>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</si>
  <si>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</si>
  <si>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</si>
  <si>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</si>
  <si>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</si>
  <si>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</si>
  <si>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</si>
  <si>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</si>
  <si>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</si>
  <si>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</si>
  <si>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</si>
  <si>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</si>
  <si>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</si>
  <si>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</si>
  <si>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</si>
  <si>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</si>
  <si>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</si>
  <si>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</si>
  <si>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</si>
  <si>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</si>
  <si>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</si>
  <si>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</si>
  <si>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</si>
  <si>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</si>
  <si>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</si>
  <si>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</si>
  <si>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</si>
  <si>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</si>
  <si>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</si>
  <si>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</si>
  <si>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</si>
  <si>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</si>
  <si>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</si>
  <si>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</si>
  <si>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</si>
  <si>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</si>
  <si>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</si>
  <si>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</si>
  <si>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</si>
  <si>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</si>
  <si>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</si>
  <si>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</si>
  <si>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</si>
  <si>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</si>
  <si>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</si>
  <si>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</si>
  <si>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</si>
  <si>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</si>
  <si>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</si>
  <si>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</si>
  <si>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</si>
  <si>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</si>
  <si>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</si>
  <si>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</si>
  <si>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</si>
  <si>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</si>
  <si>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</si>
  <si>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</si>
  <si>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</si>
  <si>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</si>
  <si>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</si>
  <si>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</si>
  <si>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</si>
  <si>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</si>
  <si>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</si>
  <si>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</si>
  <si>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</si>
  <si>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</si>
  <si>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</si>
  <si>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</si>
  <si>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</si>
  <si>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</si>
  <si>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</si>
  <si>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</si>
  <si>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</si>
  <si>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</si>
  <si>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</si>
  <si>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</si>
  <si>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</si>
  <si>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</si>
  <si>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</si>
  <si>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</si>
  <si>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</si>
  <si>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</si>
  <si>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</si>
  <si>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</si>
  <si>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</si>
  <si>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</si>
  <si>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</si>
  <si>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</si>
  <si>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</si>
  <si>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</si>
  <si>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</si>
  <si>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</si>
  <si>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</si>
  <si>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</si>
  <si>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</si>
  <si>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</si>
  <si>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</si>
  <si>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</si>
  <si>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</si>
  <si>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</si>
  <si>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</si>
  <si>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</si>
  <si>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</si>
  <si>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</si>
  <si>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</si>
  <si>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</si>
  <si>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</si>
  <si>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</si>
  <si>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</si>
  <si>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</si>
  <si>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</si>
  <si>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</si>
  <si>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</si>
  <si>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</si>
  <si>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</si>
  <si>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</si>
  <si>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</si>
  <si>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</si>
  <si>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</si>
  <si>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</si>
  <si>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</si>
  <si>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</si>
  <si>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</si>
  <si>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</si>
  <si>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</si>
  <si>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</si>
  <si>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</si>
  <si>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</si>
  <si>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</si>
  <si>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</si>
  <si>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</si>
  <si>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</si>
  <si>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</si>
  <si>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</si>
  <si>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</si>
  <si>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</si>
  <si>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</si>
  <si>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</si>
  <si>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</si>
  <si>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</si>
  <si>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</si>
  <si>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</si>
  <si>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</si>
  <si>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</si>
  <si>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</si>
  <si>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</si>
  <si>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</si>
  <si>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</si>
  <si>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</si>
  <si>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</si>
  <si>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</si>
  <si>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</si>
  <si>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</si>
  <si>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</si>
  <si>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</si>
  <si>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</si>
  <si>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</si>
  <si>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</si>
  <si>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</si>
  <si>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</si>
  <si>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</si>
  <si>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</si>
  <si>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</si>
  <si>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</si>
  <si>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</si>
  <si>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</si>
  <si>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</si>
  <si>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</si>
  <si>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</si>
  <si>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</si>
  <si>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</si>
  <si>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</si>
  <si>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</si>
  <si>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</si>
  <si>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</si>
  <si>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</si>
  <si>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</si>
  <si>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</si>
  <si>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</si>
  <si>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</si>
  <si>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</si>
  <si>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</si>
  <si>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</si>
  <si>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</si>
  <si>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</si>
  <si>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</si>
  <si>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</si>
  <si>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</si>
  <si>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</si>
  <si>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</si>
  <si>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</si>
  <si>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</si>
  <si>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</si>
  <si>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</si>
  <si>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</si>
  <si>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</si>
  <si>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</si>
  <si>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</si>
  <si>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</si>
  <si>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</si>
  <si>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</si>
  <si>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</si>
  <si>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</si>
  <si>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</si>
  <si>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</si>
  <si>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</si>
  <si>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</si>
  <si>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</si>
  <si>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</si>
  <si>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</si>
  <si>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</si>
  <si>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</si>
  <si>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</si>
  <si>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</si>
  <si>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</si>
  <si>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</si>
  <si>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</si>
  <si>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</si>
  <si>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</si>
  <si>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</si>
  <si>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</si>
  <si>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</si>
  <si>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</si>
  <si>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</si>
  <si>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</si>
  <si>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</si>
  <si>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</si>
  <si>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</si>
  <si>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</si>
  <si>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</si>
  <si>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</si>
  <si>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</si>
  <si>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</si>
  <si>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</si>
  <si>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</si>
  <si>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</si>
  <si>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</si>
  <si>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</si>
  <si>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</si>
  <si>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</si>
  <si>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</si>
  <si>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</si>
  <si>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</si>
  <si>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</si>
  <si>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</si>
  <si>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</si>
  <si>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</si>
  <si>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</si>
  <si>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</si>
  <si>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</si>
  <si>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</si>
  <si>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</si>
  <si>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</si>
  <si>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</si>
  <si>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</si>
  <si>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</si>
  <si>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</si>
  <si>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</si>
  <si>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</si>
  <si>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</si>
  <si>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</si>
  <si>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</si>
  <si>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</si>
  <si>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</si>
  <si>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</si>
  <si>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</si>
  <si>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</si>
  <si>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</si>
  <si>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</si>
  <si>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</si>
  <si>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</si>
  <si>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</si>
  <si>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</si>
  <si>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</si>
  <si>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</si>
  <si>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</si>
  <si>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</si>
  <si>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</si>
  <si>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</si>
  <si>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</si>
  <si>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</si>
  <si>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</si>
  <si>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</si>
  <si>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</si>
  <si>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</si>
  <si>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</si>
  <si>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</si>
  <si>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</si>
  <si>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</si>
  <si>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</si>
  <si>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</si>
  <si>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</si>
  <si>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</si>
  <si>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</si>
  <si>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</si>
  <si>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</si>
  <si>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</si>
  <si>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</si>
  <si>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</si>
  <si>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</si>
  <si>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</si>
  <si>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</si>
  <si>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</si>
  <si>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</si>
  <si>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</si>
  <si>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</si>
  <si>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</si>
  <si>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</si>
  <si>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</si>
  <si>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</si>
  <si>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</si>
  <si>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</si>
  <si>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</si>
  <si>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</si>
  <si>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</si>
  <si>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</si>
  <si>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</si>
  <si>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</si>
  <si>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</si>
  <si>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</si>
  <si>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</si>
  <si>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</si>
  <si>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</si>
  <si>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</si>
  <si>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</si>
  <si>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</si>
  <si>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</si>
  <si>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</si>
  <si>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</si>
  <si>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</si>
  <si>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</si>
  <si>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</si>
  <si>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</si>
  <si>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</si>
  <si>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</si>
  <si>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</si>
  <si>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</si>
  <si>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</si>
  <si>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</si>
  <si>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</si>
  <si>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</si>
  <si>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</si>
  <si>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</si>
  <si>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</si>
  <si>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</si>
  <si>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</si>
  <si>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</si>
  <si>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</si>
  <si>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</si>
  <si>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</si>
  <si>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</si>
  <si>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</si>
  <si>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</si>
  <si>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</si>
  <si>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</si>
  <si>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</si>
  <si>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</si>
  <si>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</si>
  <si>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</si>
  <si>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</si>
  <si>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</si>
  <si>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</si>
  <si>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</si>
  <si>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</si>
  <si>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</si>
  <si>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</si>
  <si>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</si>
  <si>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</si>
  <si>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</si>
  <si>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</si>
  <si>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</si>
  <si>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</si>
  <si>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</si>
  <si>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</si>
  <si>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</si>
  <si>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</si>
  <si>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</si>
  <si>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</si>
  <si>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</si>
  <si>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</si>
  <si>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</si>
  <si>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</si>
  <si>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</si>
  <si>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</si>
  <si>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</si>
  <si>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</si>
  <si>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</si>
  <si>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</si>
  <si>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</si>
  <si>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</si>
  <si>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</si>
  <si>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</si>
  <si>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</si>
  <si>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</si>
  <si>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</si>
  <si>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</si>
  <si>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</si>
  <si>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</si>
  <si>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</si>
  <si>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</si>
  <si>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</si>
  <si>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</si>
  <si>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</si>
  <si>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</si>
  <si>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</si>
  <si>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</si>
  <si>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</si>
  <si>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</si>
  <si>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</si>
  <si>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</si>
  <si>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</si>
  <si>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</si>
  <si>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</si>
  <si>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</si>
  <si>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</si>
  <si>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</si>
  <si>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</si>
  <si>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</si>
  <si>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</si>
  <si>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</si>
  <si>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</si>
  <si>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</si>
  <si>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</si>
  <si>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</si>
  <si>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</si>
  <si>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</si>
  <si>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</si>
  <si>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</si>
  <si>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</si>
  <si>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</si>
  <si>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</si>
  <si>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</si>
  <si>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</si>
  <si>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</si>
  <si>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</si>
  <si>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</si>
  <si>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</si>
  <si>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</si>
  <si>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</si>
  <si>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</si>
  <si>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</si>
  <si>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</si>
  <si>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</si>
  <si>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</si>
  <si>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</si>
  <si>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</si>
  <si>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</si>
  <si>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</si>
  <si>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</si>
  <si>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</si>
  <si>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</si>
  <si>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</si>
  <si>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</si>
  <si>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</si>
  <si>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</si>
  <si>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</si>
  <si>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</si>
  <si>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</si>
  <si>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</si>
  <si>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</si>
  <si>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</si>
  <si>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</si>
  <si>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</si>
  <si>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</si>
  <si>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</si>
  <si>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</si>
  <si>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</si>
  <si>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</si>
  <si>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</si>
  <si>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</si>
  <si>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</si>
  <si>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</si>
  <si>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</si>
  <si>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</si>
  <si>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</si>
  <si>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</si>
  <si>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</si>
  <si>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</si>
  <si>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</si>
  <si>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</si>
  <si>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</si>
  <si>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</si>
  <si>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</si>
  <si>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</si>
  <si>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</si>
  <si>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</si>
  <si>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</si>
  <si>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</si>
  <si>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</si>
  <si>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</si>
  <si>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</si>
  <si>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</si>
  <si>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</si>
  <si>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</si>
  <si>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</si>
  <si>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</si>
  <si>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</si>
  <si>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</si>
  <si>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</si>
  <si>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</si>
  <si>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</si>
  <si>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</si>
  <si>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</si>
  <si>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</si>
  <si>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</si>
  <si>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</si>
  <si>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</si>
  <si>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</si>
  <si>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</si>
  <si>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</si>
  <si>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</si>
  <si>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</si>
  <si>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</si>
  <si>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</si>
  <si>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</si>
  <si>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</si>
  <si>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</si>
  <si>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</si>
  <si>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</si>
  <si>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</si>
  <si>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</si>
  <si>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</si>
  <si>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</si>
  <si>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</si>
  <si>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</si>
  <si>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</si>
  <si>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</si>
  <si>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</si>
  <si>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</si>
  <si>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</si>
  <si>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</si>
  <si>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</si>
  <si>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</si>
  <si>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</si>
  <si>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</si>
  <si>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</si>
  <si>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</si>
  <si>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</si>
  <si>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</si>
  <si>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</si>
  <si>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</si>
  <si>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</si>
  <si>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</si>
  <si>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</si>
  <si>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</si>
  <si>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</si>
  <si>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</si>
  <si>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</si>
  <si>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</si>
  <si>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</si>
  <si>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</si>
  <si>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</si>
  <si>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</si>
  <si>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</si>
  <si>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</si>
  <si>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</si>
  <si>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</si>
  <si>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</si>
  <si>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</si>
  <si>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</si>
  <si>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</si>
  <si>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</si>
  <si>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</si>
  <si>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</si>
  <si>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</si>
  <si>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</si>
  <si>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</si>
  <si>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</si>
  <si>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</si>
  <si>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</si>
  <si>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</si>
  <si>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</si>
  <si>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</si>
  <si>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</si>
  <si>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</si>
  <si>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</si>
  <si>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</si>
  <si>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</si>
  <si>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</si>
  <si>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</si>
  <si>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</si>
  <si>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</si>
  <si>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</si>
  <si>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</si>
  <si>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</si>
  <si>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</si>
  <si>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</si>
  <si>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</si>
  <si>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</si>
  <si>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</si>
  <si>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</si>
  <si>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</si>
  <si>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</si>
  <si>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</si>
  <si>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</si>
  <si>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</si>
  <si>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</si>
  <si>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</si>
  <si>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</si>
  <si>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</si>
  <si>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</si>
  <si>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</si>
  <si>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</si>
  <si>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</si>
  <si>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</si>
  <si>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</si>
  <si>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</si>
  <si>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</si>
  <si>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</si>
  <si>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</si>
  <si>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</si>
  <si>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</si>
  <si>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</si>
  <si>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</si>
  <si>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</si>
  <si>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</si>
  <si>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</si>
  <si>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</si>
  <si>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</si>
  <si>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</si>
  <si>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</si>
  <si>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</si>
  <si>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</si>
  <si>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</si>
  <si>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</si>
  <si>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</si>
  <si>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</si>
  <si>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</si>
  <si>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</si>
  <si>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</si>
  <si>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</si>
  <si>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</si>
  <si>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</si>
  <si>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</si>
  <si>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</si>
  <si>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</si>
  <si>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</si>
  <si>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</si>
  <si>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</si>
  <si>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</si>
  <si>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</si>
  <si>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</si>
  <si>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</si>
  <si>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</si>
  <si>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</si>
  <si>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</si>
  <si>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</si>
  <si>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</si>
  <si>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</si>
  <si>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</si>
  <si>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</si>
  <si>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</si>
  <si>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</si>
  <si>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</si>
  <si>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</si>
  <si>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</si>
  <si>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</si>
  <si>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</si>
  <si>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</si>
  <si>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</si>
  <si>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</si>
  <si>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</si>
  <si>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</si>
  <si>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</si>
  <si>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</si>
  <si>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</si>
  <si>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</si>
  <si>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</si>
  <si>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</si>
  <si>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</si>
  <si>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</si>
  <si>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</si>
  <si>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</si>
  <si>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</si>
  <si>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</si>
  <si>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</si>
  <si>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</si>
  <si>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</si>
  <si>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</si>
  <si>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</si>
  <si>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</si>
  <si>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</si>
  <si>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</si>
  <si>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</si>
  <si>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</si>
  <si>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</si>
  <si>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</si>
  <si>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</si>
  <si>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</si>
  <si>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</si>
  <si>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</si>
  <si>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</si>
  <si>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</si>
  <si>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</si>
  <si>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</si>
  <si>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</si>
  <si>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</si>
  <si>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</si>
  <si>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</si>
  <si>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</si>
  <si>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</si>
  <si>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</si>
  <si>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</si>
  <si>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</si>
  <si>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</si>
  <si>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</si>
  <si>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</si>
  <si>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</si>
  <si>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</si>
  <si>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</si>
  <si>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</si>
  <si>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</si>
  <si>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</si>
  <si>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</si>
  <si>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</si>
  <si>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</si>
  <si>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</si>
  <si>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</si>
  <si>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</si>
  <si>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</si>
  <si>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</si>
  <si>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</si>
  <si>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</si>
  <si>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</si>
  <si>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</si>
  <si>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</si>
  <si>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</si>
  <si>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</si>
  <si>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</si>
  <si>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</si>
  <si>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</si>
  <si>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</si>
  <si>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</si>
  <si>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</si>
  <si>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</si>
  <si>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</si>
  <si>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</si>
  <si>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</si>
  <si>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</si>
  <si>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</si>
  <si>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</si>
  <si>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</si>
  <si>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</si>
  <si>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</si>
  <si>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</si>
  <si>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</si>
  <si>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</si>
  <si>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</si>
  <si>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</si>
  <si>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</si>
  <si>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</si>
  <si>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</si>
  <si>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</si>
  <si>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</si>
  <si>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</si>
  <si>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</si>
  <si>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</si>
  <si>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</si>
  <si>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</si>
  <si>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</si>
  <si>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</si>
  <si>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</si>
  <si>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</si>
  <si>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</si>
  <si>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</si>
  <si>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</si>
  <si>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</si>
  <si>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</si>
  <si>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</si>
  <si>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</si>
  <si>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</si>
  <si>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</si>
  <si>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</si>
  <si>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</si>
  <si>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</si>
  <si>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</si>
  <si>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</si>
  <si>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</si>
  <si>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</si>
  <si>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</si>
  <si>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</si>
  <si>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</si>
  <si>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</si>
  <si>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</si>
  <si>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</si>
  <si>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</si>
  <si>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</si>
  <si>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</si>
  <si>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</si>
  <si>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</si>
  <si>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</si>
  <si>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</si>
  <si>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</si>
  <si>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</si>
  <si>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</si>
  <si>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</si>
  <si>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</si>
  <si>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</si>
  <si>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</si>
  <si>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</si>
  <si>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</si>
  <si>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</si>
  <si>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</si>
  <si>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</si>
  <si>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</si>
  <si>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</si>
  <si>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</si>
  <si>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</si>
  <si>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</si>
  <si>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</si>
  <si>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</si>
  <si>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</si>
  <si>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</si>
  <si>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</si>
  <si>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</si>
  <si>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</si>
  <si>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</si>
  <si>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</si>
  <si>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</si>
  <si>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</si>
  <si>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</si>
  <si>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</si>
  <si>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</si>
  <si>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</si>
  <si>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</si>
  <si>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</si>
  <si>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</si>
  <si>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</si>
  <si>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</si>
  <si>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</si>
  <si>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</si>
  <si>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</si>
  <si>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</si>
  <si>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</si>
  <si>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</si>
  <si>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</si>
  <si>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</si>
  <si>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</si>
  <si>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</si>
  <si>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</si>
  <si>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</si>
  <si>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</si>
  <si>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</si>
  <si>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</si>
  <si>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</si>
  <si>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</si>
  <si>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</si>
  <si>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</si>
  <si>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</si>
  <si>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</si>
  <si>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</si>
  <si>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</si>
  <si>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</si>
  <si>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</si>
  <si>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</si>
  <si>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</si>
  <si>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</si>
  <si>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</si>
  <si>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</si>
  <si>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</si>
  <si>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</si>
  <si>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</si>
  <si>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</si>
  <si>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</si>
  <si>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</si>
  <si>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</si>
  <si>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</si>
  <si>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</si>
  <si>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</si>
  <si>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</si>
  <si>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</si>
  <si>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</si>
  <si>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</si>
  <si>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</si>
  <si>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</si>
  <si>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</si>
  <si>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</si>
  <si>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</si>
  <si>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</si>
  <si>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</si>
  <si>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</si>
  <si>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</si>
  <si>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</si>
  <si>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</si>
  <si>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</si>
  <si>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</si>
  <si>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</si>
  <si>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</si>
  <si>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</si>
  <si>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</si>
  <si>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</si>
  <si>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</si>
  <si>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</si>
  <si>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</si>
  <si>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</si>
  <si>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</si>
  <si>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</si>
  <si>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</si>
  <si>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</si>
  <si>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</si>
  <si>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</si>
  <si>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</si>
  <si>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</si>
  <si>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</si>
  <si>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</si>
  <si>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</si>
  <si>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</si>
  <si>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</si>
  <si>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</si>
  <si>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</si>
  <si>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</si>
  <si>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</si>
  <si>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</si>
  <si>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</si>
  <si>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</si>
  <si>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</si>
  <si>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</si>
  <si>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</si>
  <si>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</si>
  <si>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</si>
  <si>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</si>
  <si>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</si>
  <si>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</si>
  <si>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</si>
  <si>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</si>
  <si>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</si>
  <si>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</si>
  <si>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</si>
  <si>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</si>
  <si>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</si>
  <si>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</si>
  <si>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</si>
  <si>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</si>
  <si>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</si>
  <si>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</si>
  <si>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</si>
  <si>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</si>
  <si>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</si>
  <si>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</si>
  <si>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</si>
  <si>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</si>
  <si>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</si>
  <si>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</si>
  <si>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</si>
  <si>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</si>
  <si>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</si>
  <si>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</si>
  <si>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</si>
  <si>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</si>
  <si>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</si>
  <si>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</si>
  <si>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</si>
  <si>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</si>
  <si>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</si>
  <si>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</si>
  <si>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</si>
  <si>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</si>
  <si>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</si>
  <si>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</si>
  <si>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</si>
  <si>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</si>
  <si>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</si>
  <si>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</si>
  <si>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</si>
  <si>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</si>
  <si>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</si>
  <si>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</si>
  <si>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</si>
  <si>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</si>
  <si>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</si>
  <si>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</si>
  <si>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</si>
  <si>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</si>
  <si>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</si>
  <si>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</si>
  <si>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</si>
  <si>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</si>
  <si>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</si>
  <si>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</si>
  <si>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</si>
  <si>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</si>
  <si>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</si>
  <si>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</si>
  <si>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</si>
  <si>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</si>
  <si>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</si>
  <si>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</si>
  <si>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</si>
  <si>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</si>
  <si>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</si>
  <si>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</si>
  <si>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</si>
  <si>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</si>
  <si>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</si>
  <si>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</si>
  <si>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</si>
  <si>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</si>
  <si>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</si>
  <si>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</si>
  <si>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</si>
  <si>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</si>
  <si>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</si>
  <si>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</si>
  <si>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</si>
  <si>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</si>
  <si>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</si>
  <si>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</si>
  <si>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</si>
  <si>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</si>
  <si>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</si>
  <si>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</si>
  <si>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</si>
  <si>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</si>
  <si>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</si>
  <si>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</si>
  <si>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</si>
  <si>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</si>
  <si>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</si>
  <si>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</si>
  <si>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</si>
  <si>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</si>
  <si>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</si>
  <si>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</si>
  <si>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</si>
  <si>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</si>
  <si>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</si>
  <si>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</si>
  <si>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</si>
  <si>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</si>
  <si>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</si>
  <si>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</si>
  <si>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</si>
  <si>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</si>
  <si>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</si>
  <si>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</si>
  <si>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</si>
  <si>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</si>
  <si>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</si>
  <si>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</si>
  <si>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</si>
  <si>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</si>
  <si>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</si>
  <si>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</si>
  <si>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</si>
  <si>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</si>
  <si>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</si>
  <si>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</si>
  <si>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</si>
  <si>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</si>
  <si>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</si>
  <si>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</si>
  <si>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</si>
  <si>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</si>
  <si>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</si>
  <si>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</si>
  <si>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</si>
  <si>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</si>
  <si>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</si>
  <si>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</si>
  <si>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</si>
  <si>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</si>
  <si>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</si>
  <si>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</si>
  <si>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</si>
  <si>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</si>
  <si>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</si>
  <si>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</si>
  <si>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</si>
  <si>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</si>
  <si>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</si>
  <si>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</si>
  <si>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</si>
  <si>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</si>
  <si>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</si>
  <si>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</si>
  <si>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</si>
  <si>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</si>
  <si>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</si>
  <si>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</si>
  <si>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</si>
  <si>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</si>
  <si>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</si>
  <si>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</si>
  <si>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</si>
  <si>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</si>
  <si>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</si>
  <si>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</si>
  <si>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</si>
  <si>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</si>
  <si>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</si>
  <si>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</si>
  <si>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</si>
  <si>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</si>
  <si>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</si>
  <si>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</si>
  <si>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</si>
  <si>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</si>
  <si>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</si>
  <si>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</si>
  <si>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</si>
  <si>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</si>
  <si>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</si>
  <si>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</si>
  <si>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</si>
  <si>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</si>
  <si>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</si>
  <si>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</si>
  <si>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</si>
  <si>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</si>
  <si>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</si>
  <si>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</si>
  <si>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</si>
  <si>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</si>
  <si>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</si>
  <si>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</si>
  <si>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</si>
  <si>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</si>
  <si>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</si>
  <si>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</si>
  <si>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</si>
  <si>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</si>
  <si>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</si>
  <si>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</si>
  <si>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</si>
  <si>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</si>
  <si>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</si>
  <si>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</si>
  <si>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</si>
  <si>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</si>
  <si>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</si>
  <si>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</si>
  <si>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</si>
  <si>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</si>
  <si>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</si>
  <si>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</si>
  <si>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</si>
  <si>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</si>
  <si>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</si>
  <si>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</si>
  <si>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</si>
  <si>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</si>
  <si>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</si>
  <si>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</si>
  <si>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</si>
  <si>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</si>
  <si>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</si>
  <si>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</si>
  <si>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</si>
  <si>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</si>
  <si>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</si>
  <si>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</si>
  <si>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</si>
  <si>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</si>
  <si>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</si>
  <si>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</si>
  <si>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</si>
  <si>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</si>
  <si>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</si>
  <si>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</si>
  <si>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</si>
  <si>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</si>
  <si>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</si>
  <si>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</si>
  <si>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</si>
  <si>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</si>
  <si>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</si>
  <si>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</si>
  <si>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</si>
  <si>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</si>
  <si>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</si>
  <si>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</si>
  <si>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</si>
  <si>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</si>
  <si>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</si>
  <si>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</si>
  <si>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</si>
  <si>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</si>
  <si>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</si>
  <si>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</si>
  <si>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</si>
  <si>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</si>
  <si>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</si>
  <si>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</si>
  <si>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</si>
  <si>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</si>
  <si>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</si>
  <si>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</si>
  <si>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</si>
  <si>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</si>
  <si>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</si>
  <si>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</si>
  <si>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</si>
  <si>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</si>
  <si>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</si>
  <si>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</si>
  <si>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</si>
  <si>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</si>
  <si>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</si>
  <si>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</si>
  <si>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</si>
  <si>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</si>
  <si>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</si>
  <si>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</si>
  <si>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</si>
  <si>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</si>
  <si>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</si>
  <si>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</si>
  <si>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</si>
  <si>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</si>
  <si>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</si>
  <si>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</si>
  <si>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</si>
  <si>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</si>
  <si>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</si>
  <si>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</si>
  <si>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</si>
  <si>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</si>
  <si>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</si>
  <si>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</si>
  <si>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</si>
  <si>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</si>
  <si>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</si>
  <si>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</si>
  <si>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</si>
  <si>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</si>
  <si>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</si>
  <si>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</si>
  <si>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</si>
  <si>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</si>
  <si>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</si>
  <si>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</si>
  <si>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</si>
  <si>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</si>
  <si>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</si>
  <si>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</si>
  <si>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</si>
  <si>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</si>
  <si>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</si>
  <si>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</si>
  <si>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</si>
  <si>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</si>
  <si>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</si>
  <si>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</si>
  <si>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</si>
  <si>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</si>
  <si>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</si>
  <si>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</si>
  <si>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</si>
  <si>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</si>
  <si>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</si>
  <si>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</si>
  <si>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</si>
  <si>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</si>
  <si>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</si>
  <si>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</si>
  <si>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</si>
  <si>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</si>
  <si>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</si>
  <si>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</si>
  <si>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</si>
  <si>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</si>
  <si>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</si>
  <si>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</si>
  <si>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</si>
  <si>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</si>
  <si>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</si>
  <si>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</si>
  <si>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</si>
  <si>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</si>
  <si>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</si>
  <si>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</si>
  <si>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</si>
  <si>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</si>
  <si>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</si>
  <si>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</si>
  <si>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</si>
  <si>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</si>
  <si>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</si>
  <si>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</si>
  <si>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</si>
  <si>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</si>
  <si>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</si>
  <si>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</si>
  <si>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</si>
  <si>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</si>
  <si>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</si>
  <si>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</si>
  <si>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</si>
  <si>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</si>
  <si>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</si>
  <si>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</si>
  <si>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</si>
  <si>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</si>
  <si>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</si>
  <si>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</si>
  <si>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</si>
  <si>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</si>
  <si>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</si>
  <si>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</si>
  <si>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</si>
  <si>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</si>
  <si>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</si>
  <si>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</si>
  <si>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</si>
  <si>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</si>
  <si>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</si>
  <si>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</si>
  <si>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</si>
  <si>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</si>
  <si>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</si>
  <si>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</si>
  <si>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</si>
  <si>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</si>
  <si>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</si>
  <si>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</si>
  <si>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</si>
  <si>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</si>
  <si>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</si>
  <si>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</si>
  <si>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</si>
  <si>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</si>
  <si>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</si>
  <si>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</si>
  <si>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</si>
  <si>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</si>
  <si>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</si>
  <si>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</si>
  <si>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</si>
  <si>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</si>
  <si>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</si>
  <si>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</si>
  <si>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</si>
  <si>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</si>
  <si>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</si>
  <si>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</si>
  <si>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</si>
  <si>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</si>
  <si>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</si>
  <si>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</si>
  <si>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</si>
  <si>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</si>
  <si>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</si>
  <si>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</si>
  <si>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</si>
  <si>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</si>
  <si>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</si>
  <si>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</si>
  <si>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</si>
  <si>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</si>
  <si>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</si>
  <si>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</si>
  <si>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</si>
  <si>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</si>
  <si>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</si>
  <si>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</si>
  <si>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</si>
  <si>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</si>
  <si>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</si>
  <si>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</si>
  <si>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</si>
  <si>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</si>
  <si>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</si>
  <si>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</si>
  <si>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</si>
  <si>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</si>
  <si>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</si>
  <si>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</si>
  <si>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</si>
  <si>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</si>
  <si>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</si>
  <si>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</si>
  <si>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</si>
  <si>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</si>
  <si>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</si>
  <si>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</si>
  <si>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</si>
  <si>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</si>
  <si>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</si>
  <si>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</si>
  <si>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</si>
  <si>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</si>
  <si>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</si>
  <si>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</si>
  <si>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</si>
  <si>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</si>
  <si>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</si>
  <si>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</si>
  <si>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</si>
  <si>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</si>
  <si>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</si>
  <si>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</si>
  <si>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</si>
  <si>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</si>
  <si>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</si>
  <si>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</si>
  <si>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</si>
  <si>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</si>
  <si>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</si>
  <si>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</si>
  <si>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</si>
  <si>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</si>
  <si>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</si>
  <si>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</si>
  <si>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</si>
  <si>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</si>
  <si>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</si>
  <si>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</si>
  <si>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</si>
  <si>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</si>
  <si>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</si>
  <si>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</si>
  <si>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</si>
  <si>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</si>
  <si>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</si>
  <si>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</si>
  <si>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</si>
  <si>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</si>
  <si>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</si>
  <si>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</si>
  <si>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</si>
  <si>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</si>
  <si>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</si>
  <si>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</si>
  <si>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</si>
  <si>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</si>
  <si>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</si>
  <si>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</si>
  <si>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</si>
  <si>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</si>
  <si>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</si>
  <si>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</si>
  <si>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</si>
  <si>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</si>
  <si>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</si>
  <si>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</si>
  <si>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</si>
  <si>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</si>
  <si>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</si>
  <si>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</si>
  <si>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</si>
  <si>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</si>
  <si>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</si>
  <si>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</si>
  <si>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</si>
  <si>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</si>
  <si>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</si>
  <si>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</si>
  <si>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</si>
  <si>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</si>
  <si>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</si>
  <si>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</si>
  <si>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</si>
  <si>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</si>
  <si>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</si>
  <si>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</si>
  <si>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</si>
  <si>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</si>
  <si>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</si>
  <si>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</si>
  <si>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</si>
  <si>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</si>
  <si>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</si>
  <si>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</si>
  <si>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</si>
  <si>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</si>
  <si>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</si>
  <si>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</si>
  <si>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</si>
  <si>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</si>
  <si>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</si>
  <si>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</si>
  <si>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</si>
  <si>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</si>
  <si>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</si>
  <si>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</si>
  <si>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</si>
  <si>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</si>
  <si>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</si>
  <si>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</si>
  <si>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</si>
  <si>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</si>
  <si>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</si>
  <si>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</si>
  <si>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</si>
  <si>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</si>
  <si>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</si>
  <si>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</si>
  <si>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</si>
  <si>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</si>
  <si>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</si>
  <si>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</si>
  <si>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</si>
  <si>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</si>
  <si>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</si>
  <si>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</si>
  <si>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</si>
  <si>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</si>
  <si>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</si>
  <si>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</si>
  <si>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</si>
  <si>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</si>
  <si>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</si>
  <si>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</si>
  <si>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</si>
  <si>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</si>
  <si>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</si>
  <si>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</si>
  <si>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</si>
  <si>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</si>
  <si>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</si>
  <si>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</si>
  <si>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</si>
  <si>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</si>
  <si>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</si>
  <si>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</si>
  <si>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</si>
  <si>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</si>
  <si>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</si>
  <si>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</si>
  <si>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</si>
  <si>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</si>
  <si>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</si>
  <si>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</si>
  <si>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</si>
  <si>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</si>
  <si>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</si>
  <si>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</si>
  <si>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</si>
  <si>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</si>
  <si>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</si>
  <si>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</si>
  <si>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</si>
  <si>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</si>
  <si>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</si>
  <si>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</si>
  <si>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</si>
  <si>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</si>
  <si>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</si>
  <si>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</si>
  <si>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</si>
  <si>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</si>
  <si>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</si>
  <si>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</si>
  <si>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</si>
  <si>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</si>
  <si>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</si>
  <si>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</si>
  <si>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</si>
  <si>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</si>
  <si>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</si>
  <si>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</si>
  <si>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</si>
  <si>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</si>
  <si>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</si>
  <si>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</si>
  <si>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</si>
  <si>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</si>
  <si>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</si>
  <si>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</si>
  <si>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</si>
  <si>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</si>
  <si>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</si>
  <si>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</si>
  <si>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</si>
  <si>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</si>
  <si>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</si>
  <si>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</si>
  <si>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</si>
  <si>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</si>
  <si>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</si>
  <si>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</si>
  <si>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</si>
  <si>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</si>
  <si>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</si>
  <si>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</si>
  <si>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</si>
  <si>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</si>
  <si>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</si>
  <si>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</si>
  <si>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</si>
  <si>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</si>
  <si>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</si>
  <si>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</si>
  <si>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</si>
  <si>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</si>
  <si>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</si>
  <si>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</si>
  <si>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</si>
  <si>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</si>
  <si>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</si>
  <si>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</si>
  <si>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</si>
  <si>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</si>
  <si>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</si>
  <si>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</si>
  <si>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</si>
  <si>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</si>
  <si>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</si>
  <si>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</si>
  <si>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</si>
  <si>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</si>
  <si>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</si>
  <si>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</si>
  <si>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</si>
  <si>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</si>
  <si>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</si>
  <si>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</si>
  <si>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</si>
  <si>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</si>
  <si>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</si>
  <si>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</si>
  <si>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</si>
  <si>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</si>
  <si>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</si>
  <si>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</si>
  <si>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</si>
  <si>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</si>
  <si>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</si>
  <si>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</si>
  <si>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</si>
  <si>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</si>
  <si>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</si>
  <si>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</si>
  <si>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</si>
  <si>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</si>
  <si>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</si>
  <si>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</si>
  <si>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</si>
  <si>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</si>
  <si>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</si>
  <si>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</si>
  <si>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</si>
  <si>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</si>
  <si>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</si>
  <si>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</si>
  <si>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</si>
  <si>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</si>
  <si>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</si>
  <si>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</si>
  <si>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</si>
  <si>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</si>
  <si>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</si>
  <si>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</si>
  <si>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</si>
  <si>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</si>
  <si>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</si>
  <si>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</si>
  <si>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</si>
  <si>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</si>
  <si>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</si>
  <si>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</si>
  <si>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</si>
  <si>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</si>
  <si>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</si>
  <si>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</si>
  <si>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</si>
  <si>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</si>
  <si>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</si>
  <si>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</si>
  <si>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</si>
  <si>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</si>
  <si>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</si>
  <si>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</si>
  <si>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</si>
  <si>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</si>
  <si>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</si>
  <si>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</si>
  <si>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</si>
  <si>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</si>
  <si>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</si>
  <si>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</si>
  <si>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</si>
  <si>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</si>
  <si>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</si>
  <si>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</si>
  <si>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</si>
  <si>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</si>
  <si>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</si>
  <si>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</si>
  <si>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</si>
  <si>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</si>
  <si>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</si>
  <si>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</si>
  <si>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</si>
  <si>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</si>
  <si>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</si>
  <si>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</si>
  <si>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</si>
  <si>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</si>
  <si>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</si>
  <si>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</si>
  <si>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</si>
  <si>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</si>
  <si>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</si>
  <si>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</si>
  <si>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</si>
  <si>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</si>
  <si>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</si>
  <si>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</si>
  <si>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</si>
  <si>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</si>
  <si>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</si>
  <si>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</si>
  <si>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</si>
  <si>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</si>
  <si>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</si>
  <si>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</si>
  <si>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</si>
  <si>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</si>
  <si>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</si>
  <si>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</si>
  <si>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</si>
  <si>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</si>
  <si>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</si>
  <si>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</si>
  <si>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</si>
  <si>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</si>
  <si>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</si>
  <si>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</si>
  <si>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</si>
  <si>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</si>
  <si>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</si>
  <si>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</si>
  <si>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</si>
  <si>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</si>
  <si>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</si>
  <si>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</si>
  <si>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</si>
  <si>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</si>
  <si>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</si>
  <si>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</si>
  <si>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</si>
  <si>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</si>
  <si>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</si>
  <si>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</si>
  <si>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</si>
  <si>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</si>
  <si>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</si>
  <si>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</si>
  <si>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</si>
  <si>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</si>
  <si>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</si>
  <si>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</si>
  <si>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</si>
  <si>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</si>
  <si>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</si>
  <si>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</si>
  <si>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</si>
  <si>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</si>
  <si>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</si>
  <si>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</si>
  <si>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</si>
  <si>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</si>
  <si>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</si>
  <si>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</si>
  <si>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</si>
  <si>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</si>
  <si>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</si>
  <si>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</si>
  <si>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</si>
  <si>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</si>
  <si>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</si>
  <si>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</si>
  <si>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</si>
  <si>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</si>
  <si>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</si>
  <si>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</si>
  <si>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</si>
  <si>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</si>
  <si>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</si>
  <si>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</si>
  <si>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</si>
  <si>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</si>
  <si>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</si>
  <si>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</si>
  <si>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</si>
  <si>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</si>
  <si>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</si>
  <si>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</si>
  <si>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</si>
  <si>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</si>
  <si>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</si>
  <si>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</si>
  <si>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</si>
  <si>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</si>
  <si>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</si>
  <si>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</si>
  <si>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</si>
  <si>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</si>
  <si>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</si>
  <si>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</si>
  <si>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</si>
  <si>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</si>
  <si>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</si>
  <si>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</si>
  <si>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</si>
  <si>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</si>
  <si>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</si>
  <si>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</si>
  <si>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</si>
  <si>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</si>
  <si>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</si>
  <si>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</si>
  <si>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</si>
  <si>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</si>
  <si>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</si>
  <si>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</si>
  <si>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</si>
  <si>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</si>
  <si>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</si>
  <si>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</si>
  <si>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</si>
  <si>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</si>
  <si>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</si>
  <si>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</si>
  <si>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</si>
  <si>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</si>
  <si>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</si>
  <si>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</si>
  <si>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</si>
  <si>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</si>
  <si>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</si>
  <si>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</si>
  <si>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</si>
  <si>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</si>
  <si>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</si>
  <si>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</si>
  <si>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</si>
  <si>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</si>
  <si>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</si>
  <si>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</si>
  <si>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</si>
  <si>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</si>
  <si>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</si>
  <si>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</si>
  <si>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</si>
  <si>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</si>
  <si>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</si>
  <si>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</si>
  <si>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</si>
  <si>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</si>
  <si>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</si>
  <si>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</si>
  <si>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</si>
  <si>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</si>
  <si>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</si>
  <si>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</si>
  <si>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</si>
  <si>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</si>
  <si>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</si>
  <si>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</si>
  <si>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</si>
  <si>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</si>
  <si>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</si>
  <si>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</si>
  <si>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</si>
  <si>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</si>
  <si>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</si>
  <si>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</si>
  <si>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</si>
  <si>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</si>
  <si>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</si>
  <si>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</si>
  <si>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</si>
  <si>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</si>
  <si>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</si>
  <si>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</si>
  <si>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</si>
  <si>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</si>
  <si>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</si>
  <si>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</si>
  <si>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</si>
  <si>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</si>
  <si>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</si>
  <si>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</si>
  <si>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</si>
  <si>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</si>
  <si>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</si>
  <si>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</si>
  <si>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</si>
  <si>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</si>
  <si>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</si>
  <si>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</si>
  <si>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</si>
  <si>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</si>
  <si>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</si>
  <si>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</si>
  <si>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</si>
  <si>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</si>
  <si>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</si>
  <si>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</si>
  <si>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</si>
  <si>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</si>
  <si>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</si>
  <si>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</si>
  <si>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</si>
  <si>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</si>
  <si>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</si>
  <si>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</si>
  <si>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</si>
  <si>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</si>
  <si>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</si>
  <si>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</si>
  <si>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</si>
  <si>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</si>
  <si>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</si>
  <si>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</si>
  <si>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</si>
  <si>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</si>
  <si>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</si>
  <si>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</si>
  <si>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</si>
  <si>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</si>
  <si>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</si>
  <si>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</si>
  <si>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</si>
  <si>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</si>
  <si>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</si>
  <si>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</si>
  <si>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</si>
  <si>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</si>
  <si>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</si>
  <si>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</si>
  <si>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</si>
  <si>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</si>
  <si>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</si>
  <si>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</si>
  <si>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</si>
  <si>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</si>
  <si>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</si>
  <si>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</si>
  <si>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</si>
  <si>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</si>
  <si>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</si>
  <si>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</si>
  <si>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</si>
  <si>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</si>
  <si>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</si>
  <si>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</si>
  <si>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</si>
  <si>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</si>
  <si>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</si>
  <si>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</si>
  <si>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</si>
  <si>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</si>
  <si>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</si>
  <si>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</si>
  <si>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</si>
  <si>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</si>
  <si>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</si>
  <si>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</si>
  <si>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</si>
  <si>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</si>
  <si>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</si>
  <si>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</si>
  <si>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</si>
  <si>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</si>
  <si>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</si>
  <si>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</si>
  <si>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</si>
  <si>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</si>
  <si>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</si>
  <si>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</si>
  <si>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</si>
  <si>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</si>
  <si>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</si>
  <si>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</si>
  <si>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</si>
  <si>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</si>
  <si>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</si>
  <si>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</si>
  <si>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</si>
  <si>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</si>
  <si>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</si>
  <si>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</si>
  <si>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</si>
  <si>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</si>
  <si>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</si>
  <si>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</si>
  <si>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</si>
  <si>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</si>
  <si>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</si>
  <si>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</si>
  <si>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</si>
  <si>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</si>
  <si>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</si>
  <si>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</si>
  <si>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</si>
  <si>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</si>
  <si>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</si>
  <si>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</si>
  <si>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</si>
  <si>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</si>
  <si>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</si>
  <si>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</si>
  <si>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</si>
  <si>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</si>
  <si>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</si>
  <si>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</si>
  <si>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</si>
  <si>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</si>
  <si>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</si>
  <si>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</si>
  <si>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</si>
  <si>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</si>
  <si>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</si>
  <si>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</si>
  <si>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</si>
  <si>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</si>
  <si>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</si>
  <si>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</si>
  <si>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</si>
  <si>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</si>
  <si>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</si>
  <si>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</si>
  <si>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</si>
  <si>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</si>
  <si>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</si>
  <si>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</si>
  <si>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</si>
  <si>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</si>
  <si>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</si>
  <si>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</si>
  <si>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</si>
  <si>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</si>
  <si>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</si>
  <si>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</si>
  <si>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</si>
  <si>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</si>
  <si>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</si>
  <si>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</si>
  <si>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</si>
  <si>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</si>
  <si>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</si>
  <si>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</si>
  <si>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</si>
  <si>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</si>
  <si>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</si>
  <si>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</si>
  <si>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</si>
  <si>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</si>
  <si>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</si>
  <si>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</si>
  <si>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</si>
  <si>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</si>
  <si>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</si>
  <si>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</si>
  <si>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</si>
  <si>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</si>
  <si>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</si>
  <si>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</si>
  <si>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</si>
  <si>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</si>
  <si>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</si>
  <si>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</si>
  <si>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</si>
  <si>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</si>
  <si>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</si>
  <si>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</si>
  <si>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</si>
  <si>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</si>
  <si>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</si>
  <si>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</si>
  <si>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</si>
  <si>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</si>
  <si>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</si>
  <si>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</si>
  <si>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</si>
  <si>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</si>
  <si>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</si>
  <si>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</si>
  <si>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</si>
  <si>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</si>
  <si>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</si>
  <si>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</si>
  <si>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</si>
  <si>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</si>
  <si>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</si>
  <si>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</si>
  <si>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</si>
  <si>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</si>
  <si>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</si>
  <si>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</si>
  <si>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</si>
  <si>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</si>
  <si>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</si>
  <si>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</si>
  <si>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</si>
  <si>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</si>
  <si>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</si>
  <si>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</si>
  <si>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</si>
  <si>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</si>
  <si>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</si>
  <si>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</si>
  <si>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</si>
  <si>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</si>
  <si>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</si>
  <si>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</si>
  <si>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</si>
  <si>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</si>
  <si>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</si>
  <si>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</si>
  <si>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</si>
  <si>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</si>
  <si>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</si>
  <si>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</si>
  <si>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</si>
  <si>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</si>
  <si>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</si>
  <si>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</si>
  <si>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</si>
  <si>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</si>
  <si>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</si>
  <si>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</si>
  <si>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</si>
  <si>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</si>
  <si>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</si>
  <si>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</si>
  <si>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</si>
  <si>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</si>
  <si>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</si>
  <si>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</si>
  <si>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</si>
  <si>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</si>
  <si>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</si>
  <si>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</si>
  <si>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</si>
  <si>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</si>
  <si>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</si>
  <si>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</si>
  <si>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</si>
  <si>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</si>
  <si>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</si>
  <si>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</si>
  <si>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</si>
  <si>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</si>
  <si>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</si>
  <si>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</si>
  <si>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</si>
  <si>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</si>
  <si>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</si>
  <si>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</si>
  <si>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</si>
  <si>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</si>
  <si>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</si>
  <si>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</si>
  <si>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</si>
  <si>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</si>
  <si>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</si>
  <si>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</si>
  <si>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</si>
  <si>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</si>
  <si>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</si>
  <si>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</si>
  <si>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</si>
  <si>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</si>
  <si>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</si>
  <si>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</si>
  <si>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</si>
  <si>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</si>
  <si>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</si>
  <si>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</si>
  <si>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</si>
  <si>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</si>
  <si>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</si>
  <si>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</si>
  <si>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</si>
  <si>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</si>
  <si>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</si>
  <si>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</si>
  <si>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</si>
  <si>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</si>
  <si>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</si>
  <si>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</si>
  <si>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</si>
  <si>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</si>
  <si>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</si>
  <si>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</si>
  <si>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</si>
  <si>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</si>
  <si>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</si>
  <si>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</si>
  <si>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</si>
  <si>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</si>
  <si>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</si>
  <si>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</si>
  <si>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</si>
  <si>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</si>
  <si>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</si>
  <si>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</si>
  <si>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</si>
  <si>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</si>
  <si>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</si>
  <si>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</si>
  <si>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</si>
  <si>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</si>
  <si>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</si>
  <si>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</si>
  <si>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</si>
  <si>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</si>
  <si>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</si>
  <si>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</si>
  <si>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</si>
  <si>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</si>
  <si>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</si>
  <si>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</si>
  <si>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</si>
  <si>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</si>
  <si>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</si>
  <si>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</si>
  <si>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</si>
  <si>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</si>
  <si>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</si>
  <si>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</si>
  <si>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</si>
  <si>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</si>
  <si>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</si>
  <si>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</si>
  <si>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</si>
  <si>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</si>
  <si>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</si>
  <si>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</si>
  <si>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</si>
  <si>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</si>
  <si>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</si>
  <si>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</si>
  <si>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</si>
  <si>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</si>
  <si>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</si>
  <si>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</si>
  <si>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</si>
  <si>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</si>
  <si>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</si>
  <si>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</si>
  <si>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</si>
  <si>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</si>
  <si>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</si>
  <si>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</si>
  <si>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</si>
  <si>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</si>
  <si>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</si>
  <si>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</si>
  <si>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</si>
  <si>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</si>
  <si>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</si>
  <si>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</si>
  <si>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</si>
  <si>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</si>
  <si>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</si>
  <si>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</si>
  <si>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</si>
  <si>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</si>
  <si>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</si>
  <si>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</si>
  <si>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</si>
  <si>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</si>
  <si>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</si>
  <si>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</si>
  <si>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</si>
  <si>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</si>
  <si>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</si>
  <si>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</si>
  <si>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</si>
  <si>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</si>
  <si>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</si>
  <si>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</si>
  <si>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</si>
  <si>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</si>
  <si>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</si>
  <si>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</si>
  <si>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</si>
  <si>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</si>
  <si>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</si>
  <si>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</si>
  <si>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</si>
  <si>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</si>
  <si>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</si>
  <si>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</si>
  <si>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</si>
  <si>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</si>
  <si>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</si>
  <si>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</si>
  <si>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</si>
  <si>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</si>
  <si>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</si>
  <si>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</si>
  <si>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</si>
  <si>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</si>
  <si>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</si>
  <si>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</si>
  <si>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</si>
  <si>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</si>
  <si>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</si>
  <si>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</si>
  <si>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</si>
  <si>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</si>
  <si>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</si>
  <si>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</si>
  <si>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</si>
  <si>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</si>
  <si>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</si>
  <si>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</si>
  <si>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</si>
  <si>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</si>
  <si>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</si>
  <si>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</si>
  <si>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</si>
  <si>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</si>
  <si>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</si>
  <si>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</si>
  <si>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</si>
  <si>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</si>
  <si>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</si>
  <si>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</si>
  <si>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</si>
  <si>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</si>
  <si>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</si>
  <si>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</si>
  <si>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</si>
  <si>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</si>
  <si>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</si>
  <si>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</si>
  <si>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</si>
  <si>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</si>
  <si>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</si>
  <si>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</si>
  <si>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</si>
  <si>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</si>
  <si>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</si>
  <si>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</si>
  <si>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</si>
  <si>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</si>
  <si>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</si>
  <si>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</si>
  <si>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</si>
  <si>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</si>
  <si>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</si>
  <si>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</si>
  <si>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</si>
  <si>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</si>
  <si>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</si>
  <si>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</si>
  <si>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</si>
  <si>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</si>
  <si>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</si>
  <si>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</si>
  <si>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</si>
  <si>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</si>
  <si>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</si>
  <si>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</si>
  <si>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</si>
  <si>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</si>
  <si>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</si>
  <si>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</si>
  <si>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</si>
  <si>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</si>
  <si>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</si>
  <si>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</si>
  <si>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</si>
  <si>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</si>
  <si>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</si>
  <si>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</si>
  <si>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</si>
  <si>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</si>
  <si>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</si>
  <si>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</si>
  <si>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</si>
  <si>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</si>
  <si>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</si>
  <si>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</si>
  <si>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</si>
  <si>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</si>
  <si>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</si>
  <si>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</si>
  <si>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</si>
  <si>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</si>
  <si>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</si>
  <si>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</si>
  <si>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</si>
  <si>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</si>
  <si>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</si>
  <si>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</si>
  <si>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</si>
  <si>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</si>
  <si>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</si>
  <si>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</si>
  <si>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</si>
  <si>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</si>
  <si>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</si>
  <si>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</si>
  <si>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</si>
  <si>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</si>
  <si>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</si>
  <si>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</si>
  <si>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</si>
  <si>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</si>
  <si>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</si>
  <si>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</si>
  <si>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</si>
  <si>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</si>
  <si>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</si>
  <si>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</si>
  <si>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</si>
  <si>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</si>
  <si>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</si>
  <si>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</si>
  <si>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</si>
  <si>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</si>
  <si>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</si>
  <si>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</si>
  <si>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</si>
  <si>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</si>
  <si>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</si>
  <si>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</si>
  <si>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</si>
  <si>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</si>
  <si>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</si>
  <si>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</si>
  <si>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</si>
  <si>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</si>
  <si>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</si>
  <si>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</si>
  <si>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</si>
  <si>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</si>
  <si>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</si>
  <si>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</si>
  <si>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</si>
  <si>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</si>
  <si>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</si>
  <si>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</si>
  <si>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</si>
  <si>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</si>
  <si>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</si>
  <si>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</si>
  <si>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</si>
  <si>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</si>
  <si>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</si>
  <si>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</si>
  <si>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</si>
  <si>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</si>
  <si>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</si>
  <si>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</si>
  <si>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</si>
  <si>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</si>
  <si>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</si>
  <si>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</si>
  <si>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</si>
  <si>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</si>
  <si>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</si>
  <si>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</si>
  <si>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</si>
  <si>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</si>
  <si>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</si>
  <si>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</si>
  <si>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</si>
  <si>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</si>
  <si>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</si>
  <si>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</si>
  <si>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</si>
  <si>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</si>
  <si>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</si>
  <si>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</si>
  <si>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</si>
  <si>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</si>
  <si>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</si>
  <si>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</si>
  <si>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</si>
  <si>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</si>
  <si>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</si>
  <si>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</si>
  <si>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</si>
  <si>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</si>
  <si>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</si>
  <si>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</si>
  <si>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</si>
  <si>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</si>
  <si>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</si>
  <si>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</si>
  <si>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</si>
  <si>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</si>
  <si>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</si>
  <si>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</si>
  <si>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</si>
  <si>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</si>
  <si>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</si>
  <si>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</si>
  <si>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</si>
  <si>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</si>
  <si>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</si>
  <si>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</si>
  <si>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</si>
  <si>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</si>
  <si>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</si>
  <si>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</si>
  <si>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</si>
  <si>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</si>
  <si>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</si>
  <si>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</si>
  <si>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</si>
  <si>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</si>
  <si>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</si>
  <si>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</si>
  <si>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</si>
  <si>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</si>
  <si>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</si>
  <si>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</si>
  <si>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</si>
  <si>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</si>
  <si>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</si>
  <si>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</si>
  <si>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</si>
  <si>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</si>
  <si>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</si>
  <si>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</si>
  <si>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</si>
  <si>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</si>
  <si>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</si>
  <si>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</si>
  <si>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</si>
  <si>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</si>
  <si>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</si>
  <si>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</si>
  <si>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</si>
  <si>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</si>
  <si>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</si>
  <si>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</si>
  <si>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</si>
  <si>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</si>
  <si>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</si>
  <si>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</si>
  <si>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</si>
  <si>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</si>
  <si>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</si>
  <si>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</si>
  <si>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</si>
  <si>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</si>
  <si>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</si>
  <si>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</si>
  <si>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</si>
  <si>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</si>
  <si>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</si>
  <si>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</si>
  <si>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</si>
  <si>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</si>
  <si>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</si>
  <si>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</si>
  <si>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</si>
  <si>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</si>
  <si>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</si>
  <si>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</si>
  <si>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</si>
  <si>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</si>
  <si>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</si>
  <si>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</si>
  <si>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</si>
  <si>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</si>
  <si>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</si>
  <si>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</si>
  <si>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</si>
  <si>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</si>
  <si>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</si>
  <si>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</si>
  <si>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</si>
  <si>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</si>
  <si>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</si>
  <si>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</si>
  <si>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</si>
  <si>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</si>
  <si>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</si>
  <si>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</si>
  <si>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</si>
  <si>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</si>
  <si>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</si>
  <si>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</si>
  <si>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</si>
  <si>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</si>
  <si>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</si>
  <si>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</si>
  <si>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</si>
  <si>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</si>
  <si>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</si>
  <si>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</si>
  <si>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</si>
  <si>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</si>
  <si>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</si>
  <si>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</si>
  <si>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</si>
  <si>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</si>
  <si>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</si>
  <si>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</si>
  <si>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</si>
  <si>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</si>
  <si>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</si>
  <si>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</si>
  <si>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</si>
  <si>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</si>
  <si>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</si>
  <si>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</si>
  <si>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</si>
  <si>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</si>
  <si>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</si>
  <si>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</si>
  <si>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</si>
  <si>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</si>
  <si>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</si>
  <si>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</si>
  <si>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</si>
  <si>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</si>
  <si>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</si>
  <si>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</si>
  <si>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</si>
  <si>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</si>
  <si>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</si>
  <si>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商业项目</t>
  </si>
  <si>
    <t>现房</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</si>
  <si>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</si>
  <si>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t>是</t>
  </si>
  <si>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</si>
  <si>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</si>
  <si>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</si>
  <si>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</si>
  <si>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</si>
  <si>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成新度</t>
  </si>
  <si>
    <t>直线</t>
    <phoneticPr fontId="3" type="noConversion"/>
  </si>
  <si>
    <t>观察</t>
    <phoneticPr fontId="3" type="noConversion"/>
  </si>
  <si>
    <t>收益法</t>
  </si>
  <si>
    <t>商务金融用地</t>
  </si>
  <si>
    <t>自定义容积率</t>
  </si>
  <si>
    <t>不临65条商业街</t>
  </si>
  <si>
    <t>与级别开发程度不一致</t>
  </si>
  <si>
    <t>通路</t>
  </si>
  <si>
    <t>通电</t>
  </si>
  <si>
    <t>通讯</t>
  </si>
  <si>
    <t>通上水</t>
  </si>
  <si>
    <t>通下水</t>
  </si>
  <si>
    <t>平整</t>
  </si>
  <si>
    <t>燃气</t>
  </si>
  <si>
    <t>较好</t>
  </si>
  <si>
    <t>一般</t>
  </si>
  <si>
    <t>较差</t>
  </si>
  <si>
    <t>好</t>
  </si>
  <si>
    <t>未包含在土地购买价格中</t>
  </si>
  <si>
    <t>全部缴纳</t>
  </si>
  <si>
    <t>已包含在土地取得成本中</t>
  </si>
  <si>
    <t>2024-3</t>
    <phoneticPr fontId="3" type="noConversion"/>
  </si>
  <si>
    <t>押一</t>
  </si>
  <si>
    <t>钢混</t>
  </si>
  <si>
    <t>非生产用房</t>
  </si>
  <si>
    <t>否</t>
  </si>
  <si>
    <t>成本法</t>
  </si>
  <si>
    <t>总价</t>
  </si>
  <si>
    <t>成本比率</t>
  </si>
  <si>
    <t>买卖合同</t>
  </si>
  <si>
    <t>2016年5月1日后购买</t>
  </si>
  <si>
    <t>情况4</t>
  </si>
  <si>
    <t>正常</t>
  </si>
  <si>
    <t>转让取得</t>
  </si>
  <si>
    <t>非个人房产</t>
  </si>
  <si>
    <r>
      <t>2022</t>
    </r>
    <r>
      <rPr>
        <sz val="10"/>
        <color indexed="8"/>
        <rFont val="宋体"/>
        <family val="3"/>
        <charset val="134"/>
      </rPr>
      <t>年</t>
    </r>
    <phoneticPr fontId="8"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</si>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</sst>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13" fillId="5" borderId="1" xfId="0"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估价对象为北京市房地产，为所有。根据《国有土地使用证》[]，估价对象（分摊）出让国有建设用地使用权面积为0平方米，建筑面积为6221.16平方米。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估价对象为北京市房地产,属开发建设的商业项目，该项目尚在开发建设中。根据《国有土地使用证》[]，估价对象（分摊）出让国有建设用地使用权面积为0平方米，规划建筑面积为6221.16平方米。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2024年7月2日</v>
      </c>
    </row>
    <row r="13" spans="1:2" s="1203" customFormat="1">
      <c r="A13" s="1201" t="s">
        <v>529</v>
      </c>
      <c r="B13" s="1202"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24275</v>
      </c>
    </row>
    <row r="21" spans="1:2" s="1203" customFormat="1">
      <c r="A21" s="1201" t="s">
        <v>537</v>
      </c>
      <c r="B21" s="1202">
        <f ca="1">'预评函-2'!D7</f>
        <v>39020</v>
      </c>
    </row>
    <row r="22" spans="1:2" s="1203" customFormat="1">
      <c r="A22" s="1201" t="s">
        <v>538</v>
      </c>
      <c r="B22" s="1202" t="str">
        <f ca="1">'预评函-2'!D6</f>
        <v>贰亿肆仟贰佰柒拾伍万元整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24275</v>
      </c>
    </row>
    <row r="31" spans="1:2" s="1203" customFormat="1">
      <c r="A31" s="1201" t="s">
        <v>576</v>
      </c>
      <c r="B31" s="1202">
        <f ca="1">'预评函-2'!D15</f>
        <v>39020</v>
      </c>
    </row>
    <row r="32" spans="1:2" s="1203" customFormat="1">
      <c r="A32" s="1201" t="s">
        <v>543</v>
      </c>
      <c r="B32" s="1202" t="str">
        <f ca="1">'预评函-2'!D14</f>
        <v>贰亿肆仟贰佰柒拾伍万元整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24263</v>
      </c>
    </row>
    <row r="39" spans="1:2" s="1203" customFormat="1">
      <c r="A39" s="1201" t="s">
        <v>545</v>
      </c>
      <c r="B39" s="1202">
        <f ca="1">'预评函-2'!D21</f>
        <v>39001</v>
      </c>
    </row>
    <row r="40" spans="1:2" s="1203" customFormat="1">
      <c r="A40" s="1201" t="s">
        <v>546</v>
      </c>
      <c r="B40" s="1202" t="str">
        <f ca="1">'预评函-2'!D20</f>
        <v>贰亿肆仟贰佰陆拾叁万元整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6221.16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20901</v>
      </c>
    </row>
    <row r="48" spans="1:2" s="1203" customFormat="1">
      <c r="A48" s="1201" t="s">
        <v>549</v>
      </c>
      <c r="B48" s="1202">
        <f ca="1">'预评函-3'!E4</f>
        <v>33597</v>
      </c>
    </row>
    <row r="49" spans="1:2" s="1203" customFormat="1">
      <c r="A49" s="1201" t="s">
        <v>550</v>
      </c>
      <c r="B49" s="1202" t="str">
        <f ca="1">'预评函-3'!D5</f>
        <v>贰亿零玖佰零壹万元整</v>
      </c>
    </row>
    <row r="50" spans="1:2" s="1203" customFormat="1">
      <c r="A50" s="1201" t="s">
        <v>574</v>
      </c>
      <c r="B50" s="1202" t="str">
        <f>'预评函-3'!F2</f>
        <v>在建建筑物价值</v>
      </c>
    </row>
    <row r="51" spans="1:2" s="1203" customFormat="1">
      <c r="A51" s="1201" t="s">
        <v>551</v>
      </c>
      <c r="B51" s="1202">
        <f ca="1">'预评函-3'!F4</f>
        <v>3374</v>
      </c>
    </row>
    <row r="52" spans="1:2" s="1203" customFormat="1">
      <c r="A52" s="1201" t="s">
        <v>552</v>
      </c>
      <c r="B52" s="1202">
        <f ca="1">'预评函-3'!G4</f>
        <v>5423</v>
      </c>
    </row>
    <row r="53" spans="1:2" s="1203" customFormat="1">
      <c r="A53" s="1201" t="s">
        <v>580</v>
      </c>
      <c r="B53" s="1202" t="str">
        <f ca="1">'预评函-3'!F5</f>
        <v>叁仟叁佰柒拾肆万元整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5" t="s">
        <v>2584</v>
      </c>
      <c r="J2" s="3495"/>
      <c r="K2" s="3495"/>
      <c r="L2" s="3495"/>
      <c r="M2" s="3495"/>
      <c r="N2" s="3495"/>
      <c r="O2" s="3495"/>
      <c r="P2" s="3495"/>
      <c r="Q2" s="3495"/>
      <c r="R2" s="3495"/>
    </row>
    <row r="3" spans="1:18">
      <c r="A3" s="3020" t="s">
        <v>2505</v>
      </c>
      <c r="B3" s="3021">
        <f>项目基本情况!D3</f>
        <v>45475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2.46</v>
      </c>
      <c r="D5" s="3025">
        <f>IF(ISERROR(ROUND(POWER(1+E5,A5-C5)*(POWER(1+E5,C5)-1)/(POWER(1+E5,A5)-1),3)),0,ROUND(POWER(1+E5,A5-C5)*(POWER(1+E5,C5)-1)/(POWER(1+E5,A5)-1),4))</f>
        <v>0.1162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12.47</v>
      </c>
      <c r="D6" s="3025">
        <f>IF(ISERROR(ROUND(POWER(1+E6,A6-C6)*(POWER(1+E6,C6)-1)/(POWER(1+E6,A6)-1),3)),0,ROUND(POWER(1+E6,A6-C6)*(POWER(1+E6,C6)-1)/(POWER(1+E6,A6)-1),4))</f>
        <v>0.45019999999999999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32.479999999999997</v>
      </c>
      <c r="D7" s="3025">
        <f>IF(ISERROR(ROUND(POWER(1+E7,A7-C7)*(POWER(1+E7,C7)-1)/(POWER(1+E7,A7)-1),3)),0,ROUND(POWER(1+E7,A7-C7)*(POWER(1+E7,C7)-1)/(POWER(1+E7,A7)-1),4))</f>
        <v>0.76970000000000005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52" sqref="G5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9"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0"/>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52052</v>
      </c>
      <c r="E13" s="856">
        <v>55704</v>
      </c>
      <c r="F13" s="856"/>
      <c r="G13" s="856"/>
      <c r="H13" s="856"/>
      <c r="I13" s="856"/>
      <c r="J13" s="3062"/>
      <c r="K13" s="2613"/>
      <c r="L13" s="2613"/>
      <c r="M13" s="2439"/>
      <c r="N13" s="2450"/>
      <c r="O13" s="2439"/>
      <c r="P13" s="2439"/>
      <c r="Q13" s="2439"/>
      <c r="AD13" s="1745"/>
    </row>
    <row r="14" spans="1:30">
      <c r="A14" s="1081"/>
      <c r="B14" s="2407" t="s">
        <v>2191</v>
      </c>
      <c r="C14" s="2408"/>
      <c r="D14" s="2408">
        <v>50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18.010000000000002</v>
      </c>
      <c r="E15" s="2410">
        <f>IF(A13="出让",IF(E13="","",ROUNDDOWN(MIN((E13-$D$3)/365,E14),2)),E14)</f>
        <v>28.02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6221.16</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t="s">
        <v>3387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251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8" sqref="N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6221.16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6221.16</v>
      </c>
      <c r="H5" s="13">
        <f t="shared" ref="H5:AT5" si="0">SUM(H13:H656)</f>
        <v>6221.16</v>
      </c>
      <c r="I5" s="13">
        <f t="shared" si="0"/>
        <v>6221.16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6221.16</v>
      </c>
      <c r="BA5" s="15">
        <f t="shared" si="1"/>
        <v>6221.16</v>
      </c>
      <c r="BB5" s="15">
        <f t="shared" si="1"/>
        <v>6221.16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3389</v>
      </c>
      <c r="D13" s="1625" t="s">
        <v>3390</v>
      </c>
      <c r="E13" s="13">
        <f>IF($C$3="是",ROUND($A$3*G13/$B$3,2),ROUND($A$3*(G13-AT13)/$B$3,2))</f>
        <v>0</v>
      </c>
      <c r="F13" s="29"/>
      <c r="G13" s="30">
        <f>H13+AC13+AT13</f>
        <v>1305.9100000000001</v>
      </c>
      <c r="H13" s="17">
        <f>SUMIF(I$12:AB$12,"总值",I13:AB13)</f>
        <v>1305.9100000000001</v>
      </c>
      <c r="I13" s="1626">
        <v>1305.9100000000001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A座2层</v>
      </c>
      <c r="AY13" s="1349">
        <f>ROUND($AY$6*AZ13/$AZ$5,2)</f>
        <v>0</v>
      </c>
      <c r="AZ13" s="13">
        <f>BA13+BL13</f>
        <v>1305.9100000000001</v>
      </c>
      <c r="BA13" s="13">
        <f>SUM(BB13:BK13)</f>
        <v>1305.9100000000001</v>
      </c>
      <c r="BB13" s="13">
        <f>IF($D13="是",I13-J13,0)</f>
        <v>1305.9100000000001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3391</v>
      </c>
      <c r="D14" s="1625" t="s">
        <v>3390</v>
      </c>
      <c r="E14" s="13">
        <f>IF($C$3="是",ROUND($A$3*G14/$B$3,2),ROUND($A$3*(G14-AT14)/$B$3,2))</f>
        <v>0</v>
      </c>
      <c r="F14" s="29"/>
      <c r="G14" s="30">
        <f>H14+AC14+AT14</f>
        <v>2662.38</v>
      </c>
      <c r="H14" s="17">
        <f>SUMIF(I$12:AB$12,"总值",I14:AB14)</f>
        <v>2662.38</v>
      </c>
      <c r="I14" s="1626">
        <v>2662.38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B座2层</v>
      </c>
      <c r="AY14" s="1349">
        <f>ROUND($AY$6*AZ14/$AZ$5,2)</f>
        <v>0</v>
      </c>
      <c r="AZ14" s="13">
        <f>BA14+BL14</f>
        <v>2662.38</v>
      </c>
      <c r="BA14" s="13">
        <f>SUM(BB14:BK14)</f>
        <v>2662.38</v>
      </c>
      <c r="BB14" s="13">
        <f>IF($D14="是",I14-J14,0)</f>
        <v>2662.38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3392</v>
      </c>
      <c r="D15" s="1625" t="s">
        <v>3390</v>
      </c>
      <c r="E15" s="13">
        <f>IF($C$3="是",ROUND($A$3*G15/$B$3,2),ROUND($A$3*(G15-AT15)/$B$3,2))</f>
        <v>0</v>
      </c>
      <c r="F15" s="29"/>
      <c r="G15" s="30">
        <f>H15+AC15+AT15</f>
        <v>2252.87</v>
      </c>
      <c r="H15" s="17">
        <f>SUMIF(I$12:AB$12,"总值",I15:AB15)</f>
        <v>2252.87</v>
      </c>
      <c r="I15" s="1626">
        <v>2252.87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B座1层</v>
      </c>
      <c r="AY15" s="1349">
        <f>ROUND($AY$6*AZ15/$AZ$5,2)</f>
        <v>0</v>
      </c>
      <c r="AZ15" s="13">
        <f>BA15+BL15</f>
        <v>2252.87</v>
      </c>
      <c r="BA15" s="13">
        <f>SUM(BB15:BK15)</f>
        <v>2252.87</v>
      </c>
      <c r="BB15" s="13">
        <f>IF($D15="是",I15-J15,0)</f>
        <v>2252.87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6221.16</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6221.16</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6221.16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6221.16</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6221.16</v>
      </c>
      <c r="F19" s="2795">
        <f>'数据-基础表'!I5</f>
        <v>6221.16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6221.16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6221.16</v>
      </c>
      <c r="F27" s="1140">
        <f>IF(SUM(F19:F26)=E8,SUM(F19:F26),"地上面积有误")</f>
        <v>6221.16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6221.16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6221.16</v>
      </c>
      <c r="F31" s="677">
        <f>F27+F30</f>
        <v>6221.16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G32" sqref="G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55704</v>
      </c>
      <c r="F6" s="64">
        <f>SUMIF(项目基本情况!C$12:I$12,C6,项目基本情况!C$15:I$15)</f>
        <v>28.02</v>
      </c>
      <c r="G6" s="65">
        <f>IF(ISERROR(ROUND(POWER(1+H6,D6-F6)*(POWER(1+H6,F6)-1)/(POWER(1+H6,D6)-1),3)),0,ROUND(POWER(1+H6,D6-F6)*(POWER(1+H6,F6)-1)/(POWER(1+H6,D6)-1),3))</f>
        <v>0.81599999999999995</v>
      </c>
      <c r="H6" s="732">
        <v>0.05</v>
      </c>
      <c r="I6" s="732">
        <v>5.5E-2</v>
      </c>
      <c r="J6" s="66">
        <v>7.4999999999999997E-2</v>
      </c>
      <c r="K6" s="1030">
        <f>SUMIF('数据-汇总表'!C$19:C$33,A6,'数据-汇总表'!E$19:E$33)</f>
        <v>6221.16</v>
      </c>
      <c r="L6" s="733">
        <v>5000</v>
      </c>
      <c r="M6" s="67">
        <f t="shared" ref="M6:M14" si="0">ROUND(K6*L6/10000,0)</f>
        <v>3111</v>
      </c>
      <c r="N6" s="731">
        <f>ROUND(N18*0.5+N19*0.5,2)</f>
        <v>0.79</v>
      </c>
      <c r="O6" s="67" t="str">
        <f>IF($N$5="成新度","——",ROUND(M6*N6,0))</f>
        <v>——</v>
      </c>
      <c r="P6" s="68" t="str">
        <f>IF($N$5="成新度","——",M6-O6)</f>
        <v>——</v>
      </c>
      <c r="Q6" s="3453">
        <v>0.2</v>
      </c>
      <c r="R6" s="69">
        <f ca="1">SUMIF('数据-汇总表'!C$19:C$33,A6,'数据-汇总表'!R$19:R$27)</f>
        <v>0</v>
      </c>
      <c r="S6" s="51">
        <f>IF('数据-汇总表'!$I$17="按面积比例",SUMIF('数据-汇总表'!C$19:C$33,A6,'数据-汇总表'!K$19:K$33),SUMIF('数据-汇总表'!C$19:C$33,A6,'数据-汇总表'!N$19:N$33))</f>
        <v>0</v>
      </c>
      <c r="T6" s="1172">
        <f>ROUND($L$14*S6/10000,0)</f>
        <v>0</v>
      </c>
      <c r="U6" s="3452">
        <v>6.5</v>
      </c>
      <c r="V6" s="70">
        <v>2.5000000000000001E-2</v>
      </c>
      <c r="W6" s="70">
        <v>0.1</v>
      </c>
      <c r="X6" s="1040"/>
      <c r="Y6" s="71">
        <f>N6</f>
        <v>0.79</v>
      </c>
      <c r="Z6" s="72"/>
      <c r="AA6" s="66"/>
      <c r="AB6" s="66"/>
      <c r="AC6" s="1040"/>
      <c r="AD6" s="73"/>
      <c r="AE6" s="1041">
        <f ca="1">IF(AN6="",0,SUMIF(INDIRECT("'"&amp;AN6&amp;"'"&amp;"!E:E"),$AE$5,INDIRECT("'"&amp;AN6&amp;"'"&amp;"!F:F")))</f>
        <v>28.02</v>
      </c>
      <c r="AF6" s="1348"/>
      <c r="AG6" s="138">
        <f>IF(AF6="",0,AE6-AF6)</f>
        <v>0</v>
      </c>
      <c r="AH6" s="74"/>
      <c r="AI6" s="76">
        <v>365</v>
      </c>
      <c r="AJ6" s="77"/>
      <c r="AK6" s="78">
        <v>5.0000000000000001E-3</v>
      </c>
      <c r="AL6" s="79">
        <v>1.5E-3</v>
      </c>
      <c r="AM6" s="80">
        <v>0.01</v>
      </c>
      <c r="AN6" s="1715" t="s">
        <v>3399</v>
      </c>
      <c r="AO6" s="52">
        <f ca="1">SUMIF(INDIRECT("'"&amp;AN6&amp;"'"&amp;"!A:A"),"总价",INDIRECT("'"&amp;AN6&amp;"'"&amp;"!B:B"))</f>
        <v>19943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6221.16</v>
      </c>
      <c r="L16" s="93">
        <f>ROUND(M16*10000/SUM(K6:K14),0)</f>
        <v>5001</v>
      </c>
      <c r="M16" s="93">
        <f>SUM(M6:M14)</f>
        <v>3111</v>
      </c>
      <c r="N16" s="94">
        <f>ROUND(SUMPRODUCT(M6:M14,N6:N14)/M16,3)</f>
        <v>0.79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3397</v>
      </c>
      <c r="N18" s="3450">
        <f>ROUND(1-(2024-N17)/60,2)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3449" t="s">
        <v>3398</v>
      </c>
      <c r="N19" s="3450">
        <v>0.9</v>
      </c>
      <c r="O19" s="2671"/>
      <c r="P19" s="2671"/>
      <c r="Q19" s="2671"/>
      <c r="R19" s="2671"/>
      <c r="S19" s="2671" t="s">
        <v>3433</v>
      </c>
      <c r="T19" s="2671">
        <f>'数据-基础表'!I15</f>
        <v>2252.87</v>
      </c>
      <c r="U19" s="2671">
        <v>8</v>
      </c>
      <c r="V19" s="2671">
        <f>U19*T19</f>
        <v>18022.96</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t="s">
        <v>3434</v>
      </c>
      <c r="T20" s="2671">
        <f>'数据-基础表'!I13+'数据-基础表'!I14</f>
        <v>3968.29</v>
      </c>
      <c r="U20" s="2671">
        <v>5.5</v>
      </c>
      <c r="V20" s="2671">
        <f>U20*T20</f>
        <v>21825.595000000001</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f>T19+T20</f>
        <v>6221.16</v>
      </c>
      <c r="U21" s="2671">
        <f>V21/T21</f>
        <v>6.4053255341447581</v>
      </c>
      <c r="V21" s="2671">
        <f>V19+V20</f>
        <v>39848.555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v>0</v>
      </c>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124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6221.16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24275</v>
      </c>
      <c r="C5" s="2512">
        <f ca="1">IF(B5=D14,结果表!H102,ROUND(B5*10000/$B$1,0))</f>
        <v>39020</v>
      </c>
      <c r="D5" s="2512" t="e">
        <f ca="1">ROUND(B5*10000/$B$2,0)</f>
        <v>#DIV/0!</v>
      </c>
      <c r="E5" s="2686"/>
      <c r="F5" s="2687"/>
      <c r="G5" s="2687"/>
      <c r="H5" s="2688"/>
      <c r="I5" s="2688"/>
      <c r="J5" s="2688"/>
      <c r="K5" s="2688"/>
    </row>
    <row r="6" spans="1:11" ht="16.5">
      <c r="A6" s="2512" t="s">
        <v>656</v>
      </c>
      <c r="B6" s="2512">
        <f ca="1">SUM(G14:G23)</f>
        <v>24275</v>
      </c>
      <c r="C6" s="2512">
        <f ca="1">IF(B6=G14,结果表!H108,ROUND(B6*10000/$B$1,0))</f>
        <v>39020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24263</v>
      </c>
      <c r="C8" s="2512">
        <f ca="1">IF(B8=I14,结果表!H112,ROUND(B8*10000/$B$1,0))</f>
        <v>39001</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6221.16</v>
      </c>
      <c r="C14" s="2518"/>
      <c r="D14" s="2518">
        <f ca="1">结果表!H118</f>
        <v>24275</v>
      </c>
      <c r="E14" s="2518">
        <f ca="1">ROUND(D14*10000/B14,0)</f>
        <v>39020</v>
      </c>
      <c r="F14" s="2518" t="e">
        <f ca="1">ROUND(D14*10000/C14,0)</f>
        <v>#DIV/0!</v>
      </c>
      <c r="G14" s="2518">
        <f ca="1">D14</f>
        <v>24275</v>
      </c>
      <c r="H14" s="2518"/>
      <c r="I14" s="2518">
        <f ca="1">结果表!H111</f>
        <v>24263</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80" zoomScaleNormal="100" zoomScaleSheetLayoutView="80" zoomScalePageLayoutView="80" workbookViewId="0">
      <selection activeCell="F130" sqref="F1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3423</v>
      </c>
      <c r="D4" s="1756" t="s">
        <v>3399</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5">
        <v>25</v>
      </c>
      <c r="C5" s="3604"/>
      <c r="D5" s="3618"/>
      <c r="E5" s="131" t="s">
        <v>1269</v>
      </c>
      <c r="F5" s="1757"/>
      <c r="G5" s="1757"/>
      <c r="H5" s="1757"/>
      <c r="I5" s="1373"/>
    </row>
    <row r="6" spans="1:12" ht="12.75">
      <c r="A6" s="3558"/>
      <c r="B6" s="3615"/>
      <c r="C6" s="3605"/>
      <c r="D6" s="3618"/>
      <c r="E6" s="131" t="s">
        <v>1270</v>
      </c>
      <c r="F6" s="1757"/>
      <c r="G6" s="1757"/>
      <c r="H6" s="1757"/>
      <c r="I6" s="1373"/>
    </row>
    <row r="7" spans="1:12" ht="12.75">
      <c r="A7" s="3558"/>
      <c r="B7" s="3615"/>
      <c r="C7" s="3606"/>
      <c r="D7" s="3618"/>
      <c r="E7" s="131" t="s">
        <v>1271</v>
      </c>
      <c r="F7" s="1757"/>
      <c r="G7" s="1757"/>
      <c r="H7" s="1757"/>
      <c r="I7" s="1373"/>
    </row>
    <row r="8" spans="1:12" ht="12.75" customHeight="1">
      <c r="A8" s="3558" t="s">
        <v>1272</v>
      </c>
      <c r="B8" s="3615">
        <v>15</v>
      </c>
      <c r="C8" s="3604"/>
      <c r="D8" s="3604"/>
      <c r="E8" s="131" t="s">
        <v>1273</v>
      </c>
      <c r="F8" s="1757"/>
      <c r="G8" s="1757"/>
      <c r="H8" s="1757"/>
      <c r="I8" s="1373"/>
    </row>
    <row r="9" spans="1:12" ht="12.75" customHeight="1">
      <c r="A9" s="3558"/>
      <c r="B9" s="3615"/>
      <c r="C9" s="3606"/>
      <c r="D9" s="3606"/>
      <c r="E9" s="131" t="s">
        <v>1274</v>
      </c>
      <c r="F9" s="1757"/>
      <c r="G9" s="1757"/>
      <c r="H9" s="1757"/>
      <c r="I9" s="1373"/>
    </row>
    <row r="10" spans="1:12" ht="12.75" customHeight="1">
      <c r="A10" s="3558" t="s">
        <v>1275</v>
      </c>
      <c r="B10" s="3615">
        <v>15</v>
      </c>
      <c r="C10" s="3604"/>
      <c r="D10" s="3604"/>
      <c r="E10" s="131" t="s">
        <v>1276</v>
      </c>
      <c r="F10" s="1757"/>
      <c r="G10" s="1757"/>
      <c r="H10" s="1757"/>
      <c r="I10" s="1373"/>
    </row>
    <row r="11" spans="1:12" ht="12.75" customHeight="1">
      <c r="A11" s="3558"/>
      <c r="B11" s="3615"/>
      <c r="C11" s="3606"/>
      <c r="D11" s="3606"/>
      <c r="E11" s="131" t="s">
        <v>1277</v>
      </c>
      <c r="F11" s="1757"/>
      <c r="G11" s="1757"/>
      <c r="H11" s="1757"/>
      <c r="I11" s="1373"/>
    </row>
    <row r="12" spans="1:12" ht="12.75" customHeight="1">
      <c r="A12" s="3558" t="s">
        <v>1278</v>
      </c>
      <c r="B12" s="3615">
        <v>15</v>
      </c>
      <c r="C12" s="3604"/>
      <c r="D12" s="3604"/>
      <c r="E12" s="131" t="s">
        <v>1279</v>
      </c>
      <c r="F12" s="1757"/>
      <c r="G12" s="1757"/>
      <c r="H12" s="1757"/>
      <c r="I12" s="1373"/>
    </row>
    <row r="13" spans="1:12" ht="12.75" customHeight="1">
      <c r="A13" s="3558"/>
      <c r="B13" s="3615"/>
      <c r="C13" s="3606"/>
      <c r="D13" s="3606"/>
      <c r="E13" s="131" t="s">
        <v>1280</v>
      </c>
      <c r="F13" s="1757"/>
      <c r="G13" s="1757"/>
      <c r="H13" s="1757"/>
      <c r="I13" s="1373"/>
    </row>
    <row r="14" spans="1:12" ht="12.75" customHeight="1">
      <c r="A14" s="3558" t="s">
        <v>1281</v>
      </c>
      <c r="B14" s="3615">
        <v>30</v>
      </c>
      <c r="C14" s="3604">
        <v>7</v>
      </c>
      <c r="D14" s="3604">
        <v>3</v>
      </c>
      <c r="E14" s="131" t="s">
        <v>1282</v>
      </c>
      <c r="F14" s="1757"/>
      <c r="G14" s="1757"/>
      <c r="H14" s="1757"/>
      <c r="I14" s="1373"/>
    </row>
    <row r="15" spans="1:12" ht="12.75" customHeight="1">
      <c r="A15" s="3558"/>
      <c r="B15" s="3615"/>
      <c r="C15" s="3605"/>
      <c r="D15" s="3605"/>
      <c r="E15" s="131" t="s">
        <v>1283</v>
      </c>
      <c r="F15" s="1757"/>
      <c r="G15" s="1757"/>
      <c r="H15" s="1757"/>
      <c r="I15" s="1373"/>
    </row>
    <row r="16" spans="1:12" ht="12.75" customHeight="1">
      <c r="A16" s="3558"/>
      <c r="B16" s="3615"/>
      <c r="C16" s="3606"/>
      <c r="D16" s="360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5" t="s">
        <v>2131</v>
      </c>
      <c r="F18" s="3636"/>
      <c r="G18" s="3636"/>
      <c r="H18" s="3636"/>
      <c r="I18" s="3636"/>
      <c r="K18" s="302" t="s">
        <v>1289</v>
      </c>
      <c r="L18" s="302">
        <f>IF(C1="",'数据-汇总表'!E3,SUMIF(项目类型,C1,'数据-汇总表'!E17:E26)+SUMIF(项目类型,C1,'数据-汇总表'!I17:I26))</f>
        <v>6221.16</v>
      </c>
      <c r="M18" s="302">
        <f>IF(C1="",'数据-汇总表'!E3,SUMIF(项目类型,C1,'数据-汇总表'!E17:E26))</f>
        <v>6221.16</v>
      </c>
    </row>
    <row r="19" spans="1:36" ht="15">
      <c r="A19" s="1761" t="s">
        <v>1290</v>
      </c>
      <c r="B19" s="1762" t="s">
        <v>1291</v>
      </c>
      <c r="C19" s="134">
        <f ca="1">SUMIF(INDIRECT("'"&amp;C4&amp;"'"&amp;"!A:A"),结果表!B19,INDIRECT("'"&amp;C4&amp;"'"&amp;"!B:B"))</f>
        <v>26131</v>
      </c>
      <c r="D19" s="135">
        <f ca="1">SUMIF(INDIRECT("'"&amp;D4&amp;"'"&amp;"!A:A"),结果表!B19,INDIRECT("'"&amp;D4&amp;"'"&amp;"!B:B"))</f>
        <v>19943</v>
      </c>
      <c r="E19" s="1761" t="s">
        <v>1292</v>
      </c>
      <c r="F19" s="1762" t="s">
        <v>1291</v>
      </c>
      <c r="G19" s="136">
        <f ca="1">ROUND(C19*$C$18+D19*$D$18,0)</f>
        <v>24275</v>
      </c>
      <c r="H19" s="1763" t="s">
        <v>1293</v>
      </c>
      <c r="I19" s="129"/>
      <c r="J19" s="725" t="s">
        <v>3432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42003</v>
      </c>
      <c r="D20" s="138">
        <f ca="1">SUMIF(INDIRECT("'"&amp;D4&amp;"'"&amp;"!A:A"),结果表!B20,INDIRECT("'"&amp;D4&amp;"'"&amp;"!B:B"))</f>
        <v>32057</v>
      </c>
      <c r="E20" s="1764"/>
      <c r="F20" s="1026" t="s">
        <v>1295</v>
      </c>
      <c r="G20" s="139">
        <f ca="1">ROUND(C20*$C$18+D20*$D$18,0)</f>
        <v>39019</v>
      </c>
      <c r="H20" s="808" t="s">
        <v>1296</v>
      </c>
      <c r="I20" s="129"/>
      <c r="J20" s="725">
        <v>24485</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v>39358</v>
      </c>
    </row>
    <row r="22" spans="1:36" ht="15" thickBot="1">
      <c r="A22" s="1688" t="s">
        <v>1298</v>
      </c>
      <c r="B22" s="1767"/>
      <c r="C22" s="1768"/>
      <c r="D22" s="721">
        <f ca="1">IF(C19&lt;D19,D19/C19-1,C19/D19-1)</f>
        <v>0.31028431028431025</v>
      </c>
      <c r="E22" s="129"/>
      <c r="F22" s="129"/>
      <c r="G22" s="129"/>
      <c r="H22" s="129"/>
      <c r="I22" s="129"/>
    </row>
    <row r="23" spans="1:36" ht="13.5" thickBot="1">
      <c r="A23" s="1747"/>
      <c r="B23" s="1747"/>
      <c r="C23" s="1747"/>
      <c r="D23" s="1747"/>
      <c r="E23" s="129"/>
      <c r="F23" s="129"/>
      <c r="G23" s="129">
        <v>24274</v>
      </c>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24275</v>
      </c>
      <c r="D32" s="1775" t="s">
        <v>3424</v>
      </c>
      <c r="E32" s="129"/>
      <c r="F32" s="129"/>
      <c r="G32" s="129"/>
      <c r="H32" s="129"/>
      <c r="I32" s="129"/>
    </row>
    <row r="33" spans="1:15" ht="15">
      <c r="A33" s="786" t="s">
        <v>1306</v>
      </c>
      <c r="B33" s="1776"/>
      <c r="C33" s="1777" t="s">
        <v>3425</v>
      </c>
      <c r="D33" s="1778" t="s">
        <v>3423</v>
      </c>
      <c r="E33" s="1779" t="s">
        <v>1307</v>
      </c>
      <c r="F33" s="1780" t="str">
        <f>IF(D32="楼面单价","取值（单价）","取值（总价）")</f>
        <v>取值（总价）</v>
      </c>
      <c r="G33" s="129"/>
      <c r="H33" s="129"/>
      <c r="I33" s="129"/>
    </row>
    <row r="34" spans="1:15" ht="15">
      <c r="A34" s="1781"/>
      <c r="B34" s="1782" t="s">
        <v>1308</v>
      </c>
      <c r="C34" s="148">
        <f ca="1">IF(C33="自定义",F34,C32-C35)</f>
        <v>20901</v>
      </c>
      <c r="D34" s="861">
        <f ca="1">IF(C33="自定义",ROUND(C34/C32,3),IF(C33="收益比率",SUMIF(INDIRECT("'"&amp;D33&amp;"'"&amp;"!b:b"),"土地收益比率",INDIRECT("'"&amp;D33&amp;"'"&amp;"!c:c")),SUMIF(INDIRECT("'"&amp;D33&amp;"'"&amp;"!b:b"),"土地成本比率",INDIRECT("'"&amp;D33&amp;"'"&amp;"!c:c"))))</f>
        <v>0.86099999999999999</v>
      </c>
      <c r="E34" s="1783" t="s">
        <v>1309</v>
      </c>
      <c r="F34" s="1330"/>
      <c r="G34" s="129"/>
      <c r="H34" s="129"/>
      <c r="I34" s="129"/>
    </row>
    <row r="35" spans="1:15" ht="15.75" thickBot="1">
      <c r="A35" s="1784"/>
      <c r="B35" s="1785" t="s">
        <v>1310</v>
      </c>
      <c r="C35" s="1170">
        <f ca="1">IF(C33="自定义",F35,ROUND(C32*D35,0))</f>
        <v>3374</v>
      </c>
      <c r="D35" s="1171">
        <f ca="1">IF(C33="自定义",ROUND(C35/C32,3),IF(C33="收益比率",SUMIF(INDIRECT("'"&amp;D33&amp;"'"&amp;"!b:b"),"建筑物收益比率",INDIRECT("'"&amp;D33&amp;"'"&amp;"!c:c")),SUMIF(INDIRECT("'"&amp;D33&amp;"'"&amp;"!b:b"),"建筑物成本比率",INDIRECT("'"&amp;D33&amp;"'"&amp;"!c:c"))))</f>
        <v>0.13900000000000001</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24275</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45475</v>
      </c>
      <c r="N47" s="3548"/>
      <c r="O47" s="3548"/>
    </row>
    <row r="48" spans="1:15" ht="25.5">
      <c r="A48" s="3610" t="s">
        <v>1338</v>
      </c>
      <c r="B48" s="3611"/>
      <c r="C48" s="3611"/>
      <c r="D48" s="2324">
        <f ca="1">IF(H48="情况1",0,IF(H48="情况2",D52,IF(H48="情况3",D53,IF(H48="情况4",D54))))</f>
        <v>0</v>
      </c>
      <c r="E48" s="2334" t="str">
        <f>IF(H48="情况4","(销售额-原购置价)×税（费）率","销售额×税（费）率")</f>
        <v>(销售额-原购置价)×税（费）率</v>
      </c>
      <c r="F48" s="2548">
        <f>IF(H48="情况1","免征",'数据-取费表'!B41)</f>
        <v>5.6000000000000001E-2</v>
      </c>
      <c r="G48" s="2549" t="s">
        <v>1339</v>
      </c>
      <c r="H48" s="2550" t="s">
        <v>3428</v>
      </c>
      <c r="I48" s="1806"/>
      <c r="J48" s="2523">
        <v>3</v>
      </c>
      <c r="K48" s="3546" t="s">
        <v>1340</v>
      </c>
      <c r="L48" s="3546"/>
      <c r="M48" s="3549">
        <f ca="1">H101</f>
        <v>24275</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24275</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f ca="1">ROUND(D45*'数据-取费表'!B41/(1+'数据-取费表'!C42),0)</f>
        <v>1295</v>
      </c>
      <c r="E52" s="2334" t="s">
        <v>1354</v>
      </c>
      <c r="F52" s="2554">
        <f>'数据-取费表'!B41</f>
        <v>5.6000000000000001E-2</v>
      </c>
      <c r="G52" s="2555"/>
      <c r="H52" s="2544"/>
      <c r="I52" s="1807"/>
      <c r="J52" s="2523">
        <v>1</v>
      </c>
      <c r="K52" s="3571" t="s">
        <v>1355</v>
      </c>
      <c r="L52" s="3571"/>
      <c r="M52" s="2525">
        <f ca="1">D48</f>
        <v>0</v>
      </c>
      <c r="N52" s="2523" t="str">
        <f>E48</f>
        <v>(销售额-原购置价)×税（费）率</v>
      </c>
      <c r="O52" s="2526">
        <f>F48</f>
        <v>5.6000000000000001E-2</v>
      </c>
    </row>
    <row r="53" spans="1:35" ht="12" customHeight="1">
      <c r="A53" s="2335" t="s">
        <v>1356</v>
      </c>
      <c r="B53" s="3595" t="s">
        <v>2291</v>
      </c>
      <c r="C53" s="3596"/>
      <c r="D53" s="1087">
        <f ca="1">ROUND(D45*'数据-取费表'!B41/(1+'数据-取费表'!C42),0)</f>
        <v>1295</v>
      </c>
      <c r="E53" s="2334" t="s">
        <v>1354</v>
      </c>
      <c r="F53" s="2554">
        <f>'数据-取费表'!B41</f>
        <v>5.6000000000000001E-2</v>
      </c>
      <c r="G53" s="2555"/>
      <c r="H53" s="2544"/>
      <c r="I53" s="1807"/>
      <c r="J53" s="2523">
        <v>2</v>
      </c>
      <c r="K53" s="3571" t="s">
        <v>1357</v>
      </c>
      <c r="L53" s="3571"/>
      <c r="M53" s="2525">
        <f t="shared" ref="M53:O54" ca="1" si="0">D55</f>
        <v>12</v>
      </c>
      <c r="N53" s="2523" t="str">
        <f t="shared" si="0"/>
        <v>销售额×税（费）率</v>
      </c>
      <c r="O53" s="2526">
        <f t="shared" si="0"/>
        <v>5.0000000000000001E-4</v>
      </c>
    </row>
    <row r="54" spans="1:35" ht="12" customHeight="1">
      <c r="A54" s="2335" t="s">
        <v>1358</v>
      </c>
      <c r="B54" s="3595" t="s">
        <v>2292</v>
      </c>
      <c r="C54" s="3596"/>
      <c r="D54" s="1087">
        <f ca="1">C68</f>
        <v>0</v>
      </c>
      <c r="E54" s="327" t="s">
        <v>1359</v>
      </c>
      <c r="F54" s="2554">
        <f>'数据-取费表'!B41</f>
        <v>5.6000000000000001E-2</v>
      </c>
      <c r="G54" s="2555"/>
      <c r="H54" s="2556"/>
      <c r="I54" s="1807"/>
      <c r="J54" s="2523">
        <v>3</v>
      </c>
      <c r="K54" s="3571" t="s">
        <v>1360</v>
      </c>
      <c r="L54" s="3571"/>
      <c r="M54" s="2525">
        <f t="shared" ca="1" si="0"/>
        <v>0</v>
      </c>
      <c r="N54" s="2523" t="str">
        <f t="shared" si="0"/>
        <v>增值额×税（费）率</v>
      </c>
      <c r="O54" s="2527" t="str">
        <f t="shared" si="0"/>
        <v>——</v>
      </c>
    </row>
    <row r="55" spans="1:35" ht="24" customHeight="1">
      <c r="A55" s="3631" t="s">
        <v>1361</v>
      </c>
      <c r="B55" s="3611"/>
      <c r="C55" s="3611"/>
      <c r="D55" s="2324">
        <f ca="1">IF(H55="个人住宅",0,ROUND(D45*I55,0))</f>
        <v>12</v>
      </c>
      <c r="E55" s="2334" t="s">
        <v>1362</v>
      </c>
      <c r="F55" s="2554">
        <f>IF(H55="正常",I55,"免征")</f>
        <v>5.0000000000000001E-4</v>
      </c>
      <c r="G55" s="2555"/>
      <c r="H55" s="2550" t="s">
        <v>3429</v>
      </c>
      <c r="I55" s="165">
        <f>'数据-取费表'!B49</f>
        <v>5.0000000000000001E-4</v>
      </c>
      <c r="J55" s="2523" t="str">
        <f>IF(H59="非个人房产","",4)</f>
        <v/>
      </c>
      <c r="K55" s="3571" t="str">
        <f>IF(H59="非个人房产","——","个人所得税")</f>
        <v>——</v>
      </c>
      <c r="L55" s="3571"/>
      <c r="M55" s="2528" t="str">
        <f>D59</f>
        <v>——</v>
      </c>
      <c r="N55" s="2040" t="str">
        <f>E59</f>
        <v>——</v>
      </c>
      <c r="O55" s="2529" t="str">
        <f>F59</f>
        <v>——</v>
      </c>
    </row>
    <row r="56" spans="1:35" ht="24.75">
      <c r="A56" s="3631" t="s">
        <v>1363</v>
      </c>
      <c r="B56" s="3611"/>
      <c r="C56" s="3611"/>
      <c r="D56" s="2324">
        <f ca="1">IF(H56="个人住宅",D57,D58)</f>
        <v>0</v>
      </c>
      <c r="E56" s="2334" t="s">
        <v>1364</v>
      </c>
      <c r="F56" s="2554" t="str">
        <f>IF(H56="正常",F58,"免征")</f>
        <v>——</v>
      </c>
      <c r="G56" s="2557" t="s">
        <v>1365</v>
      </c>
      <c r="H56" s="2558" t="s">
        <v>3429</v>
      </c>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4</v>
      </c>
      <c r="K57" s="3571" t="s">
        <v>1367</v>
      </c>
      <c r="L57" s="2530" t="s">
        <v>1368</v>
      </c>
      <c r="M57" s="2531"/>
      <c r="N57" s="2532">
        <f ca="1">SUMIF(M52:M56,"&lt;9e307")</f>
        <v>12</v>
      </c>
      <c r="O57" s="2533"/>
      <c r="P57" s="2690">
        <f ca="1">N57/M49</f>
        <v>4.9433573635427393E-4</v>
      </c>
    </row>
    <row r="58" spans="1:35" ht="24.75">
      <c r="A58" s="2335" t="s">
        <v>1352</v>
      </c>
      <c r="B58" s="3595" t="s">
        <v>1369</v>
      </c>
      <c r="C58" s="3594"/>
      <c r="D58" s="2324">
        <f ca="1">IF(H58="转让取得",C81,C97)</f>
        <v>0</v>
      </c>
      <c r="E58" s="2334" t="s">
        <v>1364</v>
      </c>
      <c r="F58" s="302" t="s">
        <v>28</v>
      </c>
      <c r="G58" s="2555"/>
      <c r="H58" s="2558" t="s">
        <v>3430</v>
      </c>
      <c r="I58" s="1808"/>
      <c r="J58" s="3571"/>
      <c r="K58" s="3571"/>
      <c r="L58" s="2530" t="s">
        <v>1370</v>
      </c>
      <c r="M58" s="2534"/>
      <c r="N58" s="2535" t="str">
        <f ca="1">NUMBERSTRING(INT(N57*10000),2)&amp;"元整"</f>
        <v>壹拾贰万元整</v>
      </c>
      <c r="O58" s="2536"/>
    </row>
    <row r="59" spans="1:35" ht="24.75" thickBot="1">
      <c r="A59" s="3575" t="s">
        <v>1371</v>
      </c>
      <c r="B59" s="3576"/>
      <c r="C59" s="357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3431</v>
      </c>
      <c r="I59" s="2313" t="s">
        <v>2137</v>
      </c>
      <c r="J59" s="3573">
        <f>J57+1</f>
        <v>5</v>
      </c>
      <c r="K59" s="3571" t="s">
        <v>1372</v>
      </c>
      <c r="L59" s="2523" t="s">
        <v>1368</v>
      </c>
      <c r="M59" s="2537"/>
      <c r="N59" s="2538">
        <f ca="1">M49-N57</f>
        <v>24263</v>
      </c>
      <c r="O59" s="2539"/>
    </row>
    <row r="60" spans="1:35" ht="12" customHeight="1">
      <c r="A60" s="1809"/>
      <c r="B60" s="1747"/>
      <c r="C60" s="1747"/>
      <c r="D60" s="1747"/>
      <c r="E60" s="1578"/>
      <c r="F60" s="1808"/>
      <c r="G60" s="1808"/>
      <c r="H60" s="1810"/>
      <c r="I60" s="129"/>
      <c r="J60" s="3574"/>
      <c r="K60" s="3571"/>
      <c r="L60" s="2530" t="s">
        <v>1370</v>
      </c>
      <c r="M60" s="2534"/>
      <c r="N60" s="2535" t="str">
        <f ca="1">NUMBERSTRING(INT(N59*10000),2)&amp;"元整"</f>
        <v>贰亿肆仟贰佰陆拾叁万元整</v>
      </c>
      <c r="O60" s="2536"/>
    </row>
    <row r="61" spans="1:35" ht="13.5" thickBot="1">
      <c r="A61" s="3630" t="s">
        <v>1373</v>
      </c>
      <c r="B61" s="3630"/>
      <c r="C61" s="3630"/>
      <c r="D61" s="3630"/>
      <c r="E61" s="3630"/>
      <c r="F61" s="1808"/>
      <c r="G61" s="1808"/>
      <c r="H61" s="1810"/>
      <c r="I61" s="129"/>
      <c r="J61" s="2523">
        <f>J59+1</f>
        <v>6</v>
      </c>
      <c r="K61" s="3571" t="s">
        <v>1374</v>
      </c>
      <c r="L61" s="3571"/>
      <c r="M61" s="2540"/>
      <c r="N61" s="2541">
        <f ca="1">ROUND(N59*10000/'数据-汇总表'!E3,0)</f>
        <v>39001</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f ca="1">ROUND((C64+C65)/(1+'数据-取费表'!C42),0)</f>
        <v>23119</v>
      </c>
      <c r="D63" s="167"/>
      <c r="E63" s="168"/>
      <c r="F63" s="1808"/>
      <c r="G63" s="1808"/>
      <c r="H63" s="1810"/>
      <c r="I63" s="129"/>
      <c r="J63" s="3554" t="s">
        <v>1379</v>
      </c>
      <c r="K63" s="1332" t="s">
        <v>1380</v>
      </c>
      <c r="L63" s="1332">
        <f ca="1">IF(M49&gt;10000,M49*0.5%,IF(AND(M49&gt;1000,M49&lt;=10000),M49*1%,IF(AND(M49&gt;100,M49&lt;=1000),M49*3%,IF(AND(M49&gt;10,M49&lt;=100),M49*5%,M49*8%))))</f>
        <v>121.375</v>
      </c>
      <c r="M63" s="302">
        <f ca="1">ROUND(L63,1)</f>
        <v>121.4</v>
      </c>
      <c r="N63" s="2543"/>
      <c r="Z63" s="1752"/>
      <c r="AI63" s="1753"/>
    </row>
    <row r="64" spans="1:35" ht="14.25" customHeight="1">
      <c r="A64" s="169" t="s">
        <v>325</v>
      </c>
      <c r="B64" s="170" t="s">
        <v>1381</v>
      </c>
      <c r="C64" s="2565">
        <f ca="1">D45</f>
        <v>24275</v>
      </c>
      <c r="D64" s="170" t="s">
        <v>26</v>
      </c>
      <c r="E64" s="172"/>
      <c r="F64" s="1808"/>
      <c r="G64" s="1808"/>
      <c r="H64" s="1810"/>
      <c r="I64" s="129"/>
      <c r="J64" s="3554"/>
      <c r="K64" s="1332" t="s">
        <v>1382</v>
      </c>
      <c r="L64" s="1332">
        <f ca="1">IF(M49&gt;2000,M49*0.5%,IF(AND(M49&gt;1000,M49&lt;=2000),M49*0.6%,IF(AND(M49&gt;500,M49&lt;=1000),M49*0.7%,IF(AND(M49&gt;200,M49&lt;=500),M49*0.8%,IF(AND(M49&gt;100,M49&lt;=200),M49*0.9%,IF(AND(M49&gt;50,M49&lt;=100),M49*1%,IF(AND(M49&gt;20,M49&lt;=50),M49*1.5%,IF(AND(M49&gt;10,M49&lt;=20),M49*2%,IF(AND(M49&gt;1,M49&lt;=10),M49*2.5%)))))))))</f>
        <v>121.375</v>
      </c>
      <c r="M64" s="302">
        <f t="shared" ref="M64:M65" ca="1" si="1">ROUND(L64,1)</f>
        <v>121.4</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f ca="1">IF(M49&gt;1000,M49*0.1%,IF(AND(M49&gt;500,M49&lt;=1000),M49*0.5%,IF(AND(M49&gt;50,M49&lt;=500),M49*1%,IF(AND(M49&gt;1,M49&lt;=50),M49*1.5%))))</f>
        <v>24.275000000000002</v>
      </c>
      <c r="M65" s="302">
        <f t="shared" ca="1" si="1"/>
        <v>24.3</v>
      </c>
      <c r="N65" s="2544" t="s">
        <v>1383</v>
      </c>
      <c r="Z65" s="1752"/>
      <c r="AI65" s="1753"/>
    </row>
    <row r="66" spans="1:35" ht="14.25" customHeight="1">
      <c r="A66" s="173" t="s">
        <v>327</v>
      </c>
      <c r="B66" s="174" t="s">
        <v>1386</v>
      </c>
      <c r="C66" s="2567">
        <f>(4200+10753+10847)/1.05</f>
        <v>24571.428571428569</v>
      </c>
      <c r="D66" s="174" t="s">
        <v>26</v>
      </c>
      <c r="E66" s="1338" t="s">
        <v>671</v>
      </c>
      <c r="F66" s="1808"/>
      <c r="G66" s="1808"/>
      <c r="H66" s="1810"/>
      <c r="I66" s="129"/>
      <c r="J66" s="3554"/>
      <c r="K66" s="1332" t="s">
        <v>1387</v>
      </c>
      <c r="L66" s="1332">
        <f ca="1">M49*0.5%</f>
        <v>121.375</v>
      </c>
      <c r="M66" s="302">
        <f ca="1">IF(L66&gt;0.5,0.5,ROUND(L66,0))</f>
        <v>0.5</v>
      </c>
      <c r="N66" s="2544" t="s">
        <v>1388</v>
      </c>
      <c r="Z66" s="1752"/>
      <c r="AI66" s="1753"/>
    </row>
    <row r="67" spans="1:35" ht="14.25" customHeight="1">
      <c r="A67" s="173" t="s">
        <v>328</v>
      </c>
      <c r="B67" s="174" t="s">
        <v>1389</v>
      </c>
      <c r="C67" s="2568">
        <f ca="1">C63-C66</f>
        <v>-1452.4285714285688</v>
      </c>
      <c r="D67" s="170" t="s">
        <v>26</v>
      </c>
      <c r="E67" s="172"/>
      <c r="F67" s="1808"/>
      <c r="G67" s="1808"/>
      <c r="H67" s="1810"/>
      <c r="I67" s="129"/>
      <c r="J67" s="3554"/>
      <c r="K67" s="1332" t="s">
        <v>1390</v>
      </c>
      <c r="L67" s="1332">
        <f ca="1">IF(M49&gt;=10000,(8.25+(M49-10000)*0.01%),IF(AND(M49&gt;=8000,M49&lt;10000),(7.85+(M49-8000)*0.02%),IF(AND(M49&gt;=5000,M49&lt;8000),(6.65+(M49-5000)*0.04%),IF(AND(M49&gt;=2000,M49&lt;5000),(4.25+(PM49-2000)*0.08%),IF(AND(M49&gt;=1000,M49&lt;2000),(2.75+(M49-1000)*0.15%),IF(AND(M49&gt;=100,M49&lt;1000),(0.5+(M49-100)*0.25%),IF(AND(M49&gt;0,M49&lt;100),M49*0.5%)))))))</f>
        <v>9.6775000000000002</v>
      </c>
      <c r="M67" s="302">
        <f ca="1">ROUND(L67*0.9,1)</f>
        <v>8.6999999999999993</v>
      </c>
      <c r="N67" s="2543"/>
      <c r="Z67" s="1752"/>
      <c r="AI67" s="1753"/>
    </row>
    <row r="68" spans="1:35" ht="14.25" customHeight="1" thickBot="1">
      <c r="A68" s="176" t="s">
        <v>329</v>
      </c>
      <c r="B68" s="177" t="s">
        <v>1391</v>
      </c>
      <c r="C68" s="2569">
        <f ca="1">IF(C67&lt;=0,0,ROUND(C67*D68,0))</f>
        <v>0</v>
      </c>
      <c r="D68" s="2570">
        <f>'数据-取费表'!B41</f>
        <v>5.6000000000000001E-2</v>
      </c>
      <c r="E68" s="178"/>
      <c r="F68" s="1808"/>
      <c r="G68" s="1808"/>
      <c r="H68" s="1810"/>
      <c r="I68" s="129"/>
      <c r="J68" s="3554"/>
      <c r="K68" s="1332" t="s">
        <v>1392</v>
      </c>
      <c r="L68" s="1332">
        <f ca="1">IF(M49&gt;10000,M49*0.5%,IF(AND(M49&gt;5000,M49&lt;=10000),M49*1%,IF(AND(M49&gt;1000,M49&lt;=5000),M49*2%,IF(AND(M49&gt;200,M49&lt;=1000),M49*3%,M49*5%))))</f>
        <v>121.375</v>
      </c>
      <c r="M68" s="302">
        <f ca="1">ROUND(L68,1)</f>
        <v>121.4</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f ca="1">ROUND(SUM(M63:M68),0)</f>
        <v>398</v>
      </c>
      <c r="N69" s="2545">
        <f ca="1">M69/M49</f>
        <v>1.6395468589083421E-2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23119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25459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25320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(4200+10753+10847)</f>
        <v>25800</v>
      </c>
      <c r="D75" s="170" t="s">
        <v>26</v>
      </c>
      <c r="E75" s="184" t="s">
        <v>1399</v>
      </c>
      <c r="F75" s="2572" t="s">
        <v>3426</v>
      </c>
      <c r="G75" s="184" t="s">
        <v>1400</v>
      </c>
      <c r="H75" s="2573">
        <f>2024-2018</f>
        <v>6</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749</v>
      </c>
      <c r="D77" s="2575">
        <f>'数据-取费表'!B48+'数据-取费表'!B49</f>
        <v>3.0499999999999999E-2</v>
      </c>
      <c r="E77" s="2324" t="s">
        <v>1404</v>
      </c>
      <c r="F77" s="186"/>
      <c r="G77" s="1822" t="s">
        <v>3427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139</v>
      </c>
      <c r="D78" s="2577">
        <f>'数据-取费表'!B43</f>
        <v>6.000000000000001E-3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-2340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23119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139</v>
      </c>
      <c r="D93" s="2577">
        <f>'数据-取费表'!B43</f>
        <v>6.000000000000001E-3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22980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165.32374100719426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13739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成本法</v>
      </c>
      <c r="D101" s="2586" t="str">
        <f>D4</f>
        <v>收益法</v>
      </c>
      <c r="E101" s="3550" t="s">
        <v>1431</v>
      </c>
      <c r="F101" s="3551"/>
      <c r="G101" s="1827" t="s">
        <v>1432</v>
      </c>
      <c r="H101" s="2595">
        <f ca="1">H118</f>
        <v>24275</v>
      </c>
      <c r="I101" s="129"/>
    </row>
    <row r="102" spans="1:35" ht="18.75" customHeight="1">
      <c r="A102" s="3582" t="s">
        <v>1433</v>
      </c>
      <c r="B102" s="2584" t="s">
        <v>1432</v>
      </c>
      <c r="C102" s="2585">
        <f ca="1">IF(D32="楼面单价",ROUND(C19,0),C19)</f>
        <v>26131</v>
      </c>
      <c r="D102" s="2586">
        <f ca="1">IF(D32="楼面单价",ROUND(D19,0),D19)</f>
        <v>19943</v>
      </c>
      <c r="E102" s="3550"/>
      <c r="F102" s="3551"/>
      <c r="G102" s="1827" t="s">
        <v>1434</v>
      </c>
      <c r="H102" s="2555">
        <f ca="1">I118</f>
        <v>39020</v>
      </c>
      <c r="I102" s="129"/>
    </row>
    <row r="103" spans="1:35" ht="42.75" customHeight="1">
      <c r="A103" s="3582"/>
      <c r="B103" s="2584" t="s">
        <v>1434</v>
      </c>
      <c r="C103" s="2587">
        <f ca="1">C20</f>
        <v>42003</v>
      </c>
      <c r="D103" s="2588">
        <f ca="1">D20</f>
        <v>32057</v>
      </c>
      <c r="E103" s="3543" t="s">
        <v>1435</v>
      </c>
      <c r="F103" s="3544"/>
      <c r="G103" s="1828" t="s">
        <v>1436</v>
      </c>
      <c r="H103" s="2595">
        <f>IF(D36="正常操作",H104+H105+H106,H105+H106)</f>
        <v>0</v>
      </c>
      <c r="I103" s="129"/>
    </row>
    <row r="104" spans="1:35" ht="18.75" customHeight="1">
      <c r="A104" s="3582" t="s">
        <v>1437</v>
      </c>
      <c r="B104" s="2589" t="s">
        <v>1432</v>
      </c>
      <c r="C104" s="2590">
        <f ca="1">H118</f>
        <v>24275</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39020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f ca="1">IF(E107="——","——",H101-H103)</f>
        <v>24275</v>
      </c>
      <c r="I107" s="129"/>
    </row>
    <row r="108" spans="1:35" ht="18.75" customHeight="1">
      <c r="A108" s="129"/>
      <c r="B108" s="129"/>
      <c r="C108" s="129"/>
      <c r="D108" s="129"/>
      <c r="E108" s="3583"/>
      <c r="F108" s="3551"/>
      <c r="G108" s="1827" t="s">
        <v>1434</v>
      </c>
      <c r="H108" s="2555">
        <f ca="1">IF(H107=H101,H102,ROUND(H107*10000/'数据-汇总表'!E3,0))</f>
        <v>39020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4.抵押净值</v>
      </c>
      <c r="F111" s="3570"/>
      <c r="G111" s="1827" t="s">
        <v>1432</v>
      </c>
      <c r="H111" s="2595">
        <f ca="1">IF(E111="——","——",N59)</f>
        <v>24263</v>
      </c>
      <c r="I111" s="129"/>
    </row>
    <row r="112" spans="1:35" ht="18.75" customHeight="1" thickBot="1">
      <c r="A112" s="129"/>
      <c r="B112" s="129"/>
      <c r="C112" s="129"/>
      <c r="D112" s="129"/>
      <c r="E112" s="3585"/>
      <c r="F112" s="3586"/>
      <c r="G112" s="1830" t="s">
        <v>1434</v>
      </c>
      <c r="H112" s="2599">
        <f ca="1">IF(E111="——","——",N61)</f>
        <v>39001</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6221.16</v>
      </c>
      <c r="C118" s="2329">
        <f>M19</f>
        <v>0</v>
      </c>
      <c r="D118" s="2329">
        <f ca="1">ROUND(IF(D32="总价",C34,E118*B118/10000),0)</f>
        <v>20901</v>
      </c>
      <c r="E118" s="2329">
        <f ca="1">ROUND(IF(C33="自定义",IF(D32="楼面单价",C34,D118*10000/B118),I118-G118),0)</f>
        <v>33597</v>
      </c>
      <c r="F118" s="2329">
        <f ca="1">ROUND(IF(D32="总价",C35,G118*B118/10000),0)</f>
        <v>3374</v>
      </c>
      <c r="G118" s="2329">
        <f ca="1">ROUND(IF(D32="楼面单价",C35,F118*10000/B118),0)</f>
        <v>5423</v>
      </c>
      <c r="H118" s="2329">
        <f ca="1">ROUND(IF(D32="总价",C32,I118*B118/10000),0)</f>
        <v>24275</v>
      </c>
      <c r="I118" s="2329">
        <f ca="1">ROUND(IF(D32="楼面单价",C32,H118*10000/B118),0)</f>
        <v>39020</v>
      </c>
    </row>
    <row r="119" spans="1:27" ht="18.75" customHeight="1">
      <c r="A119" s="3558" t="s">
        <v>1452</v>
      </c>
      <c r="B119" s="3558"/>
      <c r="C119" s="3558"/>
      <c r="D119" s="3564" t="str">
        <f ca="1">NUMBERSTRING(INT(D118*10000),2)&amp;"元整"</f>
        <v>贰亿零玖佰零壹万元整</v>
      </c>
      <c r="E119" s="3565"/>
      <c r="F119" s="3564" t="str">
        <f ca="1">NUMBERSTRING(INT(F118*10000),2)&amp;"元整"</f>
        <v>叁仟叁佰柒拾肆万元整</v>
      </c>
      <c r="G119" s="3565"/>
      <c r="H119" s="3564" t="str">
        <f ca="1">NUMBERSTRING(INT(H118*10000),2)&amp;"元整"</f>
        <v>贰亿肆仟贰佰柒拾伍万元整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24275</v>
      </c>
      <c r="E122" s="3560"/>
      <c r="F122" s="3560"/>
      <c r="G122" s="3560"/>
      <c r="H122" s="3560"/>
      <c r="I122" s="3561"/>
      <c r="AA122" s="725"/>
    </row>
    <row r="123" spans="1:27" ht="18.75" customHeight="1">
      <c r="A123" s="3558" t="s">
        <v>1452</v>
      </c>
      <c r="B123" s="3558"/>
      <c r="C123" s="3558"/>
      <c r="D123" s="3564" t="str">
        <f ca="1">NUMBERSTRING(INT(D122*10000),2)&amp;"元整"</f>
        <v>贰亿肆仟贰佰柒拾伍万元整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抵押净值</v>
      </c>
      <c r="B126" s="3570"/>
      <c r="C126" s="3570"/>
      <c r="D126" s="3559">
        <f ca="1">H111</f>
        <v>24263</v>
      </c>
      <c r="E126" s="3560"/>
      <c r="F126" s="3560"/>
      <c r="G126" s="3560"/>
      <c r="H126" s="3560"/>
      <c r="I126" s="3561"/>
      <c r="AA126" s="725"/>
    </row>
    <row r="127" spans="1:27" ht="18.75" customHeight="1">
      <c r="A127" s="3558" t="s">
        <v>1452</v>
      </c>
      <c r="B127" s="3558"/>
      <c r="C127" s="3558"/>
      <c r="D127" s="3564" t="str">
        <f ca="1">NUMBERSTRING(INT(D126*10000),2)&amp;"元整"</f>
        <v>贰亿肆仟贰佰陆拾叁万元整</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4" stopIfTrue="1" operator="equal">
      <formula>25</formula>
    </cfRule>
  </conditionalFormatting>
  <conditionalFormatting sqref="C8:C9">
    <cfRule type="cellIs" dxfId="176" priority="22" stopIfTrue="1" operator="equal">
      <formula>15</formula>
    </cfRule>
  </conditionalFormatting>
  <conditionalFormatting sqref="C14:C16">
    <cfRule type="cellIs" dxfId="175" priority="16" stopIfTrue="1" operator="equal">
      <formula>30</formula>
    </cfRule>
  </conditionalFormatting>
  <conditionalFormatting sqref="D5:D7">
    <cfRule type="cellIs" dxfId="174" priority="13" stopIfTrue="1" operator="equal">
      <formula>25</formula>
    </cfRule>
  </conditionalFormatting>
  <conditionalFormatting sqref="C10:C13">
    <cfRule type="cellIs" dxfId="173" priority="11" stopIfTrue="1" operator="equal">
      <formula>15</formula>
    </cfRule>
  </conditionalFormatting>
  <conditionalFormatting sqref="C90">
    <cfRule type="expression" dxfId="172" priority="6" stopIfTrue="1">
      <formula>$H$88&lt;&gt;"仅含出让金"</formula>
    </cfRule>
  </conditionalFormatting>
  <conditionalFormatting sqref="C91">
    <cfRule type="expression" dxfId="171" priority="5" stopIfTrue="1">
      <formula>$H$91="由企业提供"</formula>
    </cfRule>
  </conditionalFormatting>
  <conditionalFormatting sqref="E36">
    <cfRule type="expression" dxfId="170" priority="4" stopIfTrue="1">
      <formula>$D$36="同一抵押权人同一抵押物续贷"</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D51" sqref="D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26131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42003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16013</v>
      </c>
      <c r="D5" s="211" t="s">
        <v>1469</v>
      </c>
      <c r="E5" s="212" t="s">
        <v>1470</v>
      </c>
      <c r="F5" s="212" t="s">
        <v>1471</v>
      </c>
      <c r="G5" s="213"/>
    </row>
    <row r="6" spans="1:9" s="214" customFormat="1" ht="13.5" customHeight="1">
      <c r="A6" s="778" t="s">
        <v>1472</v>
      </c>
      <c r="B6" s="215" t="s">
        <v>1473</v>
      </c>
      <c r="C6" s="216">
        <f>基准地价修正!B2</f>
        <v>15419</v>
      </c>
      <c r="D6" s="217"/>
      <c r="E6" s="218"/>
      <c r="F6" s="218"/>
      <c r="G6" s="219"/>
    </row>
    <row r="7" spans="1:9" s="214" customFormat="1" ht="13.5" customHeight="1">
      <c r="A7" s="778" t="s">
        <v>1474</v>
      </c>
      <c r="B7" s="215" t="s">
        <v>1475</v>
      </c>
      <c r="C7" s="220">
        <f>ROUND(C6*F7,0)</f>
        <v>470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124</v>
      </c>
      <c r="D8" s="222"/>
      <c r="E8" s="220"/>
      <c r="F8" s="221"/>
      <c r="G8" s="1856" t="s">
        <v>3415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3416</v>
      </c>
      <c r="H9" s="1137"/>
      <c r="I9" s="1858" t="s">
        <v>1479</v>
      </c>
    </row>
    <row r="10" spans="1:9" s="214" customFormat="1" ht="13.5" customHeight="1">
      <c r="A10" s="779" t="s">
        <v>356</v>
      </c>
      <c r="B10" s="224" t="s">
        <v>1480</v>
      </c>
      <c r="C10" s="225">
        <f ca="1">ROUND(D10*E10/10000,0)</f>
        <v>124</v>
      </c>
      <c r="D10" s="845">
        <f ca="1">IF(B1="",'数据-汇总表'!E6,IF(INDIRECT("'数据-取费表'!c"&amp;$G$1)="住宅",INDIRECT("'数据-取费表'!s"&amp;$G$1),INDIRECT("'数据-取费表'!k"&amp;$G$1)+INDIRECT("'数据-取费表'!s"&amp;$G$1)))</f>
        <v>6221.16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6221.16</v>
      </c>
      <c r="E19" s="211">
        <f>'数据-取费表'!B31</f>
        <v>200</v>
      </c>
      <c r="F19" s="231"/>
      <c r="G19" s="1856" t="s">
        <v>3417</v>
      </c>
    </row>
    <row r="20" spans="1:7" s="214" customFormat="1" ht="13.5" customHeight="1">
      <c r="A20" s="255" t="s">
        <v>1493</v>
      </c>
      <c r="B20" s="210" t="s">
        <v>1494</v>
      </c>
      <c r="C20" s="232">
        <f>ROUND((C5+C19)*F20,0)</f>
        <v>320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1135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1124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3267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3267</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22489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3111</v>
      </c>
      <c r="D34" s="217"/>
      <c r="E34" s="220"/>
      <c r="F34" s="257">
        <f ca="1">IF('数据-取费表'!B24=0,1,IF(B1="",'数据-取费表'!N16,INDIRECT("'数据-取费表'!n"&amp;$G$1)))</f>
        <v>1</v>
      </c>
      <c r="G34" s="219" t="s">
        <v>1526</v>
      </c>
    </row>
    <row r="35" spans="1:7" ht="13.5" customHeight="1">
      <c r="A35" s="780" t="s">
        <v>351</v>
      </c>
      <c r="B35" s="215" t="s">
        <v>1527</v>
      </c>
      <c r="C35" s="220">
        <f ca="1">ROUND(C34*F35,0)</f>
        <v>93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124</v>
      </c>
      <c r="D37" s="217">
        <f ca="1">D19</f>
        <v>6221.16</v>
      </c>
      <c r="E37" s="249">
        <f>'数据-取费表'!B35</f>
        <v>200</v>
      </c>
      <c r="F37" s="259"/>
      <c r="G37" s="261" t="s">
        <v>1532</v>
      </c>
    </row>
    <row r="38" spans="1:7" ht="13.5" customHeight="1">
      <c r="A38" s="780" t="s">
        <v>354</v>
      </c>
      <c r="B38" s="215" t="s">
        <v>1533</v>
      </c>
      <c r="C38" s="220">
        <f ca="1">ROUND(C34*F38,0)</f>
        <v>47</v>
      </c>
      <c r="D38" s="220"/>
      <c r="E38" s="220"/>
      <c r="F38" s="259">
        <f>'数据-取费表'!B36</f>
        <v>1.4999999999999999E-2</v>
      </c>
      <c r="G38" s="219" t="s">
        <v>1528</v>
      </c>
    </row>
    <row r="39" spans="1:7" s="214" customFormat="1" ht="13.5" customHeight="1">
      <c r="A39" s="255" t="s">
        <v>1534</v>
      </c>
      <c r="B39" s="210" t="s">
        <v>1535</v>
      </c>
      <c r="C39" s="232">
        <f ca="1">ROUND(C33*F20,0)</f>
        <v>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116</v>
      </c>
      <c r="D42" s="238"/>
      <c r="E42" s="238"/>
      <c r="F42" s="239"/>
      <c r="G42" s="3637" t="s">
        <v>1544</v>
      </c>
    </row>
    <row r="43" spans="1:7" ht="13.5" customHeight="1">
      <c r="A43" s="780" t="s">
        <v>347</v>
      </c>
      <c r="B43" s="215" t="s">
        <v>1545</v>
      </c>
      <c r="C43" s="238">
        <f ca="1">ROUND(IF('数据-取费表'!B22&lt;=1,C39*F22*'数据-取费表'!B21/2,C39*(POWER((1+F22),'数据-取费表'!B21/2)-1)),0)</f>
        <v>2</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689</v>
      </c>
      <c r="D45" s="235">
        <f ca="1">C47</f>
        <v>4.0000000000000001E-3</v>
      </c>
      <c r="E45" s="236" t="s">
        <v>1539</v>
      </c>
      <c r="F45" s="246">
        <f ca="1">F27</f>
        <v>0.2</v>
      </c>
      <c r="G45" s="247" t="s">
        <v>1548</v>
      </c>
    </row>
    <row r="46" spans="1:7" s="214" customFormat="1" ht="13.5" customHeight="1">
      <c r="A46" s="780" t="s">
        <v>346</v>
      </c>
      <c r="B46" s="248" t="s">
        <v>1549</v>
      </c>
      <c r="C46" s="249">
        <f ca="1">ROUND((C33+C39)*F27,0)</f>
        <v>689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4610</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3642</v>
      </c>
      <c r="D51" s="232"/>
      <c r="E51" s="232"/>
      <c r="F51" s="264"/>
      <c r="G51" s="234" t="s">
        <v>1560</v>
      </c>
    </row>
    <row r="52" spans="1:7" s="208" customFormat="1" ht="16.5" thickBot="1">
      <c r="A52" s="265" t="s">
        <v>1561</v>
      </c>
      <c r="B52" s="266"/>
      <c r="C52" s="267">
        <f ca="1">C31+C51</f>
        <v>26131</v>
      </c>
      <c r="D52" s="266"/>
      <c r="E52" s="266"/>
      <c r="F52" s="266"/>
      <c r="G52" s="268"/>
    </row>
    <row r="55" spans="1:7" ht="15">
      <c r="B55" s="270" t="s">
        <v>1562</v>
      </c>
      <c r="C55" s="271"/>
    </row>
    <row r="56" spans="1:7">
      <c r="B56" s="273" t="s">
        <v>802</v>
      </c>
      <c r="C56" s="275">
        <f ca="1">1-C57</f>
        <v>0.86099999999999999</v>
      </c>
    </row>
    <row r="57" spans="1:7">
      <c r="B57" s="273" t="s">
        <v>803</v>
      </c>
      <c r="C57" s="274">
        <f ca="1">ROUND(C51/C52,3)</f>
        <v>0.13900000000000001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3990.8036999999999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1244232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1244232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1244232</v>
      </c>
      <c r="D10" s="845">
        <f ca="1">IF(B1="",'数据-汇总表'!E6,IF(INDIRECT("'数据-取费表'!c"&amp;$G$1)="住宅",INDIRECT("'数据-取费表'!s"&amp;$G$1),INDIRECT("'数据-取费表'!k"&amp;$G$1)+INDIRECT("'数据-取费表'!s"&amp;$G$1)))</f>
        <v>6221.16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1244232</v>
      </c>
      <c r="D19" s="849">
        <f ca="1">D9+D10</f>
        <v>6221.16</v>
      </c>
      <c r="E19" s="211">
        <f>'数据-取费表'!B31</f>
        <v>200</v>
      </c>
      <c r="F19" s="231"/>
      <c r="G19" s="1856"/>
    </row>
    <row r="20" spans="1:7" s="214" customFormat="1" ht="13.5" customHeight="1">
      <c r="A20" s="255" t="s">
        <v>1574</v>
      </c>
      <c r="B20" s="210" t="s">
        <v>1575</v>
      </c>
      <c r="C20" s="232">
        <f ca="1">ROUND((C5+C19)*F20,0)</f>
        <v>49769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176383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87333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87333</v>
      </c>
      <c r="D24" s="238"/>
      <c r="E24" s="238"/>
      <c r="F24" s="239"/>
      <c r="G24" s="240" t="s">
        <v>1586</v>
      </c>
    </row>
    <row r="25" spans="1:7" s="214" customFormat="1" ht="24">
      <c r="A25" s="780" t="s">
        <v>1476</v>
      </c>
      <c r="B25" s="215" t="s">
        <v>1587</v>
      </c>
      <c r="C25" s="1128">
        <f ca="1">ROUND(IF('数据-取费表'!B22&lt;=1,C20*F22*'数据-取费表'!B22/2,C20*(POWER((1+F22),'数据-取费表'!B22/2)-1)),0)</f>
        <v>1717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507647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507647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3494862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33749793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31105800</v>
      </c>
      <c r="D34" s="217"/>
      <c r="E34" s="220"/>
      <c r="F34" s="257"/>
      <c r="G34" s="219"/>
    </row>
    <row r="35" spans="1:7" ht="13.5" customHeight="1">
      <c r="A35" s="780" t="s">
        <v>351</v>
      </c>
      <c r="B35" s="215" t="s">
        <v>1527</v>
      </c>
      <c r="C35" s="220">
        <f ca="1">ROUND(C34*F35,0)</f>
        <v>933174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1244232</v>
      </c>
      <c r="D37" s="217">
        <f ca="1">D19</f>
        <v>6221.16</v>
      </c>
      <c r="E37" s="249">
        <f>'数据-取费表'!B35</f>
        <v>200</v>
      </c>
      <c r="F37" s="259"/>
      <c r="G37" s="261"/>
    </row>
    <row r="38" spans="1:7" ht="13.5" customHeight="1">
      <c r="A38" s="780" t="s">
        <v>354</v>
      </c>
      <c r="B38" s="215" t="s">
        <v>1533</v>
      </c>
      <c r="C38" s="220">
        <f ca="1">ROUND(C34*F38,0)</f>
        <v>466587</v>
      </c>
      <c r="D38" s="220"/>
      <c r="E38" s="220"/>
      <c r="F38" s="259">
        <f>'数据-取费表'!B36</f>
        <v>1.4999999999999999E-2</v>
      </c>
      <c r="G38" s="219" t="s">
        <v>1528</v>
      </c>
    </row>
    <row r="39" spans="1:7" s="214" customFormat="1" ht="13.5" customHeight="1">
      <c r="A39" s="255" t="s">
        <v>1534</v>
      </c>
      <c r="B39" s="210" t="s">
        <v>1535</v>
      </c>
      <c r="C39" s="232">
        <f ca="1">ROUND(C33*F20,0)</f>
        <v>674996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1187655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1164368</v>
      </c>
      <c r="D42" s="238"/>
      <c r="E42" s="238"/>
      <c r="F42" s="239"/>
      <c r="G42" s="3637" t="s">
        <v>1591</v>
      </c>
    </row>
    <row r="43" spans="1:7" ht="13.5" customHeight="1">
      <c r="A43" s="780" t="s">
        <v>347</v>
      </c>
      <c r="B43" s="215" t="s">
        <v>1545</v>
      </c>
      <c r="C43" s="238">
        <f ca="1">ROUND(IF('数据-取费表'!B22&lt;=1,C39*F22*'数据-取费表'!B20/2,C39*(POWER((1+F22),'数据-取费表'!B20/2)-1)),0)</f>
        <v>23287</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6884958</v>
      </c>
      <c r="D45" s="235">
        <f ca="1">C47</f>
        <v>4.0000000000000001E-3</v>
      </c>
      <c r="E45" s="236" t="s">
        <v>1539</v>
      </c>
      <c r="F45" s="246">
        <f ca="1">F27</f>
        <v>0.2</v>
      </c>
      <c r="G45" s="247" t="s">
        <v>1548</v>
      </c>
    </row>
    <row r="46" spans="1:7" s="214" customFormat="1" ht="13.5" customHeight="1">
      <c r="A46" s="780" t="s">
        <v>346</v>
      </c>
      <c r="B46" s="248" t="s">
        <v>1549</v>
      </c>
      <c r="C46" s="249">
        <f ca="1">ROUND((C33+C39)*F27,0)</f>
        <v>6884958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46092627</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36413175</v>
      </c>
      <c r="D51" s="232"/>
      <c r="E51" s="232"/>
      <c r="F51" s="264"/>
      <c r="G51" s="234" t="s">
        <v>1560</v>
      </c>
    </row>
    <row r="52" spans="1:7" s="208" customFormat="1" ht="16.5" thickBot="1">
      <c r="A52" s="265" t="s">
        <v>1561</v>
      </c>
      <c r="B52" s="266"/>
      <c r="C52" s="267">
        <f ca="1">C31+C51</f>
        <v>39908037</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6221.16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6221.16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124</v>
      </c>
      <c r="D20" s="846">
        <f ca="1">IF(C1="",'数据-汇总表'!E6,IF(INDIRECT("'数据-取费表'!c"&amp;$K$1)="住宅",INDIRECT("'数据-取费表'!s"&amp;$K$1),INDIRECT("'数据-取费表'!k"&amp;$K$1)+INDIRECT("'数据-取费表'!s"&amp;$K$1)))</f>
        <v>6221.16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22" sqref="E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28.02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19943</v>
      </c>
      <c r="C2" s="1387" t="s">
        <v>805</v>
      </c>
      <c r="D2" s="1387"/>
      <c r="E2" s="1388"/>
      <c r="F2" s="1389"/>
      <c r="G2" s="2706"/>
      <c r="H2" s="2695"/>
      <c r="I2" s="2695"/>
      <c r="J2" s="2695"/>
      <c r="K2" s="2696"/>
      <c r="L2" s="2695"/>
      <c r="M2" s="2695"/>
    </row>
    <row r="3" spans="1:37" ht="18" customHeight="1" thickBot="1">
      <c r="A3" s="1390" t="s">
        <v>806</v>
      </c>
      <c r="B3" s="1391">
        <f ca="1">IF(ISERROR(B2*10000/F43),0,ROUND(B2*10000/F43,0))</f>
        <v>32057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1330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1328</v>
      </c>
      <c r="D6" s="155" t="s">
        <v>2109</v>
      </c>
      <c r="E6" s="302" t="s">
        <v>696</v>
      </c>
      <c r="F6" s="303">
        <f ca="1">INDIRECT("'数据-取费表'!u"&amp;$G$1)</f>
        <v>6.5</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6221.16</v>
      </c>
      <c r="G7" s="1384"/>
      <c r="H7" s="304"/>
      <c r="I7" s="3643"/>
      <c r="J7" s="306"/>
      <c r="K7" s="307"/>
      <c r="L7" s="302" t="s">
        <v>697</v>
      </c>
      <c r="M7" s="303">
        <f ca="1">F7</f>
        <v>6221.16</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3419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3642</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3111</v>
      </c>
      <c r="D14" s="1345" t="s">
        <v>708</v>
      </c>
      <c r="E14" s="1342"/>
      <c r="F14" s="319"/>
      <c r="G14" s="1384"/>
      <c r="H14" s="982" t="s">
        <v>398</v>
      </c>
      <c r="I14" s="302" t="s">
        <v>709</v>
      </c>
      <c r="J14" s="21">
        <f ca="1">C29</f>
        <v>4610</v>
      </c>
      <c r="K14" s="12"/>
      <c r="L14" s="807"/>
      <c r="M14" s="808"/>
    </row>
    <row r="15" spans="1:37" s="1397" customFormat="1" ht="18" customHeight="1" thickBot="1">
      <c r="A15" s="982" t="s">
        <v>399</v>
      </c>
      <c r="B15" s="302" t="s">
        <v>710</v>
      </c>
      <c r="C15" s="21">
        <f ca="1">ROUND(C14*F15,0)</f>
        <v>93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124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3375</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68</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23.05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689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4610</v>
      </c>
      <c r="D29" s="1092"/>
      <c r="E29" s="1090"/>
      <c r="F29" s="1093"/>
      <c r="G29" s="1396"/>
      <c r="H29" s="334" t="s">
        <v>396</v>
      </c>
      <c r="I29" s="335" t="s">
        <v>768</v>
      </c>
      <c r="J29" s="336">
        <f ca="1">ROUND(J26/(1+F40)^F41,0)</f>
        <v>0</v>
      </c>
      <c r="K29" s="337" t="s">
        <v>769</v>
      </c>
      <c r="L29" s="338"/>
      <c r="M29" s="339">
        <f ca="1">INDIRECT("'数据-取费表'!k"&amp;$G$1)</f>
        <v>6221.16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222.6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70.83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151.77000000000001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23.05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5.46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13.3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1066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19700</v>
      </c>
      <c r="D40" s="324" t="s">
        <v>758</v>
      </c>
      <c r="E40" s="302" t="s">
        <v>759</v>
      </c>
      <c r="F40" s="312">
        <f ca="1">INDIRECT("'数据-取费表'!I"&amp;$G$1)</f>
        <v>5.5E-2</v>
      </c>
      <c r="G40" s="1384"/>
      <c r="H40" s="1461">
        <f ca="1">C39/C5</f>
        <v>0.80150375939849627</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28.02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31666</v>
      </c>
      <c r="D43" s="337" t="s">
        <v>777</v>
      </c>
      <c r="E43" s="338" t="s">
        <v>778</v>
      </c>
      <c r="F43" s="339">
        <f ca="1">INDIRECT("'数据-取费表'!k"&amp;$G$1)</f>
        <v>6221.16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-20110</v>
      </c>
      <c r="D46" s="1406" t="str">
        <f>C2</f>
        <v>万元</v>
      </c>
      <c r="E46" s="1400"/>
      <c r="F46" s="1400"/>
      <c r="I46" s="1407" t="s">
        <v>810</v>
      </c>
      <c r="J46" s="1408"/>
      <c r="K46" s="1409"/>
      <c r="L46" s="1410">
        <f ca="1">IF(M47="住宅",0,IF(L48&gt;J51,L60,J60))</f>
        <v>243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3420</v>
      </c>
      <c r="K47" s="1416" t="s">
        <v>816</v>
      </c>
      <c r="L47" s="1417">
        <f ca="1">INDIRECT("'数据-取费表'!d"&amp;$G$1)</f>
        <v>50</v>
      </c>
      <c r="M47" s="1380" t="str">
        <f>IF(ISNUMBER(FIND("住宅",C1)),"住宅","非住宅")</f>
        <v>非住宅</v>
      </c>
      <c r="O47" s="1418" t="s">
        <v>403</v>
      </c>
      <c r="P47" s="1419" t="s">
        <v>817</v>
      </c>
      <c r="Q47" s="1420">
        <f ca="1">C40+J29</f>
        <v>19700</v>
      </c>
      <c r="R47" s="1420" t="s">
        <v>818</v>
      </c>
    </row>
    <row r="48" spans="1:18" s="1384" customFormat="1" ht="28.5" thickBot="1">
      <c r="A48" s="1110" t="s">
        <v>438</v>
      </c>
      <c r="B48" s="300" t="s">
        <v>692</v>
      </c>
      <c r="C48" s="1359">
        <f ca="1">C49+C53+C55</f>
        <v>0</v>
      </c>
      <c r="D48" s="1112"/>
      <c r="E48" s="1113"/>
      <c r="F48" s="962"/>
      <c r="G48" s="722"/>
      <c r="H48" s="723"/>
      <c r="I48" s="1421" t="s">
        <v>819</v>
      </c>
      <c r="J48" s="1422" t="s">
        <v>3421</v>
      </c>
      <c r="K48" s="1423" t="s">
        <v>820</v>
      </c>
      <c r="L48" s="1424">
        <f ca="1">INDIRECT("'数据-取费表'!f"&amp;$G$1)</f>
        <v>28.02</v>
      </c>
      <c r="O48" s="1418" t="s">
        <v>404</v>
      </c>
      <c r="P48" s="1419" t="s">
        <v>821</v>
      </c>
      <c r="Q48" s="1420">
        <f ca="1">J60</f>
        <v>243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2004</v>
      </c>
      <c r="K49" s="1423" t="s">
        <v>824</v>
      </c>
      <c r="L49" s="1427"/>
      <c r="O49" s="1428" t="s">
        <v>405</v>
      </c>
      <c r="P49" s="1419" t="s">
        <v>825</v>
      </c>
      <c r="Q49" s="1420">
        <f ca="1">C29</f>
        <v>4610</v>
      </c>
      <c r="R49" s="1420" t="s">
        <v>818</v>
      </c>
    </row>
    <row r="50" spans="1:18" s="1384" customFormat="1" ht="13.5" thickBot="1">
      <c r="A50" s="976"/>
      <c r="B50" s="979"/>
      <c r="C50" s="1118"/>
      <c r="D50" s="953"/>
      <c r="E50" s="1056" t="s">
        <v>697</v>
      </c>
      <c r="F50" s="1057">
        <f ca="1">F7</f>
        <v>6221.16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13605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28.02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28.02</v>
      </c>
      <c r="K53" s="3640" t="s">
        <v>837</v>
      </c>
      <c r="L53" s="3641"/>
      <c r="O53" s="1418" t="s">
        <v>409</v>
      </c>
      <c r="P53" s="1419" t="s">
        <v>838</v>
      </c>
      <c r="Q53" s="1420">
        <f ca="1">Q47+Q48</f>
        <v>19943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25.5" thickTop="1" thickBot="1">
      <c r="A56" s="957">
        <v>2</v>
      </c>
      <c r="B56" s="958" t="s">
        <v>704</v>
      </c>
      <c r="C56" s="232">
        <f ca="1">C13</f>
        <v>3642</v>
      </c>
      <c r="D56" s="1447"/>
      <c r="E56" s="1448"/>
      <c r="F56" s="1440"/>
      <c r="I56" s="1449" t="s">
        <v>842</v>
      </c>
      <c r="J56" s="1450" t="s">
        <v>3422</v>
      </c>
      <c r="K56" s="1421" t="s">
        <v>843</v>
      </c>
      <c r="L56" s="1424" t="str">
        <f ca="1">IF(L48&lt;J51,"——",L48-J53)</f>
        <v>——</v>
      </c>
      <c r="O56" s="1418" t="s">
        <v>403</v>
      </c>
      <c r="P56" s="1419" t="s">
        <v>817</v>
      </c>
      <c r="Q56" s="1420">
        <f ca="1">C40+J29</f>
        <v>19700</v>
      </c>
      <c r="R56" s="1420" t="s">
        <v>818</v>
      </c>
    </row>
    <row r="57" spans="1:18" s="1384" customFormat="1" ht="24.75" thickBot="1">
      <c r="A57" s="1451"/>
      <c r="B57" s="950" t="s">
        <v>767</v>
      </c>
      <c r="C57" s="238">
        <f ca="1">C29</f>
        <v>4610</v>
      </c>
      <c r="D57" s="1452"/>
      <c r="E57" s="1453"/>
      <c r="F57" s="1454"/>
      <c r="I57" s="1455" t="s">
        <v>844</v>
      </c>
      <c r="J57" s="1456">
        <f ca="1">IF(OR(M47="住宅",J51&lt;L48,J56="是"),"——",J51-L48)</f>
        <v>11.98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1844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19700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23.05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5.46</v>
      </c>
      <c r="D65" s="964" t="s">
        <v>743</v>
      </c>
      <c r="E65" s="950" t="s">
        <v>744</v>
      </c>
      <c r="F65" s="330">
        <f t="shared" ca="1" si="0"/>
        <v>1.5E-3</v>
      </c>
      <c r="I65" s="1462" t="s">
        <v>867</v>
      </c>
      <c r="J65" s="1463">
        <v>40</v>
      </c>
      <c r="K65" s="1463">
        <v>30</v>
      </c>
      <c r="L65" s="1463">
        <v>50</v>
      </c>
      <c r="M65" s="1465">
        <v>0.02</v>
      </c>
      <c r="O65" s="1418" t="s">
        <v>403</v>
      </c>
      <c r="P65" s="1419" t="s">
        <v>868</v>
      </c>
      <c r="Q65" s="1420">
        <f ca="1">C40+J29</f>
        <v>19700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-29</v>
      </c>
      <c r="D67" s="963" t="s">
        <v>753</v>
      </c>
      <c r="E67" s="968"/>
      <c r="F67" s="969"/>
      <c r="O67" s="1428" t="s">
        <v>405</v>
      </c>
      <c r="P67" s="1419" t="s">
        <v>850</v>
      </c>
      <c r="Q67" s="1466">
        <f ca="1">L51</f>
        <v>13605</v>
      </c>
      <c r="R67" s="1420" t="s">
        <v>870</v>
      </c>
    </row>
    <row r="68" spans="1:18" s="1384" customFormat="1" ht="16.5" thickBot="1">
      <c r="A68" s="947" t="s">
        <v>395</v>
      </c>
      <c r="B68" s="948" t="s">
        <v>774</v>
      </c>
      <c r="C68" s="301">
        <f ca="1">ROUND(C67*(1-((1+F70)/(1+F68))^F69)/(F68-F70),0)</f>
        <v>-410</v>
      </c>
      <c r="D68" s="965" t="s">
        <v>758</v>
      </c>
      <c r="E68" s="950" t="s">
        <v>759</v>
      </c>
      <c r="F68" s="312">
        <f ca="1">F40</f>
        <v>5.5E-2</v>
      </c>
      <c r="O68" s="1428" t="s">
        <v>406</v>
      </c>
      <c r="P68" s="1467" t="s">
        <v>871</v>
      </c>
      <c r="Q68" s="1420">
        <f ca="1">ROUND(Q69-Q70*Q71,0)</f>
        <v>793</v>
      </c>
      <c r="R68" s="1420" t="s">
        <v>414</v>
      </c>
    </row>
    <row r="69" spans="1:18" s="1384" customFormat="1" ht="13.5" thickBot="1">
      <c r="A69" s="951"/>
      <c r="B69" s="952"/>
      <c r="C69" s="306"/>
      <c r="D69" s="970" t="s">
        <v>762</v>
      </c>
      <c r="E69" s="950" t="s">
        <v>763</v>
      </c>
      <c r="F69" s="333">
        <f ca="1">F41</f>
        <v>28.02</v>
      </c>
      <c r="O69" s="1428" t="s">
        <v>411</v>
      </c>
      <c r="P69" s="1467" t="s">
        <v>872</v>
      </c>
      <c r="Q69" s="1420">
        <f ca="1">C39</f>
        <v>1066</v>
      </c>
      <c r="R69" s="1420" t="s">
        <v>818</v>
      </c>
    </row>
    <row r="70" spans="1:18" s="1384" customFormat="1" ht="13.5" thickBot="1">
      <c r="A70" s="954"/>
      <c r="B70" s="955"/>
      <c r="C70" s="310"/>
      <c r="D70" s="966"/>
      <c r="E70" s="950" t="s">
        <v>766</v>
      </c>
      <c r="F70" s="1054"/>
      <c r="O70" s="1428" t="s">
        <v>412</v>
      </c>
      <c r="P70" s="1467" t="s">
        <v>873</v>
      </c>
      <c r="Q70" s="1420">
        <f ca="1">C13</f>
        <v>3642</v>
      </c>
      <c r="R70" s="1420" t="s">
        <v>818</v>
      </c>
    </row>
    <row r="71" spans="1:18" s="1384" customFormat="1" ht="13.5" thickBot="1">
      <c r="A71" s="971" t="s">
        <v>396</v>
      </c>
      <c r="B71" s="972" t="s">
        <v>776</v>
      </c>
      <c r="C71" s="336">
        <f ca="1">ROUND(C68*10000/F71,0)</f>
        <v>-659</v>
      </c>
      <c r="D71" s="973" t="s">
        <v>777</v>
      </c>
      <c r="E71" s="974" t="s">
        <v>778</v>
      </c>
      <c r="F71" s="339">
        <f ca="1">F43</f>
        <v>6221.16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273</v>
      </c>
      <c r="D75" s="1384"/>
      <c r="E75" s="1384"/>
      <c r="F75" s="1384"/>
      <c r="K75" s="1402"/>
      <c r="L75" s="1384"/>
      <c r="O75" s="1418" t="s">
        <v>409</v>
      </c>
      <c r="P75" s="1419" t="s">
        <v>838</v>
      </c>
      <c r="Q75" s="1420">
        <f ca="1">Q65+Q66</f>
        <v>19700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0.74399999999999999</v>
      </c>
    </row>
    <row r="80" spans="1:18">
      <c r="B80" s="340" t="s">
        <v>800</v>
      </c>
      <c r="C80" s="274">
        <f ca="1">ROUND(C75/C39,3)</f>
        <v>0.25600000000000001</v>
      </c>
    </row>
    <row r="81" spans="2:3">
      <c r="B81" s="270" t="s">
        <v>801</v>
      </c>
      <c r="C81" s="238"/>
    </row>
    <row r="82" spans="2:3">
      <c r="B82" s="273" t="s">
        <v>802</v>
      </c>
      <c r="C82" s="275">
        <f ca="1">1-C83</f>
        <v>0.81499999999999995</v>
      </c>
    </row>
    <row r="83" spans="2:3">
      <c r="B83" s="273" t="s">
        <v>803</v>
      </c>
      <c r="C83" s="274">
        <f ca="1">ROUND(C13/C40,3)</f>
        <v>0.185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2106</v>
      </c>
      <c r="E6" s="302" t="s">
        <v>696</v>
      </c>
      <c r="F6" s="303">
        <f ca="1">INDIRECT("'数据-取费表'!u"&amp;$G$1)</f>
        <v>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5" t="s">
        <v>2321</v>
      </c>
      <c r="K2" s="3646"/>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7" t="s">
        <v>2331</v>
      </c>
      <c r="K3" s="3648"/>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7" t="s">
        <v>2333</v>
      </c>
      <c r="K4" s="3648"/>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9" t="s">
        <v>2337</v>
      </c>
      <c r="B6" s="3650"/>
      <c r="C6" s="3651"/>
      <c r="D6" s="2870"/>
      <c r="E6" s="2871"/>
      <c r="F6" s="2872"/>
      <c r="G6" s="2873"/>
      <c r="H6" s="2848"/>
      <c r="I6" s="2849"/>
      <c r="J6" s="3652">
        <v>1</v>
      </c>
      <c r="K6" s="365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2"/>
      <c r="K7" s="365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6" t="s">
        <v>2351</v>
      </c>
      <c r="C8" s="3657"/>
      <c r="D8" s="2889" t="s">
        <v>2352</v>
      </c>
      <c r="E8" s="2890" t="s">
        <v>2353</v>
      </c>
      <c r="F8" s="2891" t="s">
        <v>2354</v>
      </c>
      <c r="G8" s="2892"/>
      <c r="H8" s="2848"/>
      <c r="I8" s="2849"/>
      <c r="J8" s="3652"/>
      <c r="K8" s="365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6" t="s">
        <v>2357</v>
      </c>
      <c r="C9" s="3657"/>
      <c r="D9" s="2889">
        <f>ROUND(D6*E9,0)</f>
        <v>0</v>
      </c>
      <c r="E9" s="2893"/>
      <c r="F9" s="2894" t="s">
        <v>2358</v>
      </c>
      <c r="G9" s="2873"/>
      <c r="H9" s="2848"/>
      <c r="I9" s="2849"/>
      <c r="J9" s="3652"/>
      <c r="K9" s="3654"/>
      <c r="L9" s="2883" t="s">
        <v>2359</v>
      </c>
      <c r="M9" s="2884"/>
      <c r="N9" s="2860"/>
      <c r="O9" s="2885"/>
      <c r="P9" s="2885"/>
      <c r="Q9" s="2886">
        <v>365</v>
      </c>
      <c r="R9" s="2887">
        <f t="shared" si="0"/>
        <v>0</v>
      </c>
      <c r="S9" s="2841"/>
      <c r="T9" s="2841"/>
      <c r="U9" s="2841"/>
      <c r="V9" s="2849"/>
    </row>
    <row r="10" spans="1:22" s="2853" customFormat="1" ht="13.15" customHeight="1">
      <c r="A10" s="2888">
        <v>2</v>
      </c>
      <c r="B10" s="3656" t="s">
        <v>2360</v>
      </c>
      <c r="C10" s="3657"/>
      <c r="D10" s="2889">
        <f>ROUND(D6*E10,0)</f>
        <v>0</v>
      </c>
      <c r="E10" s="2893"/>
      <c r="F10" s="2894" t="s">
        <v>2361</v>
      </c>
      <c r="G10" s="2873"/>
      <c r="H10" s="2848"/>
      <c r="I10" s="2849"/>
      <c r="J10" s="3652"/>
      <c r="K10" s="3654"/>
      <c r="L10" s="2883" t="s">
        <v>2362</v>
      </c>
      <c r="M10" s="2884"/>
      <c r="N10" s="2860"/>
      <c r="O10" s="2885"/>
      <c r="P10" s="2885"/>
      <c r="Q10" s="2886">
        <v>365</v>
      </c>
      <c r="R10" s="2887">
        <f t="shared" si="0"/>
        <v>0</v>
      </c>
      <c r="S10" s="2841"/>
      <c r="T10" s="2841"/>
      <c r="U10" s="2841"/>
      <c r="V10" s="2849"/>
    </row>
    <row r="11" spans="1:22" s="2853" customFormat="1" ht="13.15" customHeight="1">
      <c r="A11" s="2888">
        <v>3</v>
      </c>
      <c r="B11" s="3656" t="s">
        <v>2363</v>
      </c>
      <c r="C11" s="3657"/>
      <c r="D11" s="2889">
        <f>D12+D14+D15+D16</f>
        <v>0</v>
      </c>
      <c r="E11" s="2895" t="e">
        <f>D11/D6</f>
        <v>#DIV/0!</v>
      </c>
      <c r="F11" s="2891"/>
      <c r="G11" s="2892"/>
      <c r="H11" s="2848"/>
      <c r="I11" s="2849"/>
      <c r="J11" s="3652"/>
      <c r="K11" s="365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8" t="s">
        <v>2366</v>
      </c>
      <c r="C12" s="3659"/>
      <c r="D12" s="2897">
        <f>ROUND(D13*1.2%*(1-30%),0)</f>
        <v>0</v>
      </c>
      <c r="E12" s="2898">
        <v>1.2E-2</v>
      </c>
      <c r="F12" s="2891" t="s">
        <v>2367</v>
      </c>
      <c r="G12" s="2892"/>
      <c r="H12" s="2848"/>
      <c r="I12" s="2849"/>
      <c r="J12" s="3652"/>
      <c r="K12" s="365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2"/>
      <c r="K13" s="365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8" t="s">
        <v>2372</v>
      </c>
      <c r="C14" s="3659"/>
      <c r="D14" s="2897">
        <f>ROUND(E14*B5/10000,0)</f>
        <v>0</v>
      </c>
      <c r="E14" s="2886"/>
      <c r="F14" s="2891" t="s">
        <v>2373</v>
      </c>
      <c r="G14" s="2892"/>
      <c r="H14" s="2848"/>
      <c r="I14" s="2849"/>
      <c r="J14" s="3652"/>
      <c r="K14" s="365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8" t="s">
        <v>2376</v>
      </c>
      <c r="C15" s="3659"/>
      <c r="D15" s="2897">
        <f>ROUND(D6*E15,0)</f>
        <v>0</v>
      </c>
      <c r="E15" s="2898">
        <v>5.5E-2</v>
      </c>
      <c r="F15" s="2891" t="s">
        <v>2377</v>
      </c>
      <c r="G15" s="2873"/>
      <c r="H15" s="2848"/>
      <c r="I15" s="2849"/>
      <c r="J15" s="3652">
        <v>2</v>
      </c>
      <c r="K15" s="365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8" t="s">
        <v>2385</v>
      </c>
      <c r="C16" s="3659"/>
      <c r="D16" s="2908">
        <f>D6*E16</f>
        <v>0</v>
      </c>
      <c r="E16" s="2909"/>
      <c r="F16" s="2894" t="s">
        <v>2386</v>
      </c>
      <c r="G16" s="2873"/>
      <c r="H16" s="2848"/>
      <c r="I16" s="2849"/>
      <c r="J16" s="3652"/>
      <c r="K16" s="365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0" t="s">
        <v>2388</v>
      </c>
      <c r="C17" s="3661"/>
      <c r="D17" s="2911">
        <f>ROUND(D6*E17,0)</f>
        <v>0</v>
      </c>
      <c r="E17" s="2912"/>
      <c r="F17" s="2913" t="s">
        <v>2389</v>
      </c>
      <c r="G17" s="2873"/>
      <c r="H17" s="2848"/>
      <c r="I17" s="2849"/>
      <c r="J17" s="3652"/>
      <c r="K17" s="365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2"/>
      <c r="K18" s="365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2"/>
      <c r="K19" s="365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2">
        <v>3</v>
      </c>
      <c r="K20" s="365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2"/>
      <c r="K21" s="365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2"/>
      <c r="K22" s="365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2"/>
      <c r="K23" s="365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2"/>
      <c r="K24" s="365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2">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5" t="s">
        <v>2321</v>
      </c>
      <c r="K32" s="3646"/>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7" t="s">
        <v>2331</v>
      </c>
      <c r="K33" s="3648"/>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7" t="s">
        <v>2333</v>
      </c>
      <c r="K34" s="364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2">
        <v>1</v>
      </c>
      <c r="K36" s="365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2"/>
      <c r="K37" s="365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2"/>
      <c r="K38" s="365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2"/>
      <c r="K39" s="365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2"/>
      <c r="K40" s="365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19943</v>
      </c>
      <c r="C2" s="1872" t="s">
        <v>1651</v>
      </c>
      <c r="D2" s="1873" t="s">
        <v>1652</v>
      </c>
      <c r="E2" s="2607">
        <f>SUM(E6:E13)</f>
        <v>6221.16</v>
      </c>
      <c r="F2" s="2707"/>
      <c r="G2" s="1489"/>
      <c r="H2" s="1489"/>
      <c r="I2" s="1489"/>
      <c r="J2" s="1489"/>
      <c r="K2" s="1489"/>
      <c r="L2" s="1489"/>
      <c r="M2" s="1489"/>
      <c r="N2" s="1489"/>
      <c r="O2" s="1489"/>
      <c r="P2" s="1489"/>
      <c r="Q2" s="1489"/>
      <c r="R2" s="1489"/>
      <c r="S2" s="1489"/>
    </row>
    <row r="3" spans="1:22" ht="15.75">
      <c r="A3" s="1870" t="s">
        <v>686</v>
      </c>
      <c r="B3" s="2601">
        <f ca="1">ROUND(B2*10000/E2,0)</f>
        <v>32057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19943</v>
      </c>
      <c r="C6" s="1872" t="s">
        <v>1651</v>
      </c>
      <c r="D6" s="2709"/>
      <c r="E6" s="2606">
        <f>IF(OR(A6=0,F6="否"),0,'数据-取费表'!K6+'数据-取费表'!S6)</f>
        <v>6221.16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6221.16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71" t="s">
        <v>1668</v>
      </c>
      <c r="S4" s="3672"/>
      <c r="T4" s="3671" t="s">
        <v>1669</v>
      </c>
      <c r="U4" s="3672"/>
      <c r="V4" s="3696" t="s">
        <v>1670</v>
      </c>
      <c r="W4" s="3696"/>
      <c r="X4" s="1355"/>
      <c r="Y4" s="3671" t="s">
        <v>1672</v>
      </c>
      <c r="Z4" s="3672"/>
      <c r="AA4" s="3666" t="s">
        <v>1668</v>
      </c>
      <c r="AB4" s="3666" t="s">
        <v>1669</v>
      </c>
      <c r="AC4" s="3666" t="s">
        <v>1670</v>
      </c>
    </row>
    <row r="5" spans="1:29" ht="15">
      <c r="A5" s="358"/>
      <c r="B5" s="359"/>
      <c r="C5" s="3677" t="s">
        <v>1673</v>
      </c>
      <c r="D5" s="3678"/>
      <c r="E5" s="3675" t="s">
        <v>1674</v>
      </c>
      <c r="F5" s="3676"/>
      <c r="G5" s="3677" t="s">
        <v>1675</v>
      </c>
      <c r="H5" s="3678"/>
      <c r="I5" s="3677" t="s">
        <v>1676</v>
      </c>
      <c r="J5" s="3678"/>
      <c r="K5" s="1890"/>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1890"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9" t="s">
        <v>1680</v>
      </c>
      <c r="Q7" s="3697"/>
      <c r="R7" s="701" t="s">
        <v>20</v>
      </c>
      <c r="S7" s="702">
        <f t="shared" ref="S7:S15" si="0">F7</f>
        <v>0</v>
      </c>
      <c r="T7" s="701" t="s">
        <v>20</v>
      </c>
      <c r="U7" s="702">
        <f t="shared" ref="U7:U15" si="1">H7</f>
        <v>0</v>
      </c>
      <c r="V7" s="701" t="s">
        <v>20</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1691</v>
      </c>
      <c r="Q15" s="1352" t="str">
        <f t="shared" si="6"/>
        <v>居住社区成熟度</v>
      </c>
      <c r="R15" s="705" t="s">
        <v>18</v>
      </c>
      <c r="S15" s="706">
        <f t="shared" si="0"/>
        <v>100</v>
      </c>
      <c r="T15" s="705" t="s">
        <v>18</v>
      </c>
      <c r="U15" s="706">
        <f t="shared" si="1"/>
        <v>100</v>
      </c>
      <c r="V15" s="705" t="s">
        <v>18</v>
      </c>
      <c r="W15" s="706">
        <f t="shared" si="2"/>
        <v>100</v>
      </c>
      <c r="X15" s="1355"/>
      <c r="Y15" s="370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1696</v>
      </c>
      <c r="Q32" s="1352" t="str">
        <f t="shared" si="11"/>
        <v>建筑类型</v>
      </c>
      <c r="R32" s="705" t="s">
        <v>18</v>
      </c>
      <c r="S32" s="706">
        <f t="shared" si="12"/>
        <v>100</v>
      </c>
      <c r="T32" s="705" t="s">
        <v>18</v>
      </c>
      <c r="U32" s="706">
        <f t="shared" si="13"/>
        <v>100</v>
      </c>
      <c r="V32" s="705" t="s">
        <v>18</v>
      </c>
      <c r="W32" s="706">
        <f t="shared" si="14"/>
        <v>100</v>
      </c>
      <c r="X32" s="1355"/>
      <c r="Y32" s="370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1696</v>
      </c>
      <c r="Q38" s="1352" t="str">
        <f t="shared" si="11"/>
        <v>物业管理</v>
      </c>
      <c r="R38" s="705" t="s">
        <v>18</v>
      </c>
      <c r="S38" s="706">
        <f t="shared" si="12"/>
        <v>100</v>
      </c>
      <c r="T38" s="705" t="s">
        <v>18</v>
      </c>
      <c r="U38" s="706">
        <f t="shared" si="13"/>
        <v>100</v>
      </c>
      <c r="V38" s="705" t="s">
        <v>18</v>
      </c>
      <c r="W38" s="706">
        <f t="shared" si="14"/>
        <v>100</v>
      </c>
      <c r="X38" s="1355"/>
      <c r="Y38" s="370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6221.16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96"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96"/>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96"/>
      <c r="AC6" s="3668"/>
    </row>
    <row r="7" spans="1:29" s="108" customFormat="1" ht="15.75" thickBot="1">
      <c r="A7" s="362" t="s">
        <v>1679</v>
      </c>
      <c r="B7" s="363"/>
      <c r="C7" s="364">
        <f>'数据-取费表'!B2</f>
        <v>45475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1691</v>
      </c>
      <c r="Q15" s="1352" t="str">
        <f t="shared" si="6"/>
        <v>商业繁华度</v>
      </c>
      <c r="R15" s="705" t="s">
        <v>14</v>
      </c>
      <c r="S15" s="706">
        <f t="shared" si="0"/>
        <v>100</v>
      </c>
      <c r="T15" s="705" t="s">
        <v>14</v>
      </c>
      <c r="U15" s="706">
        <f t="shared" si="1"/>
        <v>100</v>
      </c>
      <c r="V15" s="705" t="s">
        <v>14</v>
      </c>
      <c r="W15" s="706">
        <f t="shared" si="2"/>
        <v>100</v>
      </c>
      <c r="X15" s="1355"/>
      <c r="Y15" s="37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1696</v>
      </c>
      <c r="Q32" s="1352" t="str">
        <f t="shared" si="11"/>
        <v>商业类型</v>
      </c>
      <c r="R32" s="705" t="s">
        <v>14</v>
      </c>
      <c r="S32" s="706">
        <f t="shared" si="12"/>
        <v>100</v>
      </c>
      <c r="T32" s="705" t="s">
        <v>14</v>
      </c>
      <c r="U32" s="706">
        <f t="shared" si="13"/>
        <v>100</v>
      </c>
      <c r="V32" s="705" t="s">
        <v>14</v>
      </c>
      <c r="W32" s="706">
        <f t="shared" si="14"/>
        <v>100</v>
      </c>
      <c r="X32" s="1355"/>
      <c r="Y32" s="370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1696</v>
      </c>
      <c r="Q38" s="1352" t="str">
        <f t="shared" si="11"/>
        <v>业态</v>
      </c>
      <c r="R38" s="705" t="s">
        <v>14</v>
      </c>
      <c r="S38" s="706">
        <f t="shared" si="12"/>
        <v>100</v>
      </c>
      <c r="T38" s="705" t="s">
        <v>14</v>
      </c>
      <c r="U38" s="706">
        <f t="shared" si="13"/>
        <v>100</v>
      </c>
      <c r="V38" s="705" t="s">
        <v>14</v>
      </c>
      <c r="W38" s="706">
        <f t="shared" si="14"/>
        <v>100</v>
      </c>
      <c r="X38" s="1355"/>
      <c r="Y38" s="370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6221.16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13" t="s">
        <v>1771</v>
      </c>
      <c r="S4" s="3714"/>
      <c r="T4" s="3713" t="s">
        <v>1772</v>
      </c>
      <c r="U4" s="3714"/>
      <c r="V4" s="3722" t="s">
        <v>1773</v>
      </c>
      <c r="W4" s="3722"/>
      <c r="X4" s="1958"/>
      <c r="Y4" s="3713" t="s">
        <v>1775</v>
      </c>
      <c r="Z4" s="3714"/>
      <c r="AA4" s="3712" t="s">
        <v>1771</v>
      </c>
      <c r="AB4" s="3712" t="s">
        <v>1772</v>
      </c>
      <c r="AC4" s="3715" t="s">
        <v>1773</v>
      </c>
    </row>
    <row r="5" spans="1:29" ht="15">
      <c r="A5" s="358"/>
      <c r="B5" s="359"/>
      <c r="C5" s="3677" t="s">
        <v>1673</v>
      </c>
      <c r="D5" s="3678"/>
      <c r="E5" s="3675" t="s">
        <v>1674</v>
      </c>
      <c r="F5" s="3676"/>
      <c r="G5" s="3677" t="s">
        <v>1675</v>
      </c>
      <c r="H5" s="3678"/>
      <c r="I5" s="3677" t="s">
        <v>1676</v>
      </c>
      <c r="J5" s="3678"/>
      <c r="K5" s="559"/>
      <c r="L5" s="2715"/>
      <c r="M5" s="2716"/>
      <c r="N5" s="2716"/>
      <c r="O5" s="2716"/>
      <c r="P5" s="3720"/>
      <c r="Q5" s="3691"/>
      <c r="R5" s="3673"/>
      <c r="S5" s="3674"/>
      <c r="T5" s="3673"/>
      <c r="U5" s="3674"/>
      <c r="V5" s="3696"/>
      <c r="W5" s="3696"/>
      <c r="X5" s="1355"/>
      <c r="Y5" s="3673"/>
      <c r="Z5" s="3674"/>
      <c r="AA5" s="3667"/>
      <c r="AB5" s="3667"/>
      <c r="AC5" s="3716"/>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721"/>
      <c r="Q6" s="3693"/>
      <c r="R6" s="3673"/>
      <c r="S6" s="3674"/>
      <c r="T6" s="3694"/>
      <c r="U6" s="3695"/>
      <c r="V6" s="3696"/>
      <c r="W6" s="3696"/>
      <c r="X6" s="1355"/>
      <c r="Y6" s="3694"/>
      <c r="Z6" s="3695"/>
      <c r="AA6" s="3668"/>
      <c r="AB6" s="3668"/>
      <c r="AC6" s="3717"/>
    </row>
    <row r="7" spans="1:29" s="108" customFormat="1" ht="15.75" thickBot="1">
      <c r="A7" s="362" t="s">
        <v>1679</v>
      </c>
      <c r="B7" s="363"/>
      <c r="C7" s="364">
        <f>'数据-取费表'!B2</f>
        <v>45475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3"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3"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0" t="s">
        <v>1691</v>
      </c>
      <c r="Q15" s="1352" t="str">
        <f t="shared" si="6"/>
        <v>办公集聚程度</v>
      </c>
      <c r="R15" s="705" t="s">
        <v>14</v>
      </c>
      <c r="S15" s="706">
        <f t="shared" si="0"/>
        <v>100</v>
      </c>
      <c r="T15" s="705" t="s">
        <v>14</v>
      </c>
      <c r="U15" s="706">
        <f t="shared" si="1"/>
        <v>100</v>
      </c>
      <c r="V15" s="705" t="s">
        <v>14</v>
      </c>
      <c r="W15" s="706">
        <f t="shared" si="2"/>
        <v>100</v>
      </c>
      <c r="X15" s="1355"/>
      <c r="Y15" s="370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5" t="s">
        <v>1696</v>
      </c>
      <c r="Q33" s="1352" t="str">
        <f t="shared" si="11"/>
        <v>建筑类型</v>
      </c>
      <c r="R33" s="705" t="s">
        <v>14</v>
      </c>
      <c r="S33" s="706">
        <f t="shared" si="12"/>
        <v>100</v>
      </c>
      <c r="T33" s="705" t="s">
        <v>14</v>
      </c>
      <c r="U33" s="706">
        <f t="shared" si="13"/>
        <v>100</v>
      </c>
      <c r="V33" s="705" t="s">
        <v>14</v>
      </c>
      <c r="W33" s="706">
        <f t="shared" si="14"/>
        <v>100</v>
      </c>
      <c r="X33" s="1355"/>
      <c r="Y33" s="370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1696</v>
      </c>
      <c r="Q39" s="1352" t="str">
        <f t="shared" si="11"/>
        <v>物业管理</v>
      </c>
      <c r="R39" s="705" t="s">
        <v>14</v>
      </c>
      <c r="S39" s="706">
        <f t="shared" si="12"/>
        <v>100</v>
      </c>
      <c r="T39" s="705" t="s">
        <v>14</v>
      </c>
      <c r="U39" s="706">
        <f t="shared" si="13"/>
        <v>100</v>
      </c>
      <c r="V39" s="705" t="s">
        <v>14</v>
      </c>
      <c r="W39" s="706">
        <f t="shared" si="14"/>
        <v>100</v>
      </c>
      <c r="X39" s="1355"/>
      <c r="Y39" s="370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6221.16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913"/>
      <c r="M5" s="914"/>
      <c r="N5" s="914"/>
      <c r="O5" s="914"/>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913"/>
      <c r="M6" s="914"/>
      <c r="N6" s="914"/>
      <c r="O6" s="914"/>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45475</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1683</v>
      </c>
      <c r="Q8" s="3670"/>
      <c r="R8" s="701" t="s">
        <v>14</v>
      </c>
      <c r="S8" s="702">
        <f t="shared" si="0"/>
        <v>100</v>
      </c>
      <c r="T8" s="701" t="s">
        <v>14</v>
      </c>
      <c r="U8" s="702">
        <f t="shared" si="1"/>
        <v>100</v>
      </c>
      <c r="V8" s="701" t="s">
        <v>14</v>
      </c>
      <c r="W8" s="702">
        <f t="shared" si="2"/>
        <v>100</v>
      </c>
      <c r="X8" s="703"/>
      <c r="Y8" s="3669" t="s">
        <v>1683</v>
      </c>
      <c r="Z8" s="367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70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2" t="str">
        <f t="shared" si="11"/>
        <v>市政基础设施</v>
      </c>
      <c r="R35" s="705" t="s">
        <v>14</v>
      </c>
      <c r="S35" s="706">
        <f t="shared" si="12"/>
        <v>100</v>
      </c>
      <c r="T35" s="705" t="s">
        <v>14</v>
      </c>
      <c r="U35" s="706">
        <f t="shared" si="13"/>
        <v>100</v>
      </c>
      <c r="V35" s="705" t="s">
        <v>14</v>
      </c>
      <c r="W35" s="706">
        <f t="shared" si="14"/>
        <v>100</v>
      </c>
      <c r="X35" s="1355"/>
      <c r="Y35" s="370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45475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1696</v>
      </c>
      <c r="Q32" s="1352" t="str">
        <f t="shared" si="11"/>
        <v>车位类型</v>
      </c>
      <c r="R32" s="705" t="s">
        <v>14</v>
      </c>
      <c r="S32" s="706">
        <f t="shared" si="12"/>
        <v>100</v>
      </c>
      <c r="T32" s="705" t="s">
        <v>14</v>
      </c>
      <c r="U32" s="706">
        <f t="shared" si="13"/>
        <v>100</v>
      </c>
      <c r="V32" s="705" t="s">
        <v>14</v>
      </c>
      <c r="W32" s="706">
        <f t="shared" si="14"/>
        <v>100</v>
      </c>
      <c r="X32" s="1355"/>
      <c r="Y32" s="370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45475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1696</v>
      </c>
      <c r="Q32" s="1352">
        <f t="shared" si="11"/>
        <v>111</v>
      </c>
      <c r="R32" s="705" t="s">
        <v>14</v>
      </c>
      <c r="S32" s="706">
        <f t="shared" si="12"/>
        <v>100</v>
      </c>
      <c r="T32" s="705" t="s">
        <v>14</v>
      </c>
      <c r="U32" s="706">
        <f t="shared" si="13"/>
        <v>100</v>
      </c>
      <c r="V32" s="705" t="s">
        <v>14</v>
      </c>
      <c r="W32" s="706">
        <f t="shared" si="14"/>
        <v>100</v>
      </c>
      <c r="X32" s="1355"/>
      <c r="Y32" s="370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30"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30"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30" s="108" customFormat="1" ht="15.75" thickBot="1">
      <c r="A7" s="362" t="s">
        <v>1679</v>
      </c>
      <c r="B7" s="363"/>
      <c r="C7" s="364">
        <f>'数据-取费表'!B2</f>
        <v>45475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1"/>
      <c r="Q10" s="1343" t="str">
        <f t="shared" si="6"/>
        <v>土地使用年限（年）</v>
      </c>
      <c r="R10" s="701" t="s">
        <v>14</v>
      </c>
      <c r="S10" s="702">
        <f t="shared" si="0"/>
        <v>123</v>
      </c>
      <c r="T10" s="701" t="s">
        <v>14</v>
      </c>
      <c r="U10" s="702">
        <f t="shared" si="1"/>
        <v>123</v>
      </c>
      <c r="V10" s="701" t="s">
        <v>14</v>
      </c>
      <c r="W10" s="702">
        <f t="shared" si="2"/>
        <v>123</v>
      </c>
      <c r="X10" s="703"/>
      <c r="Y10" s="3615"/>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1691</v>
      </c>
      <c r="Q15" s="1352" t="str">
        <f t="shared" si="6"/>
        <v>居住社区成熟度</v>
      </c>
      <c r="R15" s="705" t="s">
        <v>14</v>
      </c>
      <c r="S15" s="706">
        <f t="shared" si="0"/>
        <v>100</v>
      </c>
      <c r="T15" s="705" t="s">
        <v>14</v>
      </c>
      <c r="U15" s="706">
        <f t="shared" si="1"/>
        <v>100</v>
      </c>
      <c r="V15" s="705" t="s">
        <v>14</v>
      </c>
      <c r="W15" s="706">
        <f t="shared" si="2"/>
        <v>100</v>
      </c>
      <c r="X15" s="1355"/>
      <c r="Y15" s="370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70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8" t="s">
        <v>1696</v>
      </c>
      <c r="Q42" s="1352" t="str">
        <f t="shared" si="14"/>
        <v>工程地质条件</v>
      </c>
      <c r="R42" s="705" t="s">
        <v>14</v>
      </c>
      <c r="S42" s="706">
        <f t="shared" si="10"/>
        <v>100</v>
      </c>
      <c r="T42" s="705" t="s">
        <v>14</v>
      </c>
      <c r="U42" s="706">
        <f t="shared" si="11"/>
        <v>100</v>
      </c>
      <c r="V42" s="705" t="s">
        <v>14</v>
      </c>
      <c r="W42" s="706">
        <f t="shared" si="12"/>
        <v>100</v>
      </c>
      <c r="X42" s="1355"/>
      <c r="Y42" s="370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6221.16</v>
      </c>
      <c r="F56" s="886" t="e">
        <f t="shared" ref="F56:F64" si="15">ROUND(B56*E56/10000,0)</f>
        <v>#DIV/0!</v>
      </c>
      <c r="G56" s="3683"/>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6221.16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45475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1"/>
      <c r="Q10" s="1343" t="str">
        <f t="shared" si="6"/>
        <v>土地使用年限（年）</v>
      </c>
      <c r="R10" s="701" t="s">
        <v>14</v>
      </c>
      <c r="S10" s="702">
        <f t="shared" si="0"/>
        <v>123</v>
      </c>
      <c r="T10" s="701" t="s">
        <v>14</v>
      </c>
      <c r="U10" s="702">
        <f t="shared" si="1"/>
        <v>123</v>
      </c>
      <c r="V10" s="701" t="s">
        <v>14</v>
      </c>
      <c r="W10" s="702">
        <f t="shared" si="2"/>
        <v>123</v>
      </c>
      <c r="X10" s="703"/>
      <c r="Y10" s="3615"/>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70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1696</v>
      </c>
      <c r="Q37" s="1352" t="str">
        <f t="shared" si="14"/>
        <v>工程地质条件</v>
      </c>
      <c r="R37" s="705" t="s">
        <v>14</v>
      </c>
      <c r="S37" s="706">
        <f t="shared" si="10"/>
        <v>100</v>
      </c>
      <c r="T37" s="705" t="s">
        <v>14</v>
      </c>
      <c r="U37" s="706">
        <f t="shared" si="11"/>
        <v>100</v>
      </c>
      <c r="V37" s="705" t="s">
        <v>14</v>
      </c>
      <c r="W37" s="706">
        <f t="shared" si="12"/>
        <v>100</v>
      </c>
      <c r="X37" s="1355"/>
      <c r="Y37" s="370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6221.16</v>
      </c>
      <c r="F51" s="639" t="e">
        <f t="shared" ref="F51:F60" si="15">ROUND(B51*E51/10000,0)</f>
        <v>#DIV/0!</v>
      </c>
      <c r="G51" s="3683"/>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15419</v>
      </c>
      <c r="C2" s="2145" t="s">
        <v>2074</v>
      </c>
      <c r="D2" s="2145" t="s">
        <v>2075</v>
      </c>
      <c r="E2" s="2612">
        <f ca="1">SUMIF(E6:E13,"&lt;&gt;#ref!",E6:E13)</f>
        <v>6221.16</v>
      </c>
      <c r="F2" s="2793"/>
      <c r="G2" s="2793"/>
      <c r="H2" s="2793"/>
      <c r="I2" s="2793"/>
      <c r="J2" s="2793"/>
      <c r="K2" s="2793"/>
      <c r="L2" s="2793"/>
      <c r="M2" s="2793"/>
      <c r="N2" s="2793"/>
      <c r="O2" s="2793"/>
      <c r="P2" s="2793"/>
    </row>
    <row r="3" spans="1:16" ht="15.75">
      <c r="A3" s="2145" t="s">
        <v>2076</v>
      </c>
      <c r="B3" s="2602">
        <f ca="1">ROUND(B2*10000/E2,0)</f>
        <v>24785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15419</v>
      </c>
      <c r="C6" s="2145" t="s">
        <v>2074</v>
      </c>
      <c r="D6" s="2793"/>
      <c r="E6" s="2612">
        <f ca="1">SUMIF(INDIRECT("'"&amp;A6&amp;"'"&amp;"!C:C"),"建筑面积",INDIRECT("'"&amp;A6&amp;"'"&amp;"!D:D"))</f>
        <v>6221.16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23" sqref="D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6221.16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15419</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Ⅱ—18</v>
      </c>
      <c r="J2" s="2002"/>
      <c r="K2" s="1119"/>
      <c r="L2" s="2003" t="s">
        <v>1939</v>
      </c>
      <c r="M2" s="864">
        <f>SUMPRODUCT((区片价!B10:B29=I2)*(区片价!C3:G3=E2)*(区片价!C10:G29))</f>
        <v>27770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37687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24785</v>
      </c>
      <c r="C3" s="1999" t="s">
        <v>1941</v>
      </c>
      <c r="D3" s="2000" t="s">
        <v>1942</v>
      </c>
      <c r="E3" s="3420" t="s">
        <v>3400</v>
      </c>
      <c r="F3" s="2004" t="s">
        <v>3401</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29920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25853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27753</v>
      </c>
      <c r="D5" s="1339">
        <f>ROUND(C6*C17+C20,0)</f>
        <v>27753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23394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22296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3.5</v>
      </c>
      <c r="AA7" s="1216"/>
      <c r="AB7" s="1216"/>
      <c r="AC7" s="1217"/>
      <c r="AD7" s="1218"/>
      <c r="AE7" s="1218"/>
      <c r="AF7" s="1218"/>
      <c r="AG7" s="1218"/>
      <c r="AH7" s="1218"/>
      <c r="AI7" s="1218"/>
      <c r="AJ7" s="1219"/>
    </row>
    <row r="8" spans="1:36" ht="25.5">
      <c r="A8" s="3299"/>
      <c r="B8" s="170" t="s">
        <v>1957</v>
      </c>
      <c r="C8" s="2026" t="s">
        <v>3402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3258</v>
      </c>
      <c r="B20" s="167" t="s">
        <v>1994</v>
      </c>
      <c r="C20" s="3325">
        <f>ROUND(IF(F21="与级别开发程度一致",0,(G21-E21)/C21),0)</f>
        <v>-17</v>
      </c>
      <c r="D20" s="3341" t="s">
        <v>1998</v>
      </c>
      <c r="E20" s="3342"/>
      <c r="F20" s="3759" t="s">
        <v>1995</v>
      </c>
      <c r="G20" s="3760"/>
      <c r="H20" s="3326" t="s">
        <v>3404</v>
      </c>
      <c r="I20" s="3326" t="s">
        <v>3405</v>
      </c>
      <c r="J20" s="3327" t="s">
        <v>3406</v>
      </c>
      <c r="K20" s="2047" t="s">
        <v>3407</v>
      </c>
      <c r="L20" s="2047" t="s">
        <v>3408</v>
      </c>
      <c r="M20" s="2047" t="s">
        <v>3409</v>
      </c>
      <c r="N20" s="2047" t="s">
        <v>3410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3403</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50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4" t="s">
        <v>2002</v>
      </c>
      <c r="E23" s="761">
        <v>44197</v>
      </c>
      <c r="F23" s="2054" t="s">
        <v>2003</v>
      </c>
      <c r="G23" s="762">
        <f>'数据-取费表'!B2</f>
        <v>45475</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0.83430000000000004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28.02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15419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24785</v>
      </c>
      <c r="D33" s="2098">
        <f>'数据-基础表'!I5</f>
        <v>6221.16</v>
      </c>
      <c r="E33" s="773">
        <f>ROUND(C33*D33/10000,0)</f>
        <v>15419</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6196</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17349</v>
      </c>
      <c r="D37" s="2098"/>
      <c r="E37" s="171">
        <f>ROUND(C37*D37/10000,0)</f>
        <v>0</v>
      </c>
      <c r="F37" s="171">
        <f>SUMIF(修正!A57:A68,G2,修正!B57:B68)</f>
        <v>0.7</v>
      </c>
      <c r="G37" s="171">
        <f>ROUND(IF(E2="工业",C37*$M$42,C37*$M$41),0)</f>
        <v>4337</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9914</v>
      </c>
      <c r="D38" s="2098"/>
      <c r="E38" s="171">
        <f t="shared" ref="E38:E42" si="4">ROUND(C38*D38/10000,0)</f>
        <v>0</v>
      </c>
      <c r="F38" s="171">
        <f>SUMIF(修正!A57:A68,G2,修正!C57:C68)</f>
        <v>0.4</v>
      </c>
      <c r="G38" s="171">
        <f>ROUND(IF(E2="工业",C38*$M$42,C38*$M$41),0)</f>
        <v>2479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3263</v>
      </c>
      <c r="C39" s="175">
        <f>ROUND(D5*C22*C23*C24*C28*F39,0)</f>
        <v>7435</v>
      </c>
      <c r="D39" s="2098"/>
      <c r="E39" s="171">
        <f t="shared" si="4"/>
        <v>0</v>
      </c>
      <c r="F39" s="171">
        <f>SUMIF(修正!A57:A68,G2,修正!D57:D68)</f>
        <v>0.3</v>
      </c>
      <c r="G39" s="171">
        <f>ROUND(IF(E2="工业",C39*$M$42,C39*$M$41),0)</f>
        <v>1859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7435</v>
      </c>
      <c r="D40" s="2098"/>
      <c r="E40" s="171">
        <f t="shared" si="4"/>
        <v>0</v>
      </c>
      <c r="F40" s="175">
        <f>SUMIF(修正!A57:A68,G2,修正!E57:E68)</f>
        <v>0.3</v>
      </c>
      <c r="G40" s="171">
        <f>ROUND(IF(E2="工业",C40*$M$42,C40*$M$41),0)</f>
        <v>1859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1.0443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3411</v>
      </c>
      <c r="D61" s="1065">
        <f t="shared" ref="D61:D69" si="12">SUMIF($J$60:$N$60,C61,J61:N61)</f>
        <v>1.18E-2</v>
      </c>
      <c r="E61" s="744">
        <f>ROUND(SUM(D61:D69),4)</f>
        <v>4.4299999999999999E-2</v>
      </c>
      <c r="F61" s="1814">
        <f>IF(E2="办公",SUMIF(L1:L12,G2,N1:N12),"——")</f>
        <v>9.5000000000000001E-2</v>
      </c>
      <c r="G61" s="1063">
        <f>H61</f>
        <v>1.18E-2</v>
      </c>
      <c r="H61" s="1066">
        <f t="shared" ref="H61:H69" si="13">IFERROR(ROUNDDOWN($F$61*I61/2,4),"——")</f>
        <v>1.18E-2</v>
      </c>
      <c r="I61" s="3367">
        <v>0.25</v>
      </c>
      <c r="J61" s="1064">
        <f t="shared" ref="J61:J69" si="14">K61+$G61</f>
        <v>2.3599999999999999E-2</v>
      </c>
      <c r="K61" s="1064">
        <f t="shared" ref="K61:K69" si="15">$L61+$G61</f>
        <v>1.18E-2</v>
      </c>
      <c r="L61" s="1064">
        <v>0</v>
      </c>
      <c r="M61" s="1064">
        <f t="shared" ref="M61:N69" si="16">L61-$G61</f>
        <v>-1.18E-2</v>
      </c>
      <c r="N61" s="1064">
        <f t="shared" si="16"/>
        <v>-2.3599999999999999E-2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1.23E-2</v>
      </c>
      <c r="E62" s="745"/>
      <c r="F62" s="1814"/>
      <c r="G62" s="1063">
        <f t="shared" ref="G62:G69" si="17">H62</f>
        <v>1.23E-2</v>
      </c>
      <c r="H62" s="1066">
        <f t="shared" si="13"/>
        <v>1.23E-2</v>
      </c>
      <c r="I62" s="3367">
        <v>0.26</v>
      </c>
      <c r="J62" s="1064">
        <f t="shared" si="14"/>
        <v>2.46E-2</v>
      </c>
      <c r="K62" s="1064">
        <f t="shared" si="15"/>
        <v>1.23E-2</v>
      </c>
      <c r="L62" s="1064">
        <v>0</v>
      </c>
      <c r="M62" s="1064">
        <f t="shared" si="16"/>
        <v>-1.23E-2</v>
      </c>
      <c r="N62" s="1064">
        <f t="shared" si="16"/>
        <v>-2.46E-2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3411</v>
      </c>
      <c r="D63" s="1065">
        <f t="shared" si="12"/>
        <v>5.1999999999999998E-3</v>
      </c>
      <c r="E63" s="745"/>
      <c r="F63" s="1814"/>
      <c r="G63" s="1063">
        <f t="shared" si="17"/>
        <v>5.1999999999999998E-3</v>
      </c>
      <c r="H63" s="1066">
        <f t="shared" si="13"/>
        <v>5.1999999999999998E-3</v>
      </c>
      <c r="I63" s="3367">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3412</v>
      </c>
      <c r="D64" s="1065">
        <f t="shared" si="12"/>
        <v>0</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3451" t="s">
        <v>3413</v>
      </c>
      <c r="D65" s="1065">
        <f t="shared" si="12"/>
        <v>-2.3E-3</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3411</v>
      </c>
      <c r="D66" s="1065">
        <f t="shared" si="12"/>
        <v>2.8E-3</v>
      </c>
      <c r="E66" s="745"/>
      <c r="F66" s="1814"/>
      <c r="G66" s="1063">
        <f t="shared" si="17"/>
        <v>2.8E-3</v>
      </c>
      <c r="H66" s="1066">
        <f t="shared" si="13"/>
        <v>2.8E-3</v>
      </c>
      <c r="I66" s="3367">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3411</v>
      </c>
      <c r="D67" s="1065">
        <f t="shared" si="12"/>
        <v>2.8E-3</v>
      </c>
      <c r="E67" s="745"/>
      <c r="F67" s="1814"/>
      <c r="G67" s="1063">
        <f t="shared" si="17"/>
        <v>2.8E-3</v>
      </c>
      <c r="H67" s="1066">
        <f t="shared" si="13"/>
        <v>2.8E-3</v>
      </c>
      <c r="I67" s="3367">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3414</v>
      </c>
      <c r="D68" s="1065">
        <f t="shared" si="12"/>
        <v>8.3999999999999995E-3</v>
      </c>
      <c r="E68" s="745"/>
      <c r="F68" s="1814"/>
      <c r="G68" s="1063">
        <f t="shared" si="17"/>
        <v>4.1999999999999997E-3</v>
      </c>
      <c r="H68" s="1066">
        <f t="shared" si="13"/>
        <v>4.1999999999999997E-3</v>
      </c>
      <c r="I68" s="3367">
        <v>0.09</v>
      </c>
      <c r="J68" s="1064">
        <f t="shared" si="14"/>
        <v>8.3999999999999995E-3</v>
      </c>
      <c r="K68" s="1064">
        <f t="shared" si="15"/>
        <v>4.1999999999999997E-3</v>
      </c>
      <c r="L68" s="1064">
        <v>0</v>
      </c>
      <c r="M68" s="1064">
        <f t="shared" si="16"/>
        <v>-4.1999999999999997E-3</v>
      </c>
      <c r="N68" s="1064">
        <f t="shared" si="16"/>
        <v>-8.3999999999999995E-3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3411</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5" t="s">
        <v>3298</v>
      </c>
      <c r="B103" s="3755"/>
      <c r="C103" s="3755"/>
      <c r="D103" s="3755"/>
      <c r="E103" s="3755"/>
      <c r="F103" s="3755"/>
      <c r="G103" s="3755"/>
      <c r="H103" s="3755"/>
      <c r="I103" s="3755"/>
      <c r="J103" s="3755"/>
      <c r="K103" s="3390"/>
      <c r="L103" s="3390"/>
      <c r="M103" s="3390"/>
      <c r="N103" s="3390"/>
    </row>
    <row r="104" spans="1:14">
      <c r="A104" s="3756" t="s">
        <v>3299</v>
      </c>
      <c r="B104" s="3756" t="s">
        <v>3300</v>
      </c>
      <c r="C104" s="3391" t="s">
        <v>3301</v>
      </c>
      <c r="D104" s="3392"/>
      <c r="E104" s="3392"/>
      <c r="F104" s="3392"/>
      <c r="G104" s="3392"/>
      <c r="H104" s="3392"/>
      <c r="I104" s="3392"/>
      <c r="J104" s="3393"/>
      <c r="K104" s="3394"/>
      <c r="L104" s="3394"/>
      <c r="M104" s="3394"/>
      <c r="N104" s="3394"/>
    </row>
    <row r="105" spans="1:14">
      <c r="A105" s="3756"/>
      <c r="B105" s="3756"/>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2"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5" t="s">
        <v>3315</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3.5</v>
      </c>
      <c r="C116" s="3400" t="s">
        <v>3317</v>
      </c>
      <c r="D116" s="3401">
        <f>SUMPRODUCT((A118:A122=F116)*(B117:M117=H116)*B118:M122)</f>
        <v>0.95379999999999998</v>
      </c>
      <c r="E116" s="2000" t="s">
        <v>3318</v>
      </c>
      <c r="F116" s="3402" t="str">
        <f>E2</f>
        <v>办公</v>
      </c>
      <c r="G116" s="2000" t="s">
        <v>3319</v>
      </c>
      <c r="H116" s="3402" t="str">
        <f>G2</f>
        <v>二级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3333</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3334</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3335</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2616</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8" t="s">
        <v>2611</v>
      </c>
      <c r="B20" s="3761" t="s">
        <v>2632</v>
      </c>
      <c r="C20" s="3103" t="s">
        <v>2443</v>
      </c>
      <c r="D20" s="3104"/>
      <c r="E20" s="3105">
        <v>1</v>
      </c>
      <c r="F20" s="3106" t="s">
        <v>2444</v>
      </c>
      <c r="G20" s="3106"/>
    </row>
    <row r="21" spans="1:13" ht="19.5" customHeight="1">
      <c r="A21" s="3769"/>
      <c r="B21" s="3762"/>
      <c r="C21" s="3107" t="s">
        <v>2445</v>
      </c>
      <c r="D21" s="3108"/>
      <c r="E21" s="3109">
        <v>1</v>
      </c>
      <c r="F21" s="3106" t="s">
        <v>2446</v>
      </c>
      <c r="G21" s="3106"/>
    </row>
    <row r="22" spans="1:13" ht="19.5" customHeight="1">
      <c r="A22" s="3769"/>
      <c r="B22" s="3762"/>
      <c r="C22" s="3107" t="s">
        <v>2447</v>
      </c>
      <c r="D22" s="3108"/>
      <c r="E22" s="3109">
        <v>0.9</v>
      </c>
      <c r="F22" s="3106" t="s">
        <v>2448</v>
      </c>
      <c r="G22" s="3106"/>
    </row>
    <row r="23" spans="1:13" ht="19.5" customHeight="1">
      <c r="A23" s="3769"/>
      <c r="B23" s="3762"/>
      <c r="C23" s="3107" t="s">
        <v>2449</v>
      </c>
      <c r="D23" s="3108"/>
      <c r="E23" s="3109">
        <v>0.9</v>
      </c>
      <c r="F23" s="3106" t="s">
        <v>2450</v>
      </c>
      <c r="G23" s="3106"/>
    </row>
    <row r="24" spans="1:13" ht="19.5" customHeight="1">
      <c r="A24" s="3769"/>
      <c r="B24" s="3762"/>
      <c r="C24" s="3107" t="s">
        <v>2451</v>
      </c>
      <c r="D24" s="3108"/>
      <c r="E24" s="3109">
        <v>0.8</v>
      </c>
      <c r="F24" s="3106" t="s">
        <v>2452</v>
      </c>
      <c r="G24" s="3106"/>
    </row>
    <row r="25" spans="1:13" ht="19.5" customHeight="1" thickBot="1">
      <c r="A25" s="3770"/>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1" t="s">
        <v>2616</v>
      </c>
      <c r="C27" s="3103" t="s">
        <v>2456</v>
      </c>
      <c r="D27" s="3104"/>
      <c r="E27" s="3105">
        <v>1</v>
      </c>
      <c r="F27" s="3106" t="s">
        <v>2457</v>
      </c>
      <c r="G27" s="3106"/>
    </row>
    <row r="28" spans="1:13" ht="19.5" customHeight="1">
      <c r="A28" s="3765"/>
      <c r="B28" s="3762"/>
      <c r="C28" s="3107" t="s">
        <v>2458</v>
      </c>
      <c r="D28" s="3108"/>
      <c r="E28" s="3109">
        <v>1</v>
      </c>
      <c r="F28" s="3106" t="s">
        <v>2459</v>
      </c>
      <c r="G28" s="3106"/>
    </row>
    <row r="29" spans="1:13" ht="19.5" customHeight="1">
      <c r="A29" s="3765"/>
      <c r="B29" s="3762"/>
      <c r="C29" s="3107" t="s">
        <v>2460</v>
      </c>
      <c r="D29" s="3108"/>
      <c r="E29" s="3109">
        <v>0.8</v>
      </c>
      <c r="F29" s="3106" t="s">
        <v>2461</v>
      </c>
      <c r="G29" s="3106"/>
    </row>
    <row r="30" spans="1:13" ht="19.5" customHeight="1">
      <c r="A30" s="3765"/>
      <c r="B30" s="3762"/>
      <c r="C30" s="3107" t="s">
        <v>2462</v>
      </c>
      <c r="D30" s="3108"/>
      <c r="E30" s="3109">
        <v>0.8</v>
      </c>
      <c r="F30" s="3106" t="s">
        <v>2463</v>
      </c>
      <c r="G30" s="3106"/>
    </row>
    <row r="31" spans="1:13" ht="19.5" customHeight="1">
      <c r="A31" s="3765"/>
      <c r="B31" s="3762"/>
      <c r="C31" s="3107" t="s">
        <v>2464</v>
      </c>
      <c r="D31" s="3108"/>
      <c r="E31" s="3109">
        <v>0.8</v>
      </c>
      <c r="F31" s="3106" t="s">
        <v>2465</v>
      </c>
      <c r="G31" s="3106"/>
    </row>
    <row r="32" spans="1:13" ht="19.5" customHeight="1">
      <c r="A32" s="3765"/>
      <c r="B32" s="3762"/>
      <c r="C32" s="3107" t="s">
        <v>2466</v>
      </c>
      <c r="D32" s="3108"/>
      <c r="E32" s="3109">
        <v>0.7</v>
      </c>
      <c r="F32" s="3106" t="s">
        <v>2467</v>
      </c>
      <c r="G32" s="3106"/>
    </row>
    <row r="33" spans="1:7" ht="19.5" customHeight="1">
      <c r="A33" s="3765"/>
      <c r="B33" s="3762"/>
      <c r="C33" s="3107" t="s">
        <v>2468</v>
      </c>
      <c r="D33" s="3108"/>
      <c r="E33" s="3109">
        <v>0.8</v>
      </c>
      <c r="F33" s="3106" t="s">
        <v>2469</v>
      </c>
      <c r="G33" s="3106"/>
    </row>
    <row r="34" spans="1:7" ht="19.5" customHeight="1">
      <c r="A34" s="3765"/>
      <c r="B34" s="3762"/>
      <c r="C34" s="3107" t="s">
        <v>2470</v>
      </c>
      <c r="D34" s="3108"/>
      <c r="E34" s="3109">
        <v>0.6</v>
      </c>
      <c r="F34" s="3106" t="s">
        <v>2471</v>
      </c>
      <c r="G34" s="3106"/>
    </row>
    <row r="35" spans="1:7" ht="19.5" customHeight="1">
      <c r="A35" s="3765"/>
      <c r="B35" s="3762"/>
      <c r="C35" s="3107" t="s">
        <v>2472</v>
      </c>
      <c r="D35" s="3108"/>
      <c r="E35" s="3109">
        <v>0.2</v>
      </c>
      <c r="F35" s="3106" t="s">
        <v>2473</v>
      </c>
      <c r="G35" s="3106"/>
    </row>
    <row r="36" spans="1:7" ht="19.5" customHeight="1">
      <c r="A36" s="3765"/>
      <c r="B36" s="3762"/>
      <c r="C36" s="3107" t="s">
        <v>2474</v>
      </c>
      <c r="D36" s="3108"/>
      <c r="E36" s="3109">
        <v>0.2</v>
      </c>
      <c r="F36" s="3106" t="s">
        <v>2475</v>
      </c>
      <c r="G36" s="3106"/>
    </row>
    <row r="37" spans="1:7" ht="19.5" customHeight="1">
      <c r="A37" s="3765"/>
      <c r="B37" s="3767" t="s">
        <v>2636</v>
      </c>
      <c r="C37" s="3107" t="s">
        <v>2476</v>
      </c>
      <c r="D37" s="3108"/>
      <c r="E37" s="3109">
        <v>0.6</v>
      </c>
      <c r="F37" s="3106" t="s">
        <v>2477</v>
      </c>
      <c r="G37" s="3106"/>
    </row>
    <row r="38" spans="1:7" ht="19.5" customHeight="1">
      <c r="A38" s="3765"/>
      <c r="B38" s="3762"/>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8" t="s">
        <v>2614</v>
      </c>
      <c r="B41" s="3761" t="s">
        <v>2638</v>
      </c>
      <c r="C41" s="3103" t="s">
        <v>2483</v>
      </c>
      <c r="D41" s="3104"/>
      <c r="E41" s="3105">
        <v>1</v>
      </c>
      <c r="F41" s="3106" t="s">
        <v>2484</v>
      </c>
      <c r="G41" s="3106"/>
    </row>
    <row r="42" spans="1:7" ht="19.5" customHeight="1">
      <c r="A42" s="3769"/>
      <c r="B42" s="3762"/>
      <c r="C42" s="3107" t="s">
        <v>2485</v>
      </c>
      <c r="D42" s="3108"/>
      <c r="E42" s="3109">
        <v>1</v>
      </c>
      <c r="F42" s="3106" t="s">
        <v>2486</v>
      </c>
      <c r="G42" s="3106"/>
    </row>
    <row r="43" spans="1:7" ht="19.5" customHeight="1">
      <c r="A43" s="3769"/>
      <c r="B43" s="3771"/>
      <c r="C43" s="3107" t="s">
        <v>2487</v>
      </c>
      <c r="D43" s="3108"/>
      <c r="E43" s="3109">
        <v>1.5</v>
      </c>
      <c r="F43" s="3106" t="s">
        <v>2488</v>
      </c>
      <c r="G43" s="3106"/>
    </row>
    <row r="44" spans="1:7" ht="19.5" customHeight="1">
      <c r="A44" s="3769"/>
      <c r="B44" s="3118" t="s">
        <v>2639</v>
      </c>
      <c r="C44" s="3107" t="s">
        <v>2640</v>
      </c>
      <c r="D44" s="3108"/>
      <c r="E44" s="3109">
        <v>2</v>
      </c>
      <c r="F44" s="3106" t="s">
        <v>2489</v>
      </c>
      <c r="G44" s="3106"/>
    </row>
    <row r="45" spans="1:7" ht="19.5" customHeight="1">
      <c r="A45" s="3769"/>
      <c r="B45" s="3767" t="s">
        <v>2641</v>
      </c>
      <c r="C45" s="3107" t="s">
        <v>2490</v>
      </c>
      <c r="D45" s="3108"/>
      <c r="E45" s="3109">
        <v>1</v>
      </c>
      <c r="F45" s="3106" t="s">
        <v>2491</v>
      </c>
      <c r="G45" s="3106"/>
    </row>
    <row r="46" spans="1:7" ht="19.5" customHeight="1">
      <c r="A46" s="3769"/>
      <c r="B46" s="3762"/>
      <c r="C46" s="3107" t="s">
        <v>2492</v>
      </c>
      <c r="D46" s="3108"/>
      <c r="E46" s="3109">
        <v>1</v>
      </c>
      <c r="F46" s="3106" t="s">
        <v>2493</v>
      </c>
      <c r="G46" s="3106"/>
    </row>
    <row r="47" spans="1:7" ht="19.5" customHeight="1">
      <c r="A47" s="3769"/>
      <c r="B47" s="3762"/>
      <c r="C47" s="3107" t="s">
        <v>2494</v>
      </c>
      <c r="D47" s="3108"/>
      <c r="E47" s="3109">
        <v>1</v>
      </c>
      <c r="F47" s="3106" t="s">
        <v>2495</v>
      </c>
      <c r="G47" s="3106"/>
    </row>
    <row r="48" spans="1:7" ht="19.5" customHeight="1">
      <c r="A48" s="3769"/>
      <c r="B48" s="3762"/>
      <c r="C48" s="3107" t="s">
        <v>2496</v>
      </c>
      <c r="D48" s="3108"/>
      <c r="E48" s="3109">
        <v>1</v>
      </c>
      <c r="F48" s="3106" t="s">
        <v>2497</v>
      </c>
      <c r="G48" s="3106"/>
    </row>
    <row r="49" spans="1:7" ht="19.5" customHeight="1">
      <c r="A49" s="3769"/>
      <c r="B49" s="3762"/>
      <c r="C49" s="3107" t="s">
        <v>2498</v>
      </c>
      <c r="D49" s="3108"/>
      <c r="E49" s="3109">
        <v>1</v>
      </c>
      <c r="F49" s="3106" t="s">
        <v>2499</v>
      </c>
      <c r="G49" s="3106"/>
    </row>
    <row r="50" spans="1:7" ht="19.5" customHeight="1">
      <c r="A50" s="3769"/>
      <c r="B50" s="3762"/>
      <c r="C50" s="3107" t="s">
        <v>2500</v>
      </c>
      <c r="D50" s="3108"/>
      <c r="E50" s="3109">
        <v>1</v>
      </c>
      <c r="F50" s="3106" t="s">
        <v>2501</v>
      </c>
      <c r="G50" s="3106"/>
    </row>
    <row r="51" spans="1:7" ht="19.5" customHeight="1" thickBot="1">
      <c r="A51" s="3770"/>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7" t="s">
        <v>2655</v>
      </c>
      <c r="C73" s="3092" t="s">
        <v>2656</v>
      </c>
      <c r="D73" s="3092" t="s">
        <v>2657</v>
      </c>
      <c r="E73" s="3118">
        <v>0.2</v>
      </c>
      <c r="F73" s="3118">
        <v>25</v>
      </c>
    </row>
    <row r="74" spans="1:7" ht="24">
      <c r="A74" s="3118">
        <v>2</v>
      </c>
      <c r="B74" s="3762"/>
      <c r="C74" s="3092" t="s">
        <v>2658</v>
      </c>
      <c r="D74" s="3092" t="s">
        <v>2659</v>
      </c>
      <c r="E74" s="3118">
        <v>0.2</v>
      </c>
      <c r="F74" s="3118">
        <v>25</v>
      </c>
    </row>
    <row r="75" spans="1:7" ht="24">
      <c r="A75" s="3118">
        <v>3</v>
      </c>
      <c r="B75" s="3762"/>
      <c r="C75" s="3092" t="s">
        <v>2660</v>
      </c>
      <c r="D75" s="3092" t="s">
        <v>2661</v>
      </c>
      <c r="E75" s="3118">
        <v>0.2</v>
      </c>
      <c r="F75" s="3118">
        <v>25</v>
      </c>
    </row>
    <row r="76" spans="1:7" ht="13.5">
      <c r="A76" s="3118">
        <v>4</v>
      </c>
      <c r="B76" s="3762"/>
      <c r="C76" s="3092" t="s">
        <v>2662</v>
      </c>
      <c r="D76" s="3092" t="s">
        <v>2663</v>
      </c>
      <c r="E76" s="3118">
        <v>0.15</v>
      </c>
      <c r="F76" s="3118">
        <v>20</v>
      </c>
    </row>
    <row r="77" spans="1:7" ht="24">
      <c r="A77" s="3118">
        <v>5</v>
      </c>
      <c r="B77" s="3762"/>
      <c r="C77" s="3092" t="s">
        <v>2664</v>
      </c>
      <c r="D77" s="3092" t="s">
        <v>2665</v>
      </c>
      <c r="E77" s="3118">
        <v>0.15</v>
      </c>
      <c r="F77" s="3118">
        <v>20</v>
      </c>
    </row>
    <row r="78" spans="1:7" ht="24">
      <c r="A78" s="3118">
        <v>6</v>
      </c>
      <c r="B78" s="3762"/>
      <c r="C78" s="3092" t="s">
        <v>2666</v>
      </c>
      <c r="D78" s="3092" t="s">
        <v>2667</v>
      </c>
      <c r="E78" s="3118">
        <v>0.15</v>
      </c>
      <c r="F78" s="3118">
        <v>20</v>
      </c>
    </row>
    <row r="79" spans="1:7" ht="24">
      <c r="A79" s="3118">
        <v>7</v>
      </c>
      <c r="B79" s="3762"/>
      <c r="C79" s="3092" t="s">
        <v>2668</v>
      </c>
      <c r="D79" s="3092" t="s">
        <v>2669</v>
      </c>
      <c r="E79" s="3118">
        <v>0.15</v>
      </c>
      <c r="F79" s="3118">
        <v>20</v>
      </c>
    </row>
    <row r="80" spans="1:7" ht="24">
      <c r="A80" s="3118">
        <v>8</v>
      </c>
      <c r="B80" s="3762"/>
      <c r="C80" s="3092" t="s">
        <v>2670</v>
      </c>
      <c r="D80" s="3092" t="s">
        <v>2671</v>
      </c>
      <c r="E80" s="3118">
        <v>0.1</v>
      </c>
      <c r="F80" s="3118">
        <v>15</v>
      </c>
    </row>
    <row r="81" spans="1:6" ht="24">
      <c r="A81" s="3118">
        <v>9</v>
      </c>
      <c r="B81" s="3762"/>
      <c r="C81" s="3092" t="s">
        <v>2672</v>
      </c>
      <c r="D81" s="3092" t="s">
        <v>2673</v>
      </c>
      <c r="E81" s="3118">
        <v>0.1</v>
      </c>
      <c r="F81" s="3118">
        <v>15</v>
      </c>
    </row>
    <row r="82" spans="1:6" ht="24">
      <c r="A82" s="3118">
        <v>10</v>
      </c>
      <c r="B82" s="3762"/>
      <c r="C82" s="3092" t="s">
        <v>2674</v>
      </c>
      <c r="D82" s="3092" t="s">
        <v>2675</v>
      </c>
      <c r="E82" s="3118">
        <v>0.1</v>
      </c>
      <c r="F82" s="3118">
        <v>15</v>
      </c>
    </row>
    <row r="83" spans="1:6" ht="24">
      <c r="A83" s="3118">
        <v>11</v>
      </c>
      <c r="B83" s="3762"/>
      <c r="C83" s="3092" t="s">
        <v>2676</v>
      </c>
      <c r="D83" s="3092" t="s">
        <v>2677</v>
      </c>
      <c r="E83" s="3118">
        <v>0.1</v>
      </c>
      <c r="F83" s="3118">
        <v>15</v>
      </c>
    </row>
    <row r="84" spans="1:6" ht="24">
      <c r="A84" s="3118">
        <v>12</v>
      </c>
      <c r="B84" s="3762"/>
      <c r="C84" s="3092" t="s">
        <v>2678</v>
      </c>
      <c r="D84" s="3092" t="s">
        <v>2679</v>
      </c>
      <c r="E84" s="3118">
        <v>0.1</v>
      </c>
      <c r="F84" s="3118">
        <v>15</v>
      </c>
    </row>
    <row r="85" spans="1:6" ht="13.5">
      <c r="A85" s="3118">
        <v>13</v>
      </c>
      <c r="B85" s="3762"/>
      <c r="C85" s="3092" t="s">
        <v>2680</v>
      </c>
      <c r="D85" s="3092" t="s">
        <v>2681</v>
      </c>
      <c r="E85" s="3118">
        <v>0.1</v>
      </c>
      <c r="F85" s="3118">
        <v>15</v>
      </c>
    </row>
    <row r="86" spans="1:6" ht="13.5">
      <c r="A86" s="3118">
        <v>14</v>
      </c>
      <c r="B86" s="3762"/>
      <c r="C86" s="3092" t="s">
        <v>2682</v>
      </c>
      <c r="D86" s="3092" t="s">
        <v>2683</v>
      </c>
      <c r="E86" s="3118">
        <v>0.1</v>
      </c>
      <c r="F86" s="3118">
        <v>15</v>
      </c>
    </row>
    <row r="87" spans="1:6" ht="13.5">
      <c r="A87" s="3118">
        <v>15</v>
      </c>
      <c r="B87" s="3762"/>
      <c r="C87" s="3092" t="s">
        <v>2684</v>
      </c>
      <c r="D87" s="3092" t="s">
        <v>2685</v>
      </c>
      <c r="E87" s="3118">
        <v>0.1</v>
      </c>
      <c r="F87" s="3118">
        <v>15</v>
      </c>
    </row>
    <row r="88" spans="1:6" ht="24">
      <c r="A88" s="3118">
        <v>16</v>
      </c>
      <c r="B88" s="3762"/>
      <c r="C88" s="3092" t="s">
        <v>2686</v>
      </c>
      <c r="D88" s="3092" t="s">
        <v>2687</v>
      </c>
      <c r="E88" s="3118">
        <v>0.1</v>
      </c>
      <c r="F88" s="3118">
        <v>15</v>
      </c>
    </row>
    <row r="89" spans="1:6" ht="24">
      <c r="A89" s="3118">
        <v>17</v>
      </c>
      <c r="B89" s="3771"/>
      <c r="C89" s="3092" t="s">
        <v>2688</v>
      </c>
      <c r="D89" s="3092" t="s">
        <v>2689</v>
      </c>
      <c r="E89" s="3118">
        <v>0.1</v>
      </c>
      <c r="F89" s="3118">
        <v>15</v>
      </c>
    </row>
    <row r="90" spans="1:6" ht="13.5">
      <c r="A90" s="3118">
        <v>18</v>
      </c>
      <c r="B90" s="3767" t="s">
        <v>2690</v>
      </c>
      <c r="C90" s="3092" t="s">
        <v>2691</v>
      </c>
      <c r="D90" s="3092" t="s">
        <v>2692</v>
      </c>
      <c r="E90" s="3118">
        <v>0.2</v>
      </c>
      <c r="F90" s="3118">
        <v>25</v>
      </c>
    </row>
    <row r="91" spans="1:6" ht="24">
      <c r="A91" s="3118">
        <v>19</v>
      </c>
      <c r="B91" s="3762"/>
      <c r="C91" s="3092" t="s">
        <v>2693</v>
      </c>
      <c r="D91" s="3092" t="s">
        <v>2694</v>
      </c>
      <c r="E91" s="3118">
        <v>0.2</v>
      </c>
      <c r="F91" s="3118">
        <v>25</v>
      </c>
    </row>
    <row r="92" spans="1:6" ht="13.5">
      <c r="A92" s="3118">
        <v>20</v>
      </c>
      <c r="B92" s="3762"/>
      <c r="C92" s="3092" t="s">
        <v>2695</v>
      </c>
      <c r="D92" s="3092" t="s">
        <v>2696</v>
      </c>
      <c r="E92" s="3118">
        <v>0.15</v>
      </c>
      <c r="F92" s="3118">
        <v>20</v>
      </c>
    </row>
    <row r="93" spans="1:6" ht="13.5">
      <c r="A93" s="3118">
        <v>21</v>
      </c>
      <c r="B93" s="3762"/>
      <c r="C93" s="3092" t="s">
        <v>2697</v>
      </c>
      <c r="D93" s="3092" t="s">
        <v>2698</v>
      </c>
      <c r="E93" s="3118">
        <v>0.15</v>
      </c>
      <c r="F93" s="3118">
        <v>20</v>
      </c>
    </row>
    <row r="94" spans="1:6" ht="13.5">
      <c r="A94" s="3118">
        <v>22</v>
      </c>
      <c r="B94" s="3762"/>
      <c r="C94" s="3092" t="s">
        <v>2699</v>
      </c>
      <c r="D94" s="3092" t="s">
        <v>2700</v>
      </c>
      <c r="E94" s="3118">
        <v>0.15</v>
      </c>
      <c r="F94" s="3118">
        <v>20</v>
      </c>
    </row>
    <row r="95" spans="1:6" ht="36">
      <c r="A95" s="3118">
        <v>23</v>
      </c>
      <c r="B95" s="3762"/>
      <c r="C95" s="3092" t="s">
        <v>2701</v>
      </c>
      <c r="D95" s="3092" t="s">
        <v>2702</v>
      </c>
      <c r="E95" s="3118">
        <v>0.15</v>
      </c>
      <c r="F95" s="3118">
        <v>20</v>
      </c>
    </row>
    <row r="96" spans="1:6" ht="13.5">
      <c r="A96" s="3118">
        <v>24</v>
      </c>
      <c r="B96" s="3762"/>
      <c r="C96" s="3092" t="s">
        <v>2703</v>
      </c>
      <c r="D96" s="3092" t="s">
        <v>2704</v>
      </c>
      <c r="E96" s="3118">
        <v>0.1</v>
      </c>
      <c r="F96" s="3118">
        <v>15</v>
      </c>
    </row>
    <row r="97" spans="1:6" ht="13.5">
      <c r="A97" s="3118">
        <v>25</v>
      </c>
      <c r="B97" s="3762"/>
      <c r="C97" s="3092" t="s">
        <v>2705</v>
      </c>
      <c r="D97" s="3092" t="s">
        <v>2706</v>
      </c>
      <c r="E97" s="3118">
        <v>0.1</v>
      </c>
      <c r="F97" s="3118">
        <v>15</v>
      </c>
    </row>
    <row r="98" spans="1:6" ht="24">
      <c r="A98" s="3118">
        <v>26</v>
      </c>
      <c r="B98" s="3762"/>
      <c r="C98" s="3092" t="s">
        <v>2707</v>
      </c>
      <c r="D98" s="3092" t="s">
        <v>2708</v>
      </c>
      <c r="E98" s="3118">
        <v>0.1</v>
      </c>
      <c r="F98" s="3118">
        <v>15</v>
      </c>
    </row>
    <row r="99" spans="1:6" ht="24">
      <c r="A99" s="3118">
        <v>27</v>
      </c>
      <c r="B99" s="3762"/>
      <c r="C99" s="3092" t="s">
        <v>2709</v>
      </c>
      <c r="D99" s="3092" t="s">
        <v>2710</v>
      </c>
      <c r="E99" s="3118">
        <v>0.1</v>
      </c>
      <c r="F99" s="3118">
        <v>15</v>
      </c>
    </row>
    <row r="100" spans="1:6" ht="13.5">
      <c r="A100" s="3118">
        <v>28</v>
      </c>
      <c r="B100" s="3762"/>
      <c r="C100" s="3092" t="s">
        <v>2711</v>
      </c>
      <c r="D100" s="3092" t="s">
        <v>2712</v>
      </c>
      <c r="E100" s="3118">
        <v>0.1</v>
      </c>
      <c r="F100" s="3118">
        <v>15</v>
      </c>
    </row>
    <row r="101" spans="1:6" ht="13.5">
      <c r="A101" s="3118">
        <v>29</v>
      </c>
      <c r="B101" s="3762"/>
      <c r="C101" s="3092" t="s">
        <v>2713</v>
      </c>
      <c r="D101" s="3092" t="s">
        <v>2714</v>
      </c>
      <c r="E101" s="3118">
        <v>0.1</v>
      </c>
      <c r="F101" s="3118">
        <v>15</v>
      </c>
    </row>
    <row r="102" spans="1:6" ht="13.5">
      <c r="A102" s="3118">
        <v>30</v>
      </c>
      <c r="B102" s="3762"/>
      <c r="C102" s="3092" t="s">
        <v>2715</v>
      </c>
      <c r="D102" s="3092" t="s">
        <v>2716</v>
      </c>
      <c r="E102" s="3118">
        <v>0.1</v>
      </c>
      <c r="F102" s="3118">
        <v>15</v>
      </c>
    </row>
    <row r="103" spans="1:6" ht="24">
      <c r="A103" s="3118">
        <v>31</v>
      </c>
      <c r="B103" s="3762"/>
      <c r="C103" s="3092" t="s">
        <v>2717</v>
      </c>
      <c r="D103" s="3092" t="s">
        <v>2718</v>
      </c>
      <c r="E103" s="3118">
        <v>0.1</v>
      </c>
      <c r="F103" s="3118">
        <v>15</v>
      </c>
    </row>
    <row r="104" spans="1:6" ht="24">
      <c r="A104" s="3118">
        <v>32</v>
      </c>
      <c r="B104" s="3762"/>
      <c r="C104" s="3092" t="s">
        <v>2719</v>
      </c>
      <c r="D104" s="3092" t="s">
        <v>2720</v>
      </c>
      <c r="E104" s="3118">
        <v>0.1</v>
      </c>
      <c r="F104" s="3118">
        <v>15</v>
      </c>
    </row>
    <row r="105" spans="1:6" ht="24">
      <c r="A105" s="3118">
        <v>33</v>
      </c>
      <c r="B105" s="3762"/>
      <c r="C105" s="3092" t="s">
        <v>2721</v>
      </c>
      <c r="D105" s="3092" t="s">
        <v>2722</v>
      </c>
      <c r="E105" s="3118">
        <v>0.1</v>
      </c>
      <c r="F105" s="3118">
        <v>15</v>
      </c>
    </row>
    <row r="106" spans="1:6" ht="24">
      <c r="A106" s="3118">
        <v>34</v>
      </c>
      <c r="B106" s="3771"/>
      <c r="C106" s="3092" t="s">
        <v>2723</v>
      </c>
      <c r="D106" s="3092" t="s">
        <v>2724</v>
      </c>
      <c r="E106" s="3118">
        <v>0.1</v>
      </c>
      <c r="F106" s="3118">
        <v>15</v>
      </c>
    </row>
    <row r="107" spans="1:6" ht="24">
      <c r="A107" s="3118">
        <v>35</v>
      </c>
      <c r="B107" s="3767" t="s">
        <v>2725</v>
      </c>
      <c r="C107" s="3118" t="s">
        <v>2726</v>
      </c>
      <c r="D107" s="3092" t="s">
        <v>2727</v>
      </c>
      <c r="E107" s="3118">
        <v>0.15</v>
      </c>
      <c r="F107" s="3118">
        <v>20</v>
      </c>
    </row>
    <row r="108" spans="1:6" ht="13.5">
      <c r="A108" s="3118">
        <v>36</v>
      </c>
      <c r="B108" s="3762"/>
      <c r="C108" s="3118" t="s">
        <v>2728</v>
      </c>
      <c r="D108" s="3092" t="s">
        <v>2729</v>
      </c>
      <c r="E108" s="3118">
        <v>0.15</v>
      </c>
      <c r="F108" s="3118">
        <v>20</v>
      </c>
    </row>
    <row r="109" spans="1:6" ht="13.5">
      <c r="A109" s="3118">
        <v>37</v>
      </c>
      <c r="B109" s="3762"/>
      <c r="C109" s="3118" t="s">
        <v>2730</v>
      </c>
      <c r="D109" s="3092" t="s">
        <v>2731</v>
      </c>
      <c r="E109" s="3118">
        <v>0.15</v>
      </c>
      <c r="F109" s="3118">
        <v>20</v>
      </c>
    </row>
    <row r="110" spans="1:6" ht="13.5">
      <c r="A110" s="3118">
        <v>38</v>
      </c>
      <c r="B110" s="3762"/>
      <c r="C110" s="3118" t="s">
        <v>2732</v>
      </c>
      <c r="D110" s="3092" t="s">
        <v>2733</v>
      </c>
      <c r="E110" s="3118">
        <v>0.1</v>
      </c>
      <c r="F110" s="3118">
        <v>15</v>
      </c>
    </row>
    <row r="111" spans="1:6" ht="24">
      <c r="A111" s="3118">
        <v>39</v>
      </c>
      <c r="B111" s="3762"/>
      <c r="C111" s="3118" t="s">
        <v>2734</v>
      </c>
      <c r="D111" s="3092" t="s">
        <v>2735</v>
      </c>
      <c r="E111" s="3118">
        <v>0.1</v>
      </c>
      <c r="F111" s="3118">
        <v>15</v>
      </c>
    </row>
    <row r="112" spans="1:6" ht="24">
      <c r="A112" s="3118">
        <v>40</v>
      </c>
      <c r="B112" s="3771"/>
      <c r="C112" s="3118" t="s">
        <v>2736</v>
      </c>
      <c r="D112" s="3092" t="s">
        <v>2737</v>
      </c>
      <c r="E112" s="3118">
        <v>0.1</v>
      </c>
      <c r="F112" s="3118">
        <v>15</v>
      </c>
    </row>
    <row r="113" spans="1:6" ht="13.5">
      <c r="A113" s="3118">
        <v>41</v>
      </c>
      <c r="B113" s="3772" t="s">
        <v>2738</v>
      </c>
      <c r="C113" s="3118" t="s">
        <v>2739</v>
      </c>
      <c r="D113" s="3092" t="s">
        <v>2740</v>
      </c>
      <c r="E113" s="3118">
        <v>0.1</v>
      </c>
      <c r="F113" s="3118">
        <v>15</v>
      </c>
    </row>
    <row r="114" spans="1:6" ht="13.5">
      <c r="A114" s="3118">
        <v>42</v>
      </c>
      <c r="B114" s="3772"/>
      <c r="C114" s="3118" t="s">
        <v>2741</v>
      </c>
      <c r="D114" s="3092" t="s">
        <v>2742</v>
      </c>
      <c r="E114" s="3118">
        <v>0.1</v>
      </c>
      <c r="F114" s="3118">
        <v>15</v>
      </c>
    </row>
    <row r="115" spans="1:6" ht="24">
      <c r="A115" s="3118">
        <v>43</v>
      </c>
      <c r="B115" s="3772"/>
      <c r="C115" s="3118" t="s">
        <v>2743</v>
      </c>
      <c r="D115" s="3092" t="s">
        <v>2744</v>
      </c>
      <c r="E115" s="3118">
        <v>0.1</v>
      </c>
      <c r="F115" s="3118">
        <v>15</v>
      </c>
    </row>
    <row r="116" spans="1:6" ht="13.5">
      <c r="A116" s="3118">
        <v>44</v>
      </c>
      <c r="B116" s="3767" t="s">
        <v>2745</v>
      </c>
      <c r="C116" s="3118" t="s">
        <v>2746</v>
      </c>
      <c r="D116" s="3092" t="s">
        <v>2747</v>
      </c>
      <c r="E116" s="3118">
        <v>0.1</v>
      </c>
      <c r="F116" s="3118">
        <v>15</v>
      </c>
    </row>
    <row r="117" spans="1:6" ht="24">
      <c r="A117" s="3118">
        <v>45</v>
      </c>
      <c r="B117" s="3771"/>
      <c r="C117" s="3092" t="s">
        <v>2748</v>
      </c>
      <c r="D117" s="3092" t="s">
        <v>2749</v>
      </c>
      <c r="E117" s="3118">
        <v>0.1</v>
      </c>
      <c r="F117" s="3118">
        <v>15</v>
      </c>
    </row>
    <row r="118" spans="1:6" ht="24">
      <c r="A118" s="3118">
        <v>46</v>
      </c>
      <c r="B118" s="3767" t="s">
        <v>2750</v>
      </c>
      <c r="C118" s="3118" t="s">
        <v>2751</v>
      </c>
      <c r="D118" s="3092" t="s">
        <v>2752</v>
      </c>
      <c r="E118" s="3118">
        <v>0.1</v>
      </c>
      <c r="F118" s="3118">
        <v>15</v>
      </c>
    </row>
    <row r="119" spans="1:6" ht="24">
      <c r="A119" s="3118">
        <v>47</v>
      </c>
      <c r="B119" s="3771"/>
      <c r="C119" s="3118" t="s">
        <v>2753</v>
      </c>
      <c r="D119" s="3092" t="s">
        <v>2754</v>
      </c>
      <c r="E119" s="3118">
        <v>0.1</v>
      </c>
      <c r="F119" s="3118">
        <v>15</v>
      </c>
    </row>
    <row r="120" spans="1:6" ht="13.5">
      <c r="A120" s="3118">
        <v>48</v>
      </c>
      <c r="B120" s="3767" t="s">
        <v>2755</v>
      </c>
      <c r="C120" s="3118" t="s">
        <v>2756</v>
      </c>
      <c r="D120" s="3092" t="s">
        <v>2757</v>
      </c>
      <c r="E120" s="3118">
        <v>0.1</v>
      </c>
      <c r="F120" s="3118">
        <v>15</v>
      </c>
    </row>
    <row r="121" spans="1:6" ht="13.5">
      <c r="A121" s="3118">
        <v>49</v>
      </c>
      <c r="B121" s="3771"/>
      <c r="C121" s="3118" t="s">
        <v>2758</v>
      </c>
      <c r="D121" s="3092" t="s">
        <v>2759</v>
      </c>
      <c r="E121" s="3118">
        <v>0.1</v>
      </c>
      <c r="F121" s="3118">
        <v>15</v>
      </c>
    </row>
    <row r="122" spans="1:6" ht="24">
      <c r="A122" s="3118">
        <v>50</v>
      </c>
      <c r="B122" s="3772" t="s">
        <v>2760</v>
      </c>
      <c r="C122" s="3118" t="s">
        <v>2761</v>
      </c>
      <c r="D122" s="3092" t="s">
        <v>2762</v>
      </c>
      <c r="E122" s="3118">
        <v>0.1</v>
      </c>
      <c r="F122" s="3118">
        <v>15</v>
      </c>
    </row>
    <row r="123" spans="1:6" ht="24">
      <c r="A123" s="3118">
        <v>51</v>
      </c>
      <c r="B123" s="3772"/>
      <c r="C123" s="3118" t="s">
        <v>2763</v>
      </c>
      <c r="D123" s="3092" t="s">
        <v>2764</v>
      </c>
      <c r="E123" s="3118">
        <v>0.1</v>
      </c>
      <c r="F123" s="3118">
        <v>15</v>
      </c>
    </row>
    <row r="124" spans="1:6" ht="24">
      <c r="A124" s="3118">
        <v>52</v>
      </c>
      <c r="B124" s="3772" t="s">
        <v>2765</v>
      </c>
      <c r="C124" s="3118" t="s">
        <v>2766</v>
      </c>
      <c r="D124" s="3092" t="s">
        <v>2767</v>
      </c>
      <c r="E124" s="3118">
        <v>0.1</v>
      </c>
      <c r="F124" s="3118">
        <v>15</v>
      </c>
    </row>
    <row r="125" spans="1:6" ht="24">
      <c r="A125" s="3118">
        <v>53</v>
      </c>
      <c r="B125" s="3772"/>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2" t="s">
        <v>2773</v>
      </c>
      <c r="C127" s="3118" t="s">
        <v>2774</v>
      </c>
      <c r="D127" s="3092" t="s">
        <v>2775</v>
      </c>
      <c r="E127" s="3118">
        <v>0.1</v>
      </c>
      <c r="F127" s="3118">
        <v>15</v>
      </c>
    </row>
    <row r="128" spans="1:6" ht="13.5">
      <c r="A128" s="3118">
        <v>56</v>
      </c>
      <c r="B128" s="3772"/>
      <c r="C128" s="3118" t="s">
        <v>2776</v>
      </c>
      <c r="D128" s="3092" t="s">
        <v>2777</v>
      </c>
      <c r="E128" s="3118">
        <v>0.1</v>
      </c>
      <c r="F128" s="3118">
        <v>15</v>
      </c>
    </row>
    <row r="129" spans="1:6" ht="24">
      <c r="A129" s="3118">
        <v>57</v>
      </c>
      <c r="B129" s="3772"/>
      <c r="C129" s="3118" t="s">
        <v>2778</v>
      </c>
      <c r="D129" s="3092" t="s">
        <v>2779</v>
      </c>
      <c r="E129" s="3118">
        <v>0.1</v>
      </c>
      <c r="F129" s="3118">
        <v>15</v>
      </c>
    </row>
    <row r="130" spans="1:6" ht="24">
      <c r="A130" s="3118">
        <v>58</v>
      </c>
      <c r="B130" s="3772" t="s">
        <v>2780</v>
      </c>
      <c r="C130" s="3118" t="s">
        <v>2781</v>
      </c>
      <c r="D130" s="3092" t="s">
        <v>2782</v>
      </c>
      <c r="E130" s="3118">
        <v>0.1</v>
      </c>
      <c r="F130" s="3118">
        <v>15</v>
      </c>
    </row>
    <row r="131" spans="1:6" ht="13.5">
      <c r="A131" s="3118">
        <v>59</v>
      </c>
      <c r="B131" s="3772"/>
      <c r="C131" s="3118" t="s">
        <v>2783</v>
      </c>
      <c r="D131" s="3092" t="s">
        <v>2784</v>
      </c>
      <c r="E131" s="3118">
        <v>0.1</v>
      </c>
      <c r="F131" s="3118">
        <v>15</v>
      </c>
    </row>
    <row r="132" spans="1:6" ht="13.5">
      <c r="A132" s="3118">
        <v>60</v>
      </c>
      <c r="B132" s="3767" t="s">
        <v>2785</v>
      </c>
      <c r="C132" s="3118" t="s">
        <v>2786</v>
      </c>
      <c r="D132" s="3092" t="s">
        <v>2787</v>
      </c>
      <c r="E132" s="3118">
        <v>0.1</v>
      </c>
      <c r="F132" s="3118">
        <v>15</v>
      </c>
    </row>
    <row r="133" spans="1:6" ht="13.5">
      <c r="A133" s="3118">
        <v>61</v>
      </c>
      <c r="B133" s="377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2" t="s">
        <v>2793</v>
      </c>
      <c r="C135" s="3118" t="s">
        <v>2794</v>
      </c>
      <c r="D135" s="3092" t="s">
        <v>2795</v>
      </c>
      <c r="E135" s="3118">
        <v>0.1</v>
      </c>
      <c r="F135" s="3118">
        <v>15</v>
      </c>
    </row>
    <row r="136" spans="1:6" ht="13.5">
      <c r="A136" s="3118">
        <v>64</v>
      </c>
      <c r="B136" s="3772"/>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0.94710000000000005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32763</v>
      </c>
      <c r="C2" s="2" t="s">
        <v>106</v>
      </c>
      <c r="D2" s="199"/>
      <c r="E2" s="199"/>
      <c r="F2" s="199"/>
      <c r="G2" s="199"/>
    </row>
    <row r="3" spans="1:7" s="200" customFormat="1" ht="18" customHeight="1" thickBot="1">
      <c r="A3" s="203" t="s">
        <v>58</v>
      </c>
      <c r="B3" s="204">
        <f ca="1">ROUND(B2*10000/'数据-汇总表'!E3,0)</f>
        <v>52664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124</v>
      </c>
      <c r="D10" s="845">
        <f>'数据-汇总表'!E6</f>
        <v>6221.16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124</v>
      </c>
      <c r="D19" s="849">
        <f>'数据-汇总表'!E3</f>
        <v>6221.16</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4230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4230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3111</v>
      </c>
      <c r="D34" s="217"/>
      <c r="E34" s="220"/>
      <c r="F34" s="257">
        <f>IF('数据-取费表'!B24=0,1,'数据-取费表'!N16)</f>
        <v>1</v>
      </c>
      <c r="G34" s="219" t="s">
        <v>89</v>
      </c>
    </row>
    <row r="35" spans="1:7" ht="13.5" customHeight="1">
      <c r="A35" s="780" t="s">
        <v>351</v>
      </c>
      <c r="B35" s="215" t="s">
        <v>33</v>
      </c>
      <c r="C35" s="220">
        <f>ROUND(C34*F35,0)</f>
        <v>93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124</v>
      </c>
      <c r="D37" s="217">
        <f>'数据-汇总表'!E3</f>
        <v>6221.16</v>
      </c>
      <c r="E37" s="249">
        <f>'数据-取费表'!B35</f>
        <v>200</v>
      </c>
      <c r="F37" s="259"/>
      <c r="G37" s="261" t="s">
        <v>92</v>
      </c>
    </row>
    <row r="38" spans="1:7" ht="13.5" customHeight="1">
      <c r="A38" s="780" t="s">
        <v>354</v>
      </c>
      <c r="B38" s="215" t="s">
        <v>36</v>
      </c>
      <c r="C38" s="220">
        <f>ROUND(C34*F38,0)</f>
        <v>47</v>
      </c>
      <c r="D38" s="220"/>
      <c r="E38" s="220"/>
      <c r="F38" s="259">
        <f>'数据-取费表'!B36</f>
        <v>1.4999999999999999E-2</v>
      </c>
      <c r="G38" s="219" t="s">
        <v>90</v>
      </c>
    </row>
    <row r="39" spans="1:7" s="214" customFormat="1" ht="13.5" customHeight="1">
      <c r="A39" s="777" t="s">
        <v>338</v>
      </c>
      <c r="B39" s="210" t="s">
        <v>77</v>
      </c>
      <c r="C39" s="232">
        <f>ROUND(C33*F20,0)</f>
        <v>68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116</v>
      </c>
      <c r="D42" s="238"/>
      <c r="E42" s="238"/>
      <c r="F42" s="239"/>
      <c r="G42" s="3637" t="s">
        <v>94</v>
      </c>
    </row>
    <row r="43" spans="1:7" ht="13.5" customHeight="1">
      <c r="A43" s="780" t="s">
        <v>347</v>
      </c>
      <c r="B43" s="215" t="s">
        <v>426</v>
      </c>
      <c r="C43" s="238">
        <f ca="1">ROUND(IF('数据-取费表'!B22&lt;=1,C39*F22*'数据-取费表'!B21/2,C39*(POWER((1+F22),'数据-取费表'!B21/2)-1)),0)</f>
        <v>2</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689</v>
      </c>
      <c r="D45" s="235">
        <f>C47</f>
        <v>4.0000000000000001E-3</v>
      </c>
      <c r="E45" s="236" t="s">
        <v>102</v>
      </c>
      <c r="F45" s="246"/>
      <c r="G45" s="247" t="s">
        <v>434</v>
      </c>
    </row>
    <row r="46" spans="1:7" s="214" customFormat="1" ht="13.5" customHeight="1">
      <c r="A46" s="780" t="s">
        <v>349</v>
      </c>
      <c r="B46" s="248" t="s">
        <v>427</v>
      </c>
      <c r="C46" s="249">
        <f>ROUND((C33+C39)*F27,0)</f>
        <v>689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4610</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3642</v>
      </c>
      <c r="D51" s="232"/>
      <c r="E51" s="232"/>
      <c r="F51" s="264"/>
      <c r="G51" s="234" t="s">
        <v>37</v>
      </c>
    </row>
    <row r="52" spans="1:7" s="208" customFormat="1" ht="16.5" thickBot="1">
      <c r="A52" s="265" t="s">
        <v>38</v>
      </c>
      <c r="B52" s="266"/>
      <c r="C52" s="267">
        <f ca="1">C31+C51</f>
        <v>32763</v>
      </c>
      <c r="D52" s="266"/>
      <c r="E52" s="266"/>
      <c r="F52" s="266"/>
      <c r="G52" s="268"/>
    </row>
    <row r="55" spans="1:7" ht="15">
      <c r="B55" s="270" t="s">
        <v>39</v>
      </c>
      <c r="C55" s="271"/>
    </row>
    <row r="56" spans="1:7">
      <c r="B56" s="273" t="s">
        <v>40</v>
      </c>
      <c r="C56" s="274">
        <f ca="1">ROUND(C51/C52,3)</f>
        <v>0.111</v>
      </c>
    </row>
    <row r="57" spans="1:7">
      <c r="B57" s="273" t="s">
        <v>41</v>
      </c>
      <c r="C57" s="275">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24275</v>
      </c>
      <c r="E5" s="1491"/>
    </row>
    <row r="6" spans="1:5" ht="15.75">
      <c r="A6" s="1491"/>
      <c r="B6" s="3456"/>
      <c r="C6" s="1494" t="s">
        <v>911</v>
      </c>
      <c r="D6" s="850" t="str">
        <f ca="1">NUMBERSTRING(INT(D5*10000),2)&amp;"元整"</f>
        <v>贰亿肆仟贰佰柒拾伍万元整</v>
      </c>
      <c r="E6" s="1491"/>
    </row>
    <row r="7" spans="1:5" ht="15.75">
      <c r="A7" s="1491"/>
      <c r="B7" s="3461"/>
      <c r="C7" s="1495" t="s">
        <v>912</v>
      </c>
      <c r="D7" s="851">
        <f ca="1">结果表!H102</f>
        <v>39020</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24275</v>
      </c>
      <c r="E13" s="1491"/>
    </row>
    <row r="14" spans="1:5" ht="15.75">
      <c r="A14" s="1491"/>
      <c r="B14" s="3456"/>
      <c r="C14" s="1494" t="s">
        <v>911</v>
      </c>
      <c r="D14" s="850" t="str">
        <f ca="1">NUMBERSTRING(INT(D13*10000),2)&amp;"元整"</f>
        <v>贰亿肆仟贰佰柒拾伍万元整</v>
      </c>
      <c r="E14" s="1491"/>
    </row>
    <row r="15" spans="1:5" ht="15">
      <c r="A15" s="1491"/>
      <c r="B15" s="3461"/>
      <c r="C15" s="1495" t="s">
        <v>921</v>
      </c>
      <c r="D15" s="859">
        <f ca="1">结果表!H108</f>
        <v>39020</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24263</v>
      </c>
      <c r="E19" s="1491"/>
    </row>
    <row r="20" spans="1:5" ht="15.75">
      <c r="A20" s="1491"/>
      <c r="B20" s="3456"/>
      <c r="C20" s="1494" t="s">
        <v>923</v>
      </c>
      <c r="D20" s="850" t="str">
        <f ca="1">NUMBERSTRING(INT(D19*10000),2)&amp;"元整"</f>
        <v>贰亿肆仟贰佰陆拾叁万元整</v>
      </c>
      <c r="E20" s="1491"/>
    </row>
    <row r="21" spans="1:5" ht="15.75" thickBot="1">
      <c r="A21" s="1491"/>
      <c r="B21" s="3457"/>
      <c r="C21" s="1501" t="s">
        <v>921</v>
      </c>
      <c r="D21" s="860">
        <f ca="1">结果表!H112</f>
        <v>39001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2843</v>
      </c>
      <c r="B1" s="3775"/>
      <c r="C1" s="3775"/>
      <c r="D1" s="3775"/>
      <c r="E1" s="3775"/>
      <c r="F1" s="3775"/>
      <c r="G1" s="3776"/>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3"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4"/>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3185</v>
      </c>
      <c r="B1" s="3777"/>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ht="14.25">
      <c r="A1" s="3778" t="s">
        <v>3236</v>
      </c>
      <c r="B1" s="3778"/>
      <c r="C1" s="3778"/>
      <c r="D1" s="3778"/>
      <c r="E1" s="3778"/>
      <c r="F1" s="3779"/>
    </row>
    <row r="2" spans="1:6" ht="14.25">
      <c r="A2" s="3291" t="s">
        <v>3237</v>
      </c>
      <c r="B2" s="3292"/>
      <c r="C2" s="3292"/>
      <c r="D2" s="3292"/>
      <c r="E2" s="3292"/>
      <c r="F2" s="3292"/>
    </row>
    <row r="3" spans="1:6" ht="14.2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D43" sqref="D43"/>
    </sheetView>
  </sheetViews>
  <sheetFormatPr defaultRowHeight="13.5"/>
  <cols>
    <col min="1" max="1" width="13.875" customWidth="1"/>
    <col min="11" max="17" width="0" hidden="1" customWidth="1"/>
    <col min="25" max="30" width="0" hidden="1" customWidth="1"/>
  </cols>
  <sheetData>
    <row r="1" spans="1:30">
      <c r="A1" s="3221">
        <f>基准地价修正!G23</f>
        <v>45475</v>
      </c>
      <c r="B1" s="3210" t="s">
        <v>3375</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3418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3381</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3382</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3380</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80" t="s">
        <v>2831</v>
      </c>
      <c r="S24" s="3781"/>
      <c r="T24" s="3781"/>
      <c r="U24" s="3781"/>
      <c r="V24" s="3781"/>
      <c r="W24" s="3781"/>
      <c r="X24" s="3165"/>
      <c r="Y24" s="3780" t="s">
        <v>2832</v>
      </c>
      <c r="Z24" s="3781"/>
      <c r="AA24" s="3781"/>
      <c r="AB24" s="3781"/>
      <c r="AC24" s="3781"/>
      <c r="AD24" s="3781"/>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3418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3381</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3383</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3380</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6221.16</v>
      </c>
      <c r="C4" s="854">
        <f>项目基本情况!C18</f>
        <v>0</v>
      </c>
      <c r="D4" s="854">
        <f ca="1">结果表!D118</f>
        <v>20901</v>
      </c>
      <c r="E4" s="854">
        <f ca="1">结果表!E118</f>
        <v>33597</v>
      </c>
      <c r="F4" s="854">
        <f ca="1">结果表!F118</f>
        <v>3374</v>
      </c>
      <c r="G4" s="854">
        <f ca="1">结果表!G118</f>
        <v>5423</v>
      </c>
      <c r="H4" s="854">
        <f ca="1">结果表!H118</f>
        <v>24275</v>
      </c>
      <c r="I4" s="854">
        <f ca="1">结果表!I118</f>
        <v>39020</v>
      </c>
    </row>
    <row r="5" spans="1:9" ht="30" customHeight="1">
      <c r="A5" s="3467" t="s">
        <v>927</v>
      </c>
      <c r="B5" s="3467"/>
      <c r="C5" s="3467"/>
      <c r="D5" s="3467" t="str">
        <f ca="1">结果表!D119</f>
        <v>贰亿零玖佰零壹万元整</v>
      </c>
      <c r="E5" s="3467"/>
      <c r="F5" s="3467" t="str">
        <f ca="1">结果表!F119</f>
        <v>叁仟叁佰柒拾肆万元整</v>
      </c>
      <c r="G5" s="3467"/>
      <c r="H5" s="3467" t="str">
        <f ca="1">结果表!H119</f>
        <v>贰亿肆仟贰佰柒拾伍万元整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24275</v>
      </c>
      <c r="E8" s="3468"/>
      <c r="F8" s="3468"/>
      <c r="G8" s="3468"/>
      <c r="H8" s="3468"/>
      <c r="I8" s="3468"/>
    </row>
    <row r="9" spans="1:9" ht="15">
      <c r="A9" s="3467" t="s">
        <v>927</v>
      </c>
      <c r="B9" s="3467"/>
      <c r="C9" s="3467"/>
      <c r="D9" s="3467" t="str">
        <f ca="1">结果表!D123</f>
        <v>贰亿肆仟贰佰柒拾伍万元整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抵押净值</v>
      </c>
      <c r="B12" s="3468"/>
      <c r="C12" s="3468"/>
      <c r="D12" s="3468">
        <f ca="1">结果表!D126</f>
        <v>24263</v>
      </c>
      <c r="E12" s="3468"/>
      <c r="F12" s="3468"/>
      <c r="G12" s="3468"/>
      <c r="H12" s="3468"/>
      <c r="I12" s="3468"/>
    </row>
    <row r="13" spans="1:9" ht="15.75" thickBot="1">
      <c r="A13" s="3472" t="s">
        <v>927</v>
      </c>
      <c r="B13" s="3472"/>
      <c r="C13" s="3472"/>
      <c r="D13" s="3472" t="str">
        <f ca="1">结果表!D127</f>
        <v>贰亿肆仟贰佰陆拾叁万元整</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2024-08-13T02:53:58Z</dcterms:modified>
</cp:coreProperties>
</file>