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询价-中关村生物医药园\"/>
    </mc:Choice>
  </mc:AlternateContent>
  <bookViews>
    <workbookView xWindow="0" yWindow="0" windowWidth="28800" windowHeight="12210" tabRatio="891"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资料" sheetId="78"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W22" i="1" l="1"/>
  <c r="X22" i="1"/>
  <c r="X23" i="1"/>
  <c r="V23" i="1"/>
  <c r="V22" i="1"/>
  <c r="N6" i="1"/>
  <c r="L23" i="9"/>
  <c r="B35" i="1" l="1"/>
  <c r="Y6" i="1"/>
  <c r="G19" i="6"/>
  <c r="N20" i="1"/>
  <c r="G13" i="4" l="1"/>
  <c r="F19" i="6"/>
  <c r="C11" i="4"/>
  <c r="B7" i="4"/>
  <c r="D3" i="4"/>
  <c r="K13" i="3"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AA10" i="71" s="1"/>
  <c r="O13" i="71"/>
  <c r="N13" i="71"/>
  <c r="AH14" i="71"/>
  <c r="AG14" i="71"/>
  <c r="AE14" i="71"/>
  <c r="AF14" i="71"/>
  <c r="AD14" i="71"/>
  <c r="Q15" i="71"/>
  <c r="Q16" i="71"/>
  <c r="P15" i="71"/>
  <c r="P16" i="71"/>
  <c r="O15" i="71"/>
  <c r="O16" i="71"/>
  <c r="N15" i="71"/>
  <c r="X15" i="71" s="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AA18" i="71" s="1"/>
  <c r="P19" i="71"/>
  <c r="O18" i="71"/>
  <c r="O19" i="71"/>
  <c r="N18" i="71"/>
  <c r="X18" i="71" s="1"/>
  <c r="N19" i="71"/>
  <c r="X19" i="71" s="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B20" i="71" s="1"/>
  <c r="B19" i="71" s="1"/>
  <c r="Q21" i="71"/>
  <c r="F21" i="71" s="1"/>
  <c r="P21" i="71"/>
  <c r="O21" i="71"/>
  <c r="C21" i="71"/>
  <c r="C20" i="71"/>
  <c r="Q22" i="71"/>
  <c r="P22" i="71"/>
  <c r="O22" i="71"/>
  <c r="N22" i="71"/>
  <c r="A2" i="53"/>
  <c r="K59" i="67"/>
  <c r="P74" i="67" s="1"/>
  <c r="P61" i="67"/>
  <c r="K59" i="15"/>
  <c r="D115" i="39"/>
  <c r="E115" i="39"/>
  <c r="F115" i="39"/>
  <c r="G115" i="39"/>
  <c r="H115" i="39"/>
  <c r="I115" i="39"/>
  <c r="J115" i="39"/>
  <c r="K115" i="39"/>
  <c r="L115" i="39"/>
  <c r="M115" i="39"/>
  <c r="C115" i="39"/>
  <c r="A21" i="62"/>
  <c r="B67" i="72" s="1"/>
  <c r="A20" i="62"/>
  <c r="B66" i="72" s="1"/>
  <c r="A22" i="51"/>
  <c r="A21" i="51"/>
  <c r="A20" i="51"/>
  <c r="A14" i="62"/>
  <c r="B60" i="72" s="1"/>
  <c r="A13" i="62"/>
  <c r="B59" i="72"/>
  <c r="A19" i="62"/>
  <c r="B65" i="72" s="1"/>
  <c r="A12" i="62"/>
  <c r="B58" i="72" s="1"/>
  <c r="A120" i="9"/>
  <c r="H2" i="52"/>
  <c r="A1" i="52"/>
  <c r="A3" i="53"/>
  <c r="Q23" i="71"/>
  <c r="P23" i="71"/>
  <c r="O23" i="71"/>
  <c r="N23" i="71"/>
  <c r="X21" i="71" s="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0" i="43" s="1"/>
  <c r="AA10" i="43"/>
  <c r="AC10" i="43"/>
  <c r="AE10" i="43"/>
  <c r="AG10" i="43"/>
  <c r="AI10" i="43"/>
  <c r="AH10" i="43"/>
  <c r="AJ10" i="43"/>
  <c r="K49" i="9"/>
  <c r="E107" i="9"/>
  <c r="A122" i="9" s="1"/>
  <c r="A8" i="52" s="1"/>
  <c r="E111" i="9"/>
  <c r="A126" i="9"/>
  <c r="E109" i="9"/>
  <c r="A124" i="9"/>
  <c r="B44" i="72"/>
  <c r="B42" i="72"/>
  <c r="B69" i="72"/>
  <c r="B68" i="72"/>
  <c r="B63" i="72"/>
  <c r="B62" i="72"/>
  <c r="B16" i="72"/>
  <c r="B10" i="72"/>
  <c r="C53" i="10"/>
  <c r="B51" i="10"/>
  <c r="B19" i="72"/>
  <c r="A18" i="51"/>
  <c r="B13" i="72" s="1"/>
  <c r="B49" i="48"/>
  <c r="B5" i="72" s="1"/>
  <c r="I19" i="43"/>
  <c r="D86" i="71"/>
  <c r="F85" i="71"/>
  <c r="E85" i="71"/>
  <c r="E84" i="71"/>
  <c r="E83" i="71"/>
  <c r="C85" i="71"/>
  <c r="D85" i="71" s="1"/>
  <c r="B85" i="71"/>
  <c r="F84" i="71"/>
  <c r="F83" i="71" s="1"/>
  <c r="B84" i="71"/>
  <c r="B83" i="71"/>
  <c r="D82" i="71"/>
  <c r="F81" i="71"/>
  <c r="E81" i="71"/>
  <c r="E80" i="71"/>
  <c r="E79" i="71" s="1"/>
  <c r="C81" i="71"/>
  <c r="D81" i="71"/>
  <c r="B81" i="71"/>
  <c r="B80" i="71" s="1"/>
  <c r="B79" i="71" s="1"/>
  <c r="F80" i="71"/>
  <c r="F79" i="71" s="1"/>
  <c r="D78" i="71"/>
  <c r="Q77" i="71"/>
  <c r="P77" i="71"/>
  <c r="O77" i="71"/>
  <c r="N77" i="71"/>
  <c r="F77" i="71"/>
  <c r="V77" i="71" s="1"/>
  <c r="E77" i="71"/>
  <c r="U77" i="71" s="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T69" i="71"/>
  <c r="B69" i="71"/>
  <c r="S69" i="71" s="1"/>
  <c r="Q68" i="71"/>
  <c r="P68" i="71"/>
  <c r="O68" i="71"/>
  <c r="N68" i="71"/>
  <c r="F68" i="71"/>
  <c r="F67" i="71" s="1"/>
  <c r="B68" i="71"/>
  <c r="B67" i="71" s="1"/>
  <c r="Q67" i="71"/>
  <c r="P67" i="71"/>
  <c r="O67" i="71"/>
  <c r="N67" i="71"/>
  <c r="Q66" i="71"/>
  <c r="P66" i="71"/>
  <c r="O66" i="71"/>
  <c r="N66" i="71"/>
  <c r="D66" i="71"/>
  <c r="F65" i="71"/>
  <c r="Q65" i="71" s="1"/>
  <c r="E65" i="71"/>
  <c r="U65" i="71" s="1"/>
  <c r="P65" i="71"/>
  <c r="C65" i="71"/>
  <c r="B65" i="71"/>
  <c r="S65" i="71" s="1"/>
  <c r="F64" i="71"/>
  <c r="F63" i="71" s="1"/>
  <c r="Q63" i="71" s="1"/>
  <c r="B64" i="71"/>
  <c r="N64" i="71" s="1"/>
  <c r="D62" i="71"/>
  <c r="Q61" i="71"/>
  <c r="P61" i="71"/>
  <c r="O61" i="71"/>
  <c r="N61" i="71"/>
  <c r="Q60" i="71"/>
  <c r="P60" i="71"/>
  <c r="O60" i="71"/>
  <c r="N60" i="71"/>
  <c r="B61" i="71" s="1"/>
  <c r="S61" i="71" s="1"/>
  <c r="Q59" i="71"/>
  <c r="P59" i="71"/>
  <c r="O59" i="71"/>
  <c r="N59" i="71"/>
  <c r="Q58" i="71"/>
  <c r="F59" i="71" s="1"/>
  <c r="P58" i="71"/>
  <c r="E59" i="71" s="1"/>
  <c r="E60" i="71" s="1"/>
  <c r="E61" i="71" s="1"/>
  <c r="U61" i="71" s="1"/>
  <c r="O58" i="71"/>
  <c r="C59" i="71" s="1"/>
  <c r="N58" i="71"/>
  <c r="B59"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s="1"/>
  <c r="E52" i="71" s="1"/>
  <c r="E53" i="71" s="1"/>
  <c r="U53" i="71" s="1"/>
  <c r="O50" i="71"/>
  <c r="C51" i="71" s="1"/>
  <c r="N50" i="71"/>
  <c r="B51" i="71" s="1"/>
  <c r="B52" i="71" s="1"/>
  <c r="B53" i="71" s="1"/>
  <c r="S53" i="71"/>
  <c r="D50" i="71"/>
  <c r="Q49" i="71"/>
  <c r="P49" i="71"/>
  <c r="O49" i="71"/>
  <c r="N49" i="71"/>
  <c r="Q48" i="71"/>
  <c r="P48" i="71"/>
  <c r="O48" i="71"/>
  <c r="N48" i="71"/>
  <c r="Q47" i="71"/>
  <c r="P47" i="71"/>
  <c r="O47" i="71"/>
  <c r="N47" i="71"/>
  <c r="Q46" i="71"/>
  <c r="F47" i="71"/>
  <c r="P46" i="71"/>
  <c r="E47" i="71" s="1"/>
  <c r="E48" i="71" s="1"/>
  <c r="E49" i="71" s="1"/>
  <c r="U49" i="71" s="1"/>
  <c r="O46" i="71"/>
  <c r="C47" i="71" s="1"/>
  <c r="N46" i="71"/>
  <c r="B47" i="7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c r="E41" i="71"/>
  <c r="U41" i="71" s="1"/>
  <c r="O38" i="71"/>
  <c r="C39" i="71"/>
  <c r="N38" i="71"/>
  <c r="B39" i="71" s="1"/>
  <c r="D38" i="71"/>
  <c r="Q37" i="71"/>
  <c r="P37" i="71"/>
  <c r="O37" i="71"/>
  <c r="N37" i="71"/>
  <c r="Q36" i="71"/>
  <c r="P36" i="71"/>
  <c r="AA33" i="71" s="1"/>
  <c r="O36" i="71"/>
  <c r="Y36" i="71"/>
  <c r="Z36" i="71" s="1"/>
  <c r="N36" i="71"/>
  <c r="X36" i="71"/>
  <c r="Q35" i="71"/>
  <c r="AB35" i="71"/>
  <c r="P35" i="71"/>
  <c r="O35" i="71"/>
  <c r="Y35" i="71"/>
  <c r="Z35" i="71" s="1"/>
  <c r="N35" i="71"/>
  <c r="F35" i="71"/>
  <c r="F36" i="71"/>
  <c r="F37" i="71" s="1"/>
  <c r="V37" i="71" s="1"/>
  <c r="Q34" i="71"/>
  <c r="P34" i="71"/>
  <c r="E35" i="71" s="1"/>
  <c r="E36" i="71" s="1"/>
  <c r="O34" i="71"/>
  <c r="C35" i="71" s="1"/>
  <c r="N34" i="71"/>
  <c r="D34" i="71"/>
  <c r="Q33" i="71"/>
  <c r="AB31" i="71" s="1"/>
  <c r="AB33" i="71"/>
  <c r="P33" i="71"/>
  <c r="O33" i="71"/>
  <c r="Y33" i="71"/>
  <c r="Z33" i="71" s="1"/>
  <c r="N33" i="71"/>
  <c r="Q32" i="71"/>
  <c r="P32" i="71"/>
  <c r="AA32" i="71" s="1"/>
  <c r="O32" i="71"/>
  <c r="N32" i="71"/>
  <c r="X32" i="71" s="1"/>
  <c r="Q31" i="71"/>
  <c r="P31" i="71"/>
  <c r="O31" i="71"/>
  <c r="Y31" i="71" s="1"/>
  <c r="Z31" i="71" s="1"/>
  <c r="N31" i="71"/>
  <c r="Q30" i="71"/>
  <c r="P30" i="71"/>
  <c r="O30" i="71"/>
  <c r="N30" i="71"/>
  <c r="D30" i="71"/>
  <c r="Q29" i="71"/>
  <c r="P29" i="71"/>
  <c r="O29" i="71"/>
  <c r="N29" i="71"/>
  <c r="X26" i="71" s="1"/>
  <c r="Q28" i="71"/>
  <c r="AB28" i="71" s="1"/>
  <c r="P28" i="71"/>
  <c r="O28" i="71"/>
  <c r="Y28" i="71" s="1"/>
  <c r="Z28" i="71" s="1"/>
  <c r="N28" i="71"/>
  <c r="Q27" i="71"/>
  <c r="P27" i="71"/>
  <c r="O27" i="71"/>
  <c r="Y27" i="71"/>
  <c r="Z27" i="71" s="1"/>
  <c r="N27" i="71"/>
  <c r="Q26" i="71"/>
  <c r="F27" i="71" s="1"/>
  <c r="F28" i="71" s="1"/>
  <c r="F29" i="71" s="1"/>
  <c r="V29" i="71" s="1"/>
  <c r="P26" i="71"/>
  <c r="O26" i="71"/>
  <c r="N26" i="71"/>
  <c r="D26" i="71"/>
  <c r="O25" i="71"/>
  <c r="Y25" i="71" s="1"/>
  <c r="Z25" i="71" s="1"/>
  <c r="N25" i="71"/>
  <c r="X25" i="71" s="1"/>
  <c r="B27" i="71"/>
  <c r="B28" i="71"/>
  <c r="B29" i="71"/>
  <c r="S29" i="71" s="1"/>
  <c r="B31" i="71"/>
  <c r="B32" i="71"/>
  <c r="B33" i="71" s="1"/>
  <c r="S33" i="71" s="1"/>
  <c r="X30" i="71"/>
  <c r="B35" i="71"/>
  <c r="B36" i="71" s="1"/>
  <c r="B37" i="71" s="1"/>
  <c r="S37" i="71"/>
  <c r="X34" i="71"/>
  <c r="N65" i="71"/>
  <c r="E31" i="71"/>
  <c r="E32" i="71"/>
  <c r="AB26" i="71"/>
  <c r="X27" i="71"/>
  <c r="C31" i="71"/>
  <c r="D31" i="71" s="1"/>
  <c r="X31" i="71"/>
  <c r="X33" i="71"/>
  <c r="X35" i="71"/>
  <c r="F48" i="71"/>
  <c r="F49" i="71" s="1"/>
  <c r="V49" i="71" s="1"/>
  <c r="B25" i="71"/>
  <c r="S25" i="71" s="1"/>
  <c r="X22" i="71"/>
  <c r="X23" i="71"/>
  <c r="X24" i="71"/>
  <c r="C40" i="71"/>
  <c r="D39" i="71"/>
  <c r="P25" i="71"/>
  <c r="Q62" i="71"/>
  <c r="Q25" i="71"/>
  <c r="AB25" i="71" s="1"/>
  <c r="D55" i="71"/>
  <c r="D65" i="71"/>
  <c r="C64" i="71"/>
  <c r="E68" i="71"/>
  <c r="E67" i="71" s="1"/>
  <c r="C72" i="71"/>
  <c r="D72" i="71" s="1"/>
  <c r="D73" i="71"/>
  <c r="C76" i="71"/>
  <c r="E76" i="71"/>
  <c r="E75" i="71" s="1"/>
  <c r="D77" i="71"/>
  <c r="C80" i="71"/>
  <c r="D80" i="71" s="1"/>
  <c r="C84" i="71"/>
  <c r="F25" i="71"/>
  <c r="F24" i="71" s="1"/>
  <c r="F23" i="71" s="1"/>
  <c r="AB23" i="71"/>
  <c r="D76" i="71"/>
  <c r="C75" i="71"/>
  <c r="D75"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s="1"/>
  <c r="A12" i="70"/>
  <c r="E12" i="70" s="1"/>
  <c r="A13" i="70"/>
  <c r="E13" i="70"/>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68" i="35" s="1"/>
  <c r="G68" i="35" s="1"/>
  <c r="F18" i="35"/>
  <c r="S18" i="35" s="1"/>
  <c r="C18" i="35"/>
  <c r="Q21" i="37"/>
  <c r="Z21" i="37" s="1"/>
  <c r="D77" i="37"/>
  <c r="E77" i="37" s="1"/>
  <c r="C21" i="37"/>
  <c r="Q21" i="34"/>
  <c r="Z21" i="34" s="1"/>
  <c r="D84" i="34"/>
  <c r="E84" i="34" s="1"/>
  <c r="F21" i="34"/>
  <c r="AA21" i="34" s="1"/>
  <c r="C21" i="34"/>
  <c r="Z21" i="33"/>
  <c r="Q21" i="33"/>
  <c r="D83" i="33"/>
  <c r="E83" i="33" s="1"/>
  <c r="F83" i="33" s="1"/>
  <c r="G83" i="33" s="1"/>
  <c r="C21" i="33"/>
  <c r="C21" i="21"/>
  <c r="Q21" i="21"/>
  <c r="Z21" i="21" s="1"/>
  <c r="H19" i="21"/>
  <c r="D83" i="21"/>
  <c r="E83" i="21" s="1"/>
  <c r="F83" i="21" s="1"/>
  <c r="G83" i="21" s="1"/>
  <c r="F21" i="21"/>
  <c r="D81" i="21"/>
  <c r="G20" i="20"/>
  <c r="C25" i="40" s="1"/>
  <c r="C22" i="20"/>
  <c r="C29" i="39" s="1"/>
  <c r="B75" i="43"/>
  <c r="B55" i="43"/>
  <c r="B66" i="43"/>
  <c r="S25" i="40"/>
  <c r="S21" i="34"/>
  <c r="F94" i="40"/>
  <c r="G94" i="40" s="1"/>
  <c r="H25" i="40"/>
  <c r="J25" i="40"/>
  <c r="H29" i="39"/>
  <c r="AB29" i="39" s="1"/>
  <c r="J29" i="39"/>
  <c r="AC29" i="39" s="1"/>
  <c r="J18" i="36"/>
  <c r="AC18" i="36" s="1"/>
  <c r="H18" i="35"/>
  <c r="J18" i="35"/>
  <c r="F77" i="37"/>
  <c r="G77" i="37" s="1"/>
  <c r="H21" i="37"/>
  <c r="F21" i="37"/>
  <c r="F84" i="34"/>
  <c r="H21" i="34"/>
  <c r="H21" i="33"/>
  <c r="U21" i="33" s="1"/>
  <c r="F21" i="33"/>
  <c r="H1" i="69"/>
  <c r="AC25" i="40"/>
  <c r="W25" i="40"/>
  <c r="U29" i="39"/>
  <c r="W29" i="39"/>
  <c r="AB21" i="37"/>
  <c r="U21" i="37"/>
  <c r="AB21" i="34"/>
  <c r="U21" i="34"/>
  <c r="AB21" i="33"/>
  <c r="AA21" i="33"/>
  <c r="S21" i="33"/>
  <c r="AC18" i="35"/>
  <c r="W18" i="35"/>
  <c r="J21" i="37"/>
  <c r="G84" i="34"/>
  <c r="J21" i="34"/>
  <c r="J21" i="33"/>
  <c r="H21" i="21"/>
  <c r="AB21" i="21" s="1"/>
  <c r="F38" i="69"/>
  <c r="E37" i="69"/>
  <c r="F36" i="69"/>
  <c r="F35" i="69"/>
  <c r="F21" i="69"/>
  <c r="F40" i="69" s="1"/>
  <c r="F20" i="69"/>
  <c r="F39" i="69" s="1"/>
  <c r="E10" i="69"/>
  <c r="E9" i="69"/>
  <c r="AC21" i="37"/>
  <c r="W21" i="37"/>
  <c r="AC21" i="33"/>
  <c r="W21" i="33"/>
  <c r="J21" i="21"/>
  <c r="W21" i="21" s="1"/>
  <c r="C40" i="69"/>
  <c r="F38" i="68"/>
  <c r="E37" i="68"/>
  <c r="F36" i="68"/>
  <c r="F35" i="68"/>
  <c r="F21" i="68"/>
  <c r="F40" i="68" s="1"/>
  <c r="C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0" i="43" s="1"/>
  <c r="D108" i="43"/>
  <c r="E99" i="43"/>
  <c r="E108" i="43" s="1"/>
  <c r="F99" i="43"/>
  <c r="F108" i="43"/>
  <c r="G99" i="43"/>
  <c r="H99" i="43"/>
  <c r="H108" i="43"/>
  <c r="I99" i="43"/>
  <c r="J99" i="43"/>
  <c r="J108" i="43" s="1"/>
  <c r="K99" i="43"/>
  <c r="K108" i="43" s="1"/>
  <c r="L99" i="43"/>
  <c r="L100" i="43" s="1"/>
  <c r="L108" i="43"/>
  <c r="M99" i="43"/>
  <c r="M108" i="43" s="1"/>
  <c r="C99" i="43"/>
  <c r="C108" i="43" s="1"/>
  <c r="N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c r="K86" i="43"/>
  <c r="J86" i="43" s="1"/>
  <c r="M85" i="43"/>
  <c r="N85" i="43"/>
  <c r="K85" i="43"/>
  <c r="J85" i="43" s="1"/>
  <c r="M84" i="43"/>
  <c r="N84" i="43" s="1"/>
  <c r="K84" i="43"/>
  <c r="J84" i="43" s="1"/>
  <c r="M83" i="43"/>
  <c r="N83" i="43"/>
  <c r="K83" i="43"/>
  <c r="J83" i="43"/>
  <c r="M82" i="43"/>
  <c r="N82" i="43"/>
  <c r="K82" i="43"/>
  <c r="J82" i="43" s="1"/>
  <c r="M81" i="43"/>
  <c r="N81" i="43" s="1"/>
  <c r="K81" i="43"/>
  <c r="J81" i="43"/>
  <c r="M78" i="43"/>
  <c r="N78" i="43" s="1"/>
  <c r="K78" i="43"/>
  <c r="J78" i="43" s="1"/>
  <c r="D78" i="43"/>
  <c r="M77" i="43"/>
  <c r="N77" i="43" s="1"/>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c r="D72" i="43"/>
  <c r="M71" i="43"/>
  <c r="N71" i="43"/>
  <c r="K71" i="43"/>
  <c r="J71" i="43"/>
  <c r="D71" i="43"/>
  <c r="M70" i="43"/>
  <c r="N70" i="43"/>
  <c r="K70" i="43"/>
  <c r="J70" i="43" s="1"/>
  <c r="D70" i="43"/>
  <c r="M67" i="43"/>
  <c r="N67" i="43" s="1"/>
  <c r="K67" i="43"/>
  <c r="J67" i="43" s="1"/>
  <c r="M66" i="43"/>
  <c r="N66" i="43"/>
  <c r="K66" i="43"/>
  <c r="J66" i="43"/>
  <c r="M65" i="43"/>
  <c r="N65" i="43" s="1"/>
  <c r="K65" i="43"/>
  <c r="J65" i="43" s="1"/>
  <c r="M64" i="43"/>
  <c r="N64" i="43"/>
  <c r="K64" i="43"/>
  <c r="J64" i="43"/>
  <c r="M63" i="43"/>
  <c r="N63" i="43" s="1"/>
  <c r="K63" i="43"/>
  <c r="J63" i="43" s="1"/>
  <c r="M62" i="43"/>
  <c r="N62" i="43"/>
  <c r="K62" i="43"/>
  <c r="J62" i="43"/>
  <c r="M61" i="43"/>
  <c r="N61" i="43" s="1"/>
  <c r="K61" i="43"/>
  <c r="J61" i="43" s="1"/>
  <c r="M60" i="43"/>
  <c r="N60" i="43"/>
  <c r="K60" i="43"/>
  <c r="J60" i="43"/>
  <c r="M59" i="43"/>
  <c r="N59" i="43" s="1"/>
  <c r="K59" i="43"/>
  <c r="J59" i="43" s="1"/>
  <c r="M56" i="43"/>
  <c r="N56" i="43"/>
  <c r="K56" i="43"/>
  <c r="J56" i="43"/>
  <c r="D56" i="43"/>
  <c r="M55" i="43"/>
  <c r="N55" i="43"/>
  <c r="K55" i="43"/>
  <c r="J55" i="43"/>
  <c r="D55" i="43"/>
  <c r="M54" i="43"/>
  <c r="N54" i="43"/>
  <c r="K54" i="43"/>
  <c r="J54" i="43" s="1"/>
  <c r="D54" i="43"/>
  <c r="M53" i="43"/>
  <c r="N53" i="43"/>
  <c r="K53" i="43"/>
  <c r="J53" i="43" s="1"/>
  <c r="D53" i="43"/>
  <c r="M52" i="43"/>
  <c r="N52" i="43"/>
  <c r="K52" i="43"/>
  <c r="J52" i="43"/>
  <c r="D52" i="43"/>
  <c r="M51" i="43"/>
  <c r="N51" i="43" s="1"/>
  <c r="K51" i="43"/>
  <c r="J51" i="43"/>
  <c r="D51" i="43"/>
  <c r="M50" i="43"/>
  <c r="N50" i="43" s="1"/>
  <c r="K50" i="43"/>
  <c r="J50" i="43" s="1"/>
  <c r="D50" i="43"/>
  <c r="M49" i="43"/>
  <c r="N49" i="43"/>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c r="I10" i="31" s="1"/>
  <c r="J10" i="31" s="1"/>
  <c r="K10" i="31" s="1"/>
  <c r="L10" i="3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s="1"/>
  <c r="H6" i="3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A111" i="3" s="1"/>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A101" i="3" s="1"/>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L97" i="3" s="1"/>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L92" i="3" s="1"/>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A89" i="3" s="1"/>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A87" i="3" s="1"/>
  <c r="AZ87" i="3" s="1"/>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L79" i="3" s="1"/>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A75" i="3" s="1"/>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A73" i="3" s="1"/>
  <c r="AZ73" i="3" s="1"/>
  <c r="BD73" i="3"/>
  <c r="BC73" i="3"/>
  <c r="BB73" i="3"/>
  <c r="AX73" i="3"/>
  <c r="AW73" i="3"/>
  <c r="AV73" i="3"/>
  <c r="AC73" i="3"/>
  <c r="H73" i="3"/>
  <c r="G73" i="3"/>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A70" i="3" s="1"/>
  <c r="AZ70" i="3" s="1"/>
  <c r="BE70" i="3"/>
  <c r="BD70" i="3"/>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L59" i="3" s="1"/>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L56" i="3" s="1"/>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K51" i="3"/>
  <c r="BJ51" i="3"/>
  <c r="BI51" i="3"/>
  <c r="BH51" i="3"/>
  <c r="BA51" i="3" s="1"/>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L49" i="3" s="1"/>
  <c r="BO49" i="3"/>
  <c r="BN49" i="3"/>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L207" i="3" s="1"/>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A194" i="3" s="1"/>
  <c r="BD194" i="3"/>
  <c r="BC194" i="3"/>
  <c r="BB194" i="3"/>
  <c r="AX194" i="3"/>
  <c r="AW194" i="3"/>
  <c r="AV194" i="3"/>
  <c r="AC194" i="3"/>
  <c r="G194" i="3" s="1"/>
  <c r="H194" i="3"/>
  <c r="BT193" i="3"/>
  <c r="BS193" i="3"/>
  <c r="BR193" i="3"/>
  <c r="BQ193" i="3"/>
  <c r="BP193" i="3"/>
  <c r="BO193" i="3"/>
  <c r="BN193" i="3"/>
  <c r="BM193" i="3"/>
  <c r="BK193" i="3"/>
  <c r="BJ193" i="3"/>
  <c r="BI193" i="3"/>
  <c r="BH193" i="3"/>
  <c r="BA193" i="3" s="1"/>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L181" i="3" s="1"/>
  <c r="BM181" i="3"/>
  <c r="BK181" i="3"/>
  <c r="BJ181" i="3"/>
  <c r="BI181" i="3"/>
  <c r="BH181" i="3"/>
  <c r="BA181" i="3" s="1"/>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G114" i="3" s="1"/>
  <c r="H114" i="3"/>
  <c r="BT113" i="3"/>
  <c r="BS113" i="3"/>
  <c r="BR113" i="3"/>
  <c r="BQ113" i="3"/>
  <c r="BL113" i="3" s="1"/>
  <c r="BP113" i="3"/>
  <c r="BO113" i="3"/>
  <c r="BN113" i="3"/>
  <c r="BM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L287" i="3" s="1"/>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A263" i="3" s="1"/>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A253" i="3" s="1"/>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A246" i="3" s="1"/>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A243" i="3" s="1"/>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L354" i="3" s="1"/>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L486" i="3" s="1"/>
  <c r="BO486" i="3"/>
  <c r="BN486" i="3"/>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A457" i="3" s="1"/>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A438" i="3" s="1"/>
  <c r="AZ438" i="3" s="1"/>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A435" i="3" s="1"/>
  <c r="AZ435" i="3" s="1"/>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A429" i="3" s="1"/>
  <c r="AZ429" i="3" s="1"/>
  <c r="BD429" i="3"/>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A426" i="3" s="1"/>
  <c r="AZ426" i="3" s="1"/>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A415" i="3" s="1"/>
  <c r="AZ415" i="3" s="1"/>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L411" i="3" s="1"/>
  <c r="BO411" i="3"/>
  <c r="BN411" i="3"/>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c r="R360" i="31"/>
  <c r="R361" i="31"/>
  <c r="S361" i="31" s="1"/>
  <c r="R362" i="31"/>
  <c r="R363" i="31"/>
  <c r="S363" i="3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c r="R392" i="31"/>
  <c r="R393" i="31"/>
  <c r="S393" i="31" s="1"/>
  <c r="R394" i="31"/>
  <c r="R395" i="31"/>
  <c r="S395" i="31"/>
  <c r="R396" i="31"/>
  <c r="R397" i="31"/>
  <c r="S397" i="31"/>
  <c r="R398" i="31"/>
  <c r="R399" i="31"/>
  <c r="S399" i="31" s="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E21" i="6"/>
  <c r="K8" i="1"/>
  <c r="M8" i="1" s="1"/>
  <c r="O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c r="J31" i="35"/>
  <c r="AC31" i="35" s="1"/>
  <c r="W31" i="35"/>
  <c r="H31" i="35"/>
  <c r="AB31" i="35" s="1"/>
  <c r="F31" i="35"/>
  <c r="D87" i="35"/>
  <c r="E87" i="35" s="1"/>
  <c r="F87" i="35" s="1"/>
  <c r="G87" i="35" s="1"/>
  <c r="H87" i="35"/>
  <c r="I87" i="35"/>
  <c r="J87" i="35" s="1"/>
  <c r="K87" i="35" s="1"/>
  <c r="L87" i="35" s="1"/>
  <c r="M87" i="35" s="1"/>
  <c r="H34" i="37"/>
  <c r="D101" i="37"/>
  <c r="F34" i="37"/>
  <c r="D99" i="37"/>
  <c r="E99" i="37" s="1"/>
  <c r="F99" i="37" s="1"/>
  <c r="G99" i="37" s="1"/>
  <c r="H99" i="37" s="1"/>
  <c r="I99" i="37" s="1"/>
  <c r="J99" i="37" s="1"/>
  <c r="K99" i="37"/>
  <c r="L99" i="37" s="1"/>
  <c r="M99" i="37" s="1"/>
  <c r="H42" i="34"/>
  <c r="J42" i="34"/>
  <c r="W42" i="34" s="1"/>
  <c r="F42" i="34"/>
  <c r="J38" i="34"/>
  <c r="W38" i="34"/>
  <c r="D114" i="34"/>
  <c r="F38" i="34"/>
  <c r="S38" i="34" s="1"/>
  <c r="D112" i="34"/>
  <c r="E112" i="34" s="1"/>
  <c r="F112" i="34" s="1"/>
  <c r="G112" i="34" s="1"/>
  <c r="H112" i="34"/>
  <c r="I112" i="34"/>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H39" i="40" s="1"/>
  <c r="AB39" i="40" s="1"/>
  <c r="B116" i="40"/>
  <c r="F38" i="40" s="1"/>
  <c r="AA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c r="F100" i="40"/>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s="1"/>
  <c r="U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s="1"/>
  <c r="Q36" i="37"/>
  <c r="Z36" i="37" s="1"/>
  <c r="Q35" i="37"/>
  <c r="Z35" i="37"/>
  <c r="Q34" i="37"/>
  <c r="Z34" i="37"/>
  <c r="Q33" i="37"/>
  <c r="Z33" i="37"/>
  <c r="Q32" i="37"/>
  <c r="Z32" i="37" s="1"/>
  <c r="Q31" i="37"/>
  <c r="Z31" i="37"/>
  <c r="J31" i="37"/>
  <c r="AC31" i="37"/>
  <c r="Q30" i="37"/>
  <c r="Z30" i="37"/>
  <c r="J30" i="37"/>
  <c r="AC30" i="37" s="1"/>
  <c r="H30" i="37"/>
  <c r="AB30" i="37"/>
  <c r="F30" i="37"/>
  <c r="AA30" i="37"/>
  <c r="Q29" i="37"/>
  <c r="Z29" i="37" s="1"/>
  <c r="H29" i="37"/>
  <c r="AB29" i="37" s="1"/>
  <c r="Q28" i="37"/>
  <c r="Z28" i="37"/>
  <c r="Q27" i="37"/>
  <c r="Z27" i="37"/>
  <c r="Q26" i="37"/>
  <c r="Z26" i="37"/>
  <c r="J26" i="37"/>
  <c r="AC26" i="37" s="1"/>
  <c r="H26" i="37"/>
  <c r="AB26" i="37"/>
  <c r="Q25" i="37"/>
  <c r="Z25" i="37" s="1"/>
  <c r="J25" i="37"/>
  <c r="AC25" i="37" s="1"/>
  <c r="Q23" i="37"/>
  <c r="Z23" i="37"/>
  <c r="Q19" i="37"/>
  <c r="Z19" i="37"/>
  <c r="Q17" i="37"/>
  <c r="Z17" i="37" s="1"/>
  <c r="Q15" i="37"/>
  <c r="Z15" i="37"/>
  <c r="Q14" i="37"/>
  <c r="Z14" i="37"/>
  <c r="Q13" i="37"/>
  <c r="Z13" i="37" s="1"/>
  <c r="Q12" i="37"/>
  <c r="Z12" i="37" s="1"/>
  <c r="Q11" i="37"/>
  <c r="Z11" i="37"/>
  <c r="Q10" i="37"/>
  <c r="Z10" i="37"/>
  <c r="F10" i="37"/>
  <c r="AA10" i="37"/>
  <c r="Q9" i="37"/>
  <c r="Z9" i="37" s="1"/>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s="1"/>
  <c r="B91" i="36"/>
  <c r="F32" i="36"/>
  <c r="B95" i="36"/>
  <c r="H34" i="36"/>
  <c r="D83" i="36"/>
  <c r="E83" i="36"/>
  <c r="F83" i="36" s="1"/>
  <c r="G83" i="36" s="1"/>
  <c r="H83" i="36" s="1"/>
  <c r="I83" i="36" s="1"/>
  <c r="J83" i="36" s="1"/>
  <c r="K83" i="36" s="1"/>
  <c r="L83" i="36"/>
  <c r="M83" i="36" s="1"/>
  <c r="D78" i="36"/>
  <c r="E78" i="36" s="1"/>
  <c r="F78" i="36" s="1"/>
  <c r="G78" i="36" s="1"/>
  <c r="H78" i="36" s="1"/>
  <c r="I78" i="36" s="1"/>
  <c r="J78" i="36"/>
  <c r="K78" i="36" s="1"/>
  <c r="L78" i="36" s="1"/>
  <c r="M78" i="36" s="1"/>
  <c r="B75" i="36"/>
  <c r="B73" i="36"/>
  <c r="H24" i="36" s="1"/>
  <c r="AB24" i="36" s="1"/>
  <c r="B71" i="36"/>
  <c r="D70" i="36"/>
  <c r="H22" i="36"/>
  <c r="AB22" i="36" s="1"/>
  <c r="D68" i="36"/>
  <c r="E68" i="36"/>
  <c r="F68" i="36" s="1"/>
  <c r="G68" i="36" s="1"/>
  <c r="D64" i="36"/>
  <c r="E64" i="36" s="1"/>
  <c r="F64" i="36" s="1"/>
  <c r="G64" i="36" s="1"/>
  <c r="J16" i="36"/>
  <c r="W16" i="36"/>
  <c r="D62" i="36"/>
  <c r="E62" i="36"/>
  <c r="F62" i="36"/>
  <c r="G62" i="36"/>
  <c r="B59" i="36"/>
  <c r="B57" i="36"/>
  <c r="J12" i="36"/>
  <c r="B55" i="36"/>
  <c r="F54" i="36"/>
  <c r="G54" i="36"/>
  <c r="H54" i="36"/>
  <c r="I54" i="36"/>
  <c r="C51" i="36"/>
  <c r="J9" i="36" s="1"/>
  <c r="AC9" i="36" s="1"/>
  <c r="P37" i="36"/>
  <c r="P36" i="36"/>
  <c r="V35" i="36"/>
  <c r="T35" i="36"/>
  <c r="R35" i="36"/>
  <c r="P35" i="36"/>
  <c r="Q34" i="36"/>
  <c r="Z34" i="36" s="1"/>
  <c r="Q33" i="36"/>
  <c r="Z33" i="36"/>
  <c r="Q32" i="36"/>
  <c r="Z32" i="36" s="1"/>
  <c r="Q31" i="36"/>
  <c r="Z31" i="36"/>
  <c r="Q30" i="36"/>
  <c r="Z30" i="36" s="1"/>
  <c r="Q29" i="36"/>
  <c r="Z29" i="36"/>
  <c r="Q28" i="36"/>
  <c r="Z28" i="36"/>
  <c r="J28" i="36"/>
  <c r="W28" i="36" s="1"/>
  <c r="Q27" i="36"/>
  <c r="Z27" i="36" s="1"/>
  <c r="Q26" i="36"/>
  <c r="Z26" i="36"/>
  <c r="H26" i="36"/>
  <c r="AB26" i="36"/>
  <c r="Q25" i="36"/>
  <c r="Z25" i="36"/>
  <c r="Q24" i="36"/>
  <c r="Z24" i="36" s="1"/>
  <c r="Q23" i="36"/>
  <c r="Z23" i="36"/>
  <c r="J23" i="36"/>
  <c r="AC23" i="36"/>
  <c r="Q22" i="36"/>
  <c r="Z22" i="36"/>
  <c r="J22" i="36"/>
  <c r="AC22" i="36" s="1"/>
  <c r="Q20" i="36"/>
  <c r="Z20" i="36" s="1"/>
  <c r="Q16" i="36"/>
  <c r="Z16" i="36"/>
  <c r="Q14" i="36"/>
  <c r="Z14" i="36"/>
  <c r="Q13" i="36"/>
  <c r="Z13" i="36"/>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c r="J22" i="35"/>
  <c r="W22" i="35" s="1"/>
  <c r="AC22" i="35"/>
  <c r="B101" i="35"/>
  <c r="H36" i="35" s="1"/>
  <c r="AB36" i="35" s="1"/>
  <c r="B99" i="35"/>
  <c r="B97" i="35"/>
  <c r="B77" i="35"/>
  <c r="B75" i="35"/>
  <c r="J24" i="35" s="1"/>
  <c r="AC24" i="35" s="1"/>
  <c r="B73" i="35"/>
  <c r="H23" i="35"/>
  <c r="U23" i="35" s="1"/>
  <c r="B57" i="35"/>
  <c r="B61" i="35"/>
  <c r="B59" i="35"/>
  <c r="F12" i="35" s="1"/>
  <c r="S12" i="35" s="1"/>
  <c r="B131" i="34"/>
  <c r="B129" i="34"/>
  <c r="B127" i="34"/>
  <c r="B99" i="34"/>
  <c r="B97" i="34"/>
  <c r="B95" i="34"/>
  <c r="B93" i="34"/>
  <c r="B75" i="34"/>
  <c r="B73" i="34"/>
  <c r="B71" i="34"/>
  <c r="H12" i="34" s="1"/>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U34" i="35" s="1"/>
  <c r="AB34" i="35"/>
  <c r="F34" i="35"/>
  <c r="AA34" i="35" s="1"/>
  <c r="Q33" i="35"/>
  <c r="Z33" i="35"/>
  <c r="Q32" i="35"/>
  <c r="Z32" i="35" s="1"/>
  <c r="H32" i="35"/>
  <c r="AB32" i="35"/>
  <c r="F32" i="35"/>
  <c r="AA32" i="35" s="1"/>
  <c r="Q31" i="35"/>
  <c r="Z31" i="35"/>
  <c r="AA31" i="35"/>
  <c r="Q30" i="35"/>
  <c r="Z30" i="35" s="1"/>
  <c r="Q29" i="35"/>
  <c r="Z29" i="35" s="1"/>
  <c r="Q28" i="35"/>
  <c r="Z28" i="35" s="1"/>
  <c r="J28" i="35"/>
  <c r="AC28" i="35"/>
  <c r="H28" i="35"/>
  <c r="AB28" i="35"/>
  <c r="F28" i="35"/>
  <c r="AA28" i="35" s="1"/>
  <c r="Q27" i="35"/>
  <c r="Z27" i="35" s="1"/>
  <c r="Q26" i="35"/>
  <c r="Z26" i="35"/>
  <c r="Q25" i="35"/>
  <c r="Z25" i="35"/>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c r="K124" i="34" s="1"/>
  <c r="L124" i="34" s="1"/>
  <c r="M124" i="34" s="1"/>
  <c r="H43" i="34"/>
  <c r="AB43" i="34"/>
  <c r="D118" i="34"/>
  <c r="E118" i="34" s="1"/>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c r="L107" i="34"/>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c r="H34" i="34"/>
  <c r="AB34" i="34" s="1"/>
  <c r="F34" i="34"/>
  <c r="S34" i="34" s="1"/>
  <c r="AA34" i="34"/>
  <c r="Q33" i="34"/>
  <c r="Z33" i="34" s="1"/>
  <c r="Q32" i="34"/>
  <c r="Z32" i="34"/>
  <c r="Q31" i="34"/>
  <c r="Z31" i="34" s="1"/>
  <c r="Q30" i="34"/>
  <c r="Z30" i="34" s="1"/>
  <c r="Q29" i="34"/>
  <c r="Z29" i="34" s="1"/>
  <c r="Q28" i="34"/>
  <c r="Z28" i="34"/>
  <c r="Q27" i="34"/>
  <c r="Z27" i="34" s="1"/>
  <c r="Q25" i="34"/>
  <c r="Z25" i="34"/>
  <c r="Q23" i="34"/>
  <c r="Z23" i="34" s="1"/>
  <c r="C23" i="34"/>
  <c r="Q19" i="34"/>
  <c r="Z19" i="34" s="1"/>
  <c r="C19" i="34"/>
  <c r="Q17" i="34"/>
  <c r="Z17" i="34" s="1"/>
  <c r="C17" i="34"/>
  <c r="Q15" i="34"/>
  <c r="Z15" i="34" s="1"/>
  <c r="Q14" i="34"/>
  <c r="Z14" i="34" s="1"/>
  <c r="Q13" i="34"/>
  <c r="Z13" i="34"/>
  <c r="Q12" i="34"/>
  <c r="Z12" i="34" s="1"/>
  <c r="J12" i="34"/>
  <c r="W12" i="34" s="1"/>
  <c r="Q11" i="34"/>
  <c r="Z11" i="34"/>
  <c r="Q10" i="34"/>
  <c r="Z10" i="34" s="1"/>
  <c r="F10" i="34"/>
  <c r="AA10" i="34" s="1"/>
  <c r="Q9" i="34"/>
  <c r="Z9" i="34" s="1"/>
  <c r="J9" i="34"/>
  <c r="AC9" i="34" s="1"/>
  <c r="H9" i="34"/>
  <c r="F9" i="34"/>
  <c r="AA9" i="34"/>
  <c r="J8" i="34"/>
  <c r="AC8" i="34" s="1"/>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c r="J40" i="33"/>
  <c r="AC40" i="33"/>
  <c r="H40" i="33"/>
  <c r="AB40" i="33" s="1"/>
  <c r="AA40" i="33"/>
  <c r="Q39" i="33"/>
  <c r="Z39" i="33" s="1"/>
  <c r="J39" i="33"/>
  <c r="Q38" i="33"/>
  <c r="Z38" i="33" s="1"/>
  <c r="J38" i="33"/>
  <c r="AC38" i="33" s="1"/>
  <c r="H38" i="33"/>
  <c r="AB38" i="33" s="1"/>
  <c r="F38" i="33"/>
  <c r="AA38" i="33" s="1"/>
  <c r="Q37" i="33"/>
  <c r="Z37" i="33" s="1"/>
  <c r="Q36" i="33"/>
  <c r="Z36" i="33" s="1"/>
  <c r="Q35" i="33"/>
  <c r="Z35" i="33"/>
  <c r="H35" i="33"/>
  <c r="Q34" i="33"/>
  <c r="Z34" i="33" s="1"/>
  <c r="Q33" i="33"/>
  <c r="Z33" i="33" s="1"/>
  <c r="J33" i="33"/>
  <c r="W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H9" i="33"/>
  <c r="AB9" i="33" s="1"/>
  <c r="J8" i="33"/>
  <c r="AC8" i="33" s="1"/>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C15" i="39"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S40" i="21" s="1"/>
  <c r="AA40" i="21"/>
  <c r="D117" i="21"/>
  <c r="E117" i="21"/>
  <c r="F117" i="21"/>
  <c r="G117" i="21" s="1"/>
  <c r="D115" i="21"/>
  <c r="E115" i="21"/>
  <c r="F115" i="21" s="1"/>
  <c r="G115" i="21" s="1"/>
  <c r="H115" i="21" s="1"/>
  <c r="I115" i="21"/>
  <c r="J115" i="21"/>
  <c r="K115" i="21" s="1"/>
  <c r="L115" i="21" s="1"/>
  <c r="M115" i="21" s="1"/>
  <c r="D113" i="21"/>
  <c r="E113" i="21"/>
  <c r="F113" i="21" s="1"/>
  <c r="G113" i="21"/>
  <c r="H113" i="21"/>
  <c r="D110" i="21"/>
  <c r="E110" i="21" s="1"/>
  <c r="F110" i="21"/>
  <c r="G110" i="21" s="1"/>
  <c r="H110" i="21" s="1"/>
  <c r="I110" i="21" s="1"/>
  <c r="J110" i="21" s="1"/>
  <c r="K110" i="21" s="1"/>
  <c r="L110" i="21" s="1"/>
  <c r="M110" i="21" s="1"/>
  <c r="J36" i="21"/>
  <c r="AC36" i="21" s="1"/>
  <c r="D108" i="21"/>
  <c r="E108" i="21" s="1"/>
  <c r="F108" i="21"/>
  <c r="G108" i="21"/>
  <c r="H108" i="2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12" i="21"/>
  <c r="AC12" i="21"/>
  <c r="H12" i="21"/>
  <c r="AB12" i="21"/>
  <c r="J26" i="21"/>
  <c r="W26" i="21"/>
  <c r="F26" i="21"/>
  <c r="S26" i="21" s="1"/>
  <c r="AB41" i="21"/>
  <c r="S41" i="21"/>
  <c r="AA41" i="21"/>
  <c r="F45" i="39"/>
  <c r="S45" i="39" s="1"/>
  <c r="J45" i="39"/>
  <c r="W45" i="39"/>
  <c r="J44" i="39"/>
  <c r="AC44" i="39" s="1"/>
  <c r="F36" i="39"/>
  <c r="S36" i="39" s="1"/>
  <c r="J35" i="39"/>
  <c r="AC35" i="39"/>
  <c r="F35" i="39"/>
  <c r="AA35" i="39" s="1"/>
  <c r="J36" i="39"/>
  <c r="AC36" i="39" s="1"/>
  <c r="U9" i="39"/>
  <c r="W40" i="39"/>
  <c r="W25" i="37"/>
  <c r="U30" i="37"/>
  <c r="W31" i="37"/>
  <c r="E103" i="37"/>
  <c r="F103" i="37"/>
  <c r="G103" i="37" s="1"/>
  <c r="H103" i="37" s="1"/>
  <c r="I103" i="37" s="1"/>
  <c r="J103" i="37"/>
  <c r="K103" i="37" s="1"/>
  <c r="L103" i="37" s="1"/>
  <c r="M103" i="37" s="1"/>
  <c r="F39" i="37"/>
  <c r="S39" i="37" s="1"/>
  <c r="F29" i="36"/>
  <c r="AA29" i="36"/>
  <c r="W8" i="36"/>
  <c r="F16" i="36"/>
  <c r="AA16" i="36" s="1"/>
  <c r="U9" i="36"/>
  <c r="S30" i="36"/>
  <c r="AC31" i="36"/>
  <c r="W31" i="36"/>
  <c r="U31" i="36"/>
  <c r="J33" i="36"/>
  <c r="W33" i="36"/>
  <c r="H22" i="35"/>
  <c r="AB22" i="35"/>
  <c r="W28" i="35"/>
  <c r="U31" i="35"/>
  <c r="S34" i="35"/>
  <c r="W34" i="35"/>
  <c r="W36" i="35"/>
  <c r="S31" i="35"/>
  <c r="F36" i="34"/>
  <c r="J35" i="34"/>
  <c r="W9" i="34"/>
  <c r="U34" i="34"/>
  <c r="H39" i="33"/>
  <c r="AB39" i="33"/>
  <c r="U33" i="33"/>
  <c r="S40" i="33"/>
  <c r="H39" i="37"/>
  <c r="AB39" i="37"/>
  <c r="S27" i="35"/>
  <c r="F11" i="40"/>
  <c r="AA11" i="40" s="1"/>
  <c r="H11" i="40"/>
  <c r="AB11" i="40" s="1"/>
  <c r="W8" i="40"/>
  <c r="AC40" i="40"/>
  <c r="AA9" i="40"/>
  <c r="AC9" i="40"/>
  <c r="S34"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U34" i="21"/>
  <c r="S34" i="21"/>
  <c r="C25" i="39"/>
  <c r="C27" i="39"/>
  <c r="C21" i="39"/>
  <c r="H11" i="39"/>
  <c r="S40" i="39"/>
  <c r="H32" i="33"/>
  <c r="AB32" i="33"/>
  <c r="H11" i="21"/>
  <c r="U11" i="21"/>
  <c r="J11" i="21"/>
  <c r="W11" i="21" s="1"/>
  <c r="H37" i="40"/>
  <c r="U37" i="40" s="1"/>
  <c r="H36" i="40"/>
  <c r="AB36" i="40" s="1"/>
  <c r="F35" i="40"/>
  <c r="AA35" i="40" s="1"/>
  <c r="H23" i="40"/>
  <c r="AB23" i="40"/>
  <c r="H17" i="40"/>
  <c r="U17" i="40" s="1"/>
  <c r="J15" i="40"/>
  <c r="W15" i="40"/>
  <c r="J11" i="40"/>
  <c r="W11" i="40"/>
  <c r="AB8" i="39"/>
  <c r="AB12" i="33"/>
  <c r="AC12" i="34"/>
  <c r="AB12" i="36"/>
  <c r="W32" i="40"/>
  <c r="S44" i="39"/>
  <c r="F37" i="39"/>
  <c r="AA37" i="39" s="1"/>
  <c r="J34" i="36"/>
  <c r="W34" i="36" s="1"/>
  <c r="U30" i="36"/>
  <c r="J30" i="35"/>
  <c r="W30" i="35"/>
  <c r="H30" i="35"/>
  <c r="AB30" i="35" s="1"/>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c r="J16" i="35"/>
  <c r="AC16" i="35"/>
  <c r="H16" i="35"/>
  <c r="U16" i="35" s="1"/>
  <c r="F16" i="35"/>
  <c r="S16" i="35" s="1"/>
  <c r="H14" i="35"/>
  <c r="AB14" i="35"/>
  <c r="J29" i="35"/>
  <c r="H33" i="35"/>
  <c r="AB33" i="35"/>
  <c r="AC8" i="35"/>
  <c r="J20" i="35"/>
  <c r="W20" i="35" s="1"/>
  <c r="F35" i="37"/>
  <c r="S35" i="37"/>
  <c r="E101" i="37"/>
  <c r="F101" i="37"/>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c r="F15" i="34"/>
  <c r="J15" i="34"/>
  <c r="H15" i="34"/>
  <c r="AB15" i="34" s="1"/>
  <c r="S9" i="34"/>
  <c r="W8" i="34"/>
  <c r="J28" i="34"/>
  <c r="W28" i="34"/>
  <c r="F41" i="33"/>
  <c r="AA41" i="33"/>
  <c r="S38" i="33"/>
  <c r="E113" i="33"/>
  <c r="F32" i="33"/>
  <c r="AA32" i="33"/>
  <c r="J19" i="33"/>
  <c r="AC19" i="33"/>
  <c r="J15" i="33"/>
  <c r="AC15" i="33"/>
  <c r="F11" i="33"/>
  <c r="AA11" i="33" s="1"/>
  <c r="U40" i="33"/>
  <c r="W40" i="33"/>
  <c r="U8" i="33"/>
  <c r="S8" i="33"/>
  <c r="F37" i="40"/>
  <c r="AA37" i="40"/>
  <c r="F36" i="40"/>
  <c r="AA36" i="40"/>
  <c r="H28" i="40"/>
  <c r="U28" i="40" s="1"/>
  <c r="F23" i="40"/>
  <c r="AA23" i="40" s="1"/>
  <c r="F17" i="40"/>
  <c r="AA17" i="40" s="1"/>
  <c r="J17" i="40"/>
  <c r="W17" i="40"/>
  <c r="F15" i="40"/>
  <c r="S15" i="40" s="1"/>
  <c r="H15" i="40"/>
  <c r="AB15" i="40" s="1"/>
  <c r="AC11" i="40"/>
  <c r="S12" i="36"/>
  <c r="AA12" i="36"/>
  <c r="AB30" i="36"/>
  <c r="AC34" i="36"/>
  <c r="U33" i="35"/>
  <c r="F29" i="35"/>
  <c r="S29" i="35"/>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c r="H25" i="34"/>
  <c r="AB25" i="34" s="1"/>
  <c r="J25" i="34"/>
  <c r="AC25" i="34" s="1"/>
  <c r="AB23" i="34"/>
  <c r="F23" i="34"/>
  <c r="AA23" i="34" s="1"/>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c r="AA29" i="35"/>
  <c r="AA42" i="34"/>
  <c r="S42" i="34"/>
  <c r="AC38" i="34"/>
  <c r="AA38" i="34"/>
  <c r="J37" i="34"/>
  <c r="AC37" i="34"/>
  <c r="J11" i="33"/>
  <c r="W11" i="33" s="1"/>
  <c r="S28" i="34"/>
  <c r="U23" i="40"/>
  <c r="J42" i="21"/>
  <c r="AC42" i="21"/>
  <c r="H42" i="21"/>
  <c r="U42" i="21" s="1"/>
  <c r="J44" i="34"/>
  <c r="F44" i="34"/>
  <c r="S44" i="34" s="1"/>
  <c r="J10" i="35"/>
  <c r="W10" i="35" s="1"/>
  <c r="BL587" i="3"/>
  <c r="J14" i="21"/>
  <c r="W14" i="21" s="1"/>
  <c r="F14" i="21"/>
  <c r="S14" i="21"/>
  <c r="H14" i="21"/>
  <c r="U14" i="21"/>
  <c r="H28" i="21"/>
  <c r="AB28" i="21"/>
  <c r="F28" i="21"/>
  <c r="AA28" i="21" s="1"/>
  <c r="J28" i="21"/>
  <c r="W28" i="21"/>
  <c r="H30" i="21"/>
  <c r="U30" i="21"/>
  <c r="F30" i="21"/>
  <c r="S30" i="21"/>
  <c r="J30" i="21"/>
  <c r="AC30" i="21" s="1"/>
  <c r="J44" i="21"/>
  <c r="AC44" i="21"/>
  <c r="H44" i="21"/>
  <c r="U44" i="21"/>
  <c r="F44" i="21"/>
  <c r="AA44" i="21"/>
  <c r="H46" i="21"/>
  <c r="U46" i="21" s="1"/>
  <c r="J46" i="21"/>
  <c r="W46" i="21"/>
  <c r="F46" i="21"/>
  <c r="AA46" i="21"/>
  <c r="E119" i="21"/>
  <c r="F119" i="21"/>
  <c r="G119" i="21"/>
  <c r="H119" i="21" s="1"/>
  <c r="I119" i="21" s="1"/>
  <c r="J119" i="21" s="1"/>
  <c r="K119" i="21" s="1"/>
  <c r="L119" i="21" s="1"/>
  <c r="M119" i="21" s="1"/>
  <c r="H26" i="33"/>
  <c r="U26" i="33"/>
  <c r="H28" i="33"/>
  <c r="U28" i="33"/>
  <c r="F28" i="33"/>
  <c r="AA28" i="33" s="1"/>
  <c r="J28" i="33"/>
  <c r="W28" i="33" s="1"/>
  <c r="F33" i="35"/>
  <c r="S33" i="35"/>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c r="H27" i="21"/>
  <c r="AB27" i="21" s="1"/>
  <c r="F27" i="21"/>
  <c r="AA27" i="21"/>
  <c r="H29" i="21"/>
  <c r="U29" i="21"/>
  <c r="J31" i="21"/>
  <c r="AC31" i="21"/>
  <c r="F31" i="21"/>
  <c r="S31" i="21" s="1"/>
  <c r="F45" i="21"/>
  <c r="AA45" i="21"/>
  <c r="F27" i="33"/>
  <c r="AA27" i="33"/>
  <c r="J13" i="33"/>
  <c r="H13" i="33"/>
  <c r="AB13" i="33"/>
  <c r="F13" i="33"/>
  <c r="S13" i="33"/>
  <c r="J29" i="33"/>
  <c r="AC29" i="33" s="1"/>
  <c r="H29" i="33"/>
  <c r="U29" i="33" s="1"/>
  <c r="F29" i="33"/>
  <c r="S29" i="33"/>
  <c r="J31" i="33"/>
  <c r="W31" i="33"/>
  <c r="H31" i="33"/>
  <c r="AB31" i="33" s="1"/>
  <c r="F31" i="33"/>
  <c r="H45" i="33"/>
  <c r="U45" i="33" s="1"/>
  <c r="J45" i="33"/>
  <c r="W45" i="33"/>
  <c r="F45" i="33"/>
  <c r="AA45" i="33"/>
  <c r="J14" i="34"/>
  <c r="W14" i="34" s="1"/>
  <c r="F14" i="34"/>
  <c r="AA14" i="34" s="1"/>
  <c r="H14" i="34"/>
  <c r="H30" i="34"/>
  <c r="F30" i="34"/>
  <c r="S30" i="34"/>
  <c r="J30" i="34"/>
  <c r="W30" i="34" s="1"/>
  <c r="H32" i="34"/>
  <c r="F32" i="34"/>
  <c r="J32" i="34"/>
  <c r="W32" i="34"/>
  <c r="H46" i="34"/>
  <c r="U46" i="34"/>
  <c r="F46" i="34"/>
  <c r="J46" i="34"/>
  <c r="H11" i="35"/>
  <c r="U11" i="35" s="1"/>
  <c r="J11" i="35"/>
  <c r="W11" i="35" s="1"/>
  <c r="AC11" i="35"/>
  <c r="F11" i="35"/>
  <c r="S11" i="35"/>
  <c r="J26" i="36"/>
  <c r="W26" i="36" s="1"/>
  <c r="H28" i="36"/>
  <c r="U28" i="36" s="1"/>
  <c r="H32" i="36"/>
  <c r="AB32" i="36"/>
  <c r="J32" i="36"/>
  <c r="W32" i="36"/>
  <c r="J11" i="36"/>
  <c r="AC11" i="36" s="1"/>
  <c r="H11" i="36"/>
  <c r="U11" i="36" s="1"/>
  <c r="F11" i="36"/>
  <c r="S11" i="36" s="1"/>
  <c r="AA11" i="36"/>
  <c r="H13" i="36"/>
  <c r="AB13" i="36"/>
  <c r="J13" i="36"/>
  <c r="AC13" i="36" s="1"/>
  <c r="F13" i="36"/>
  <c r="S13" i="36"/>
  <c r="E89" i="37"/>
  <c r="F89" i="37"/>
  <c r="G89" i="37"/>
  <c r="H89" i="37" s="1"/>
  <c r="I89" i="37" s="1"/>
  <c r="J89" i="37" s="1"/>
  <c r="K89" i="37" s="1"/>
  <c r="L89" i="37" s="1"/>
  <c r="M89" i="37" s="1"/>
  <c r="J29" i="37"/>
  <c r="W29" i="37"/>
  <c r="F29" i="37"/>
  <c r="S29" i="37"/>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AA44" i="33" s="1"/>
  <c r="J46" i="33"/>
  <c r="AC46" i="33"/>
  <c r="F46" i="33"/>
  <c r="AA46" i="33" s="1"/>
  <c r="H46" i="33"/>
  <c r="AB46" i="33" s="1"/>
  <c r="H13" i="34"/>
  <c r="U13" i="34" s="1"/>
  <c r="J13" i="34"/>
  <c r="W13" i="34"/>
  <c r="F13" i="34"/>
  <c r="AA13" i="34" s="1"/>
  <c r="J29" i="34"/>
  <c r="F29" i="34"/>
  <c r="S29" i="34"/>
  <c r="H29" i="34"/>
  <c r="AB29" i="34" s="1"/>
  <c r="J31" i="34"/>
  <c r="W31" i="34" s="1"/>
  <c r="AC31" i="34"/>
  <c r="H31" i="34"/>
  <c r="AB31" i="34"/>
  <c r="F31" i="34"/>
  <c r="S31" i="34"/>
  <c r="H45" i="34"/>
  <c r="U45" i="34" s="1"/>
  <c r="J45" i="34"/>
  <c r="W45" i="34"/>
  <c r="F45" i="34"/>
  <c r="S45" i="34"/>
  <c r="H47" i="34"/>
  <c r="U47" i="34"/>
  <c r="F47" i="34"/>
  <c r="S47" i="34" s="1"/>
  <c r="J47" i="34"/>
  <c r="AC47" i="34"/>
  <c r="F13" i="35"/>
  <c r="S13" i="35"/>
  <c r="J13" i="35"/>
  <c r="AC13" i="35"/>
  <c r="H13" i="35"/>
  <c r="U13" i="35" s="1"/>
  <c r="J25" i="35"/>
  <c r="W25" i="35"/>
  <c r="F25" i="35"/>
  <c r="S25" i="35"/>
  <c r="H25" i="35"/>
  <c r="AB25" i="35"/>
  <c r="J35" i="35"/>
  <c r="AC35" i="35" s="1"/>
  <c r="F35" i="35"/>
  <c r="AA35" i="35"/>
  <c r="H35" i="35"/>
  <c r="AB35" i="35"/>
  <c r="J25" i="36"/>
  <c r="W25" i="36"/>
  <c r="F25" i="36"/>
  <c r="S25" i="36" s="1"/>
  <c r="H25" i="36"/>
  <c r="AB25" i="36"/>
  <c r="H13" i="37"/>
  <c r="AB13" i="37"/>
  <c r="F13" i="37"/>
  <c r="S13" i="37"/>
  <c r="J13" i="37"/>
  <c r="W13" i="37" s="1"/>
  <c r="F28" i="37"/>
  <c r="AA28" i="37"/>
  <c r="J28" i="37"/>
  <c r="AC28" i="37"/>
  <c r="H28" i="37"/>
  <c r="U28" i="37"/>
  <c r="H38" i="37"/>
  <c r="AB38" i="37" s="1"/>
  <c r="J38" i="37"/>
  <c r="AC38" i="37"/>
  <c r="F38" i="37"/>
  <c r="S38" i="37"/>
  <c r="F43" i="39"/>
  <c r="AA43" i="39"/>
  <c r="H43" i="39"/>
  <c r="J14" i="39"/>
  <c r="AC14" i="39" s="1"/>
  <c r="F14" i="39"/>
  <c r="H14" i="39"/>
  <c r="AB14" i="39" s="1"/>
  <c r="F12" i="40"/>
  <c r="S12" i="40" s="1"/>
  <c r="H12" i="40"/>
  <c r="AB12" i="40" s="1"/>
  <c r="H30" i="40"/>
  <c r="AB30" i="40"/>
  <c r="F33" i="40"/>
  <c r="AA33" i="40" s="1"/>
  <c r="H33" i="40"/>
  <c r="U33" i="40" s="1"/>
  <c r="J35" i="40"/>
  <c r="W35" i="40" s="1"/>
  <c r="J37" i="40"/>
  <c r="AC37" i="40"/>
  <c r="H13" i="40"/>
  <c r="U13" i="40" s="1"/>
  <c r="J13" i="40"/>
  <c r="W13" i="40" s="1"/>
  <c r="F13" i="40"/>
  <c r="AA13" i="40" s="1"/>
  <c r="F14" i="37"/>
  <c r="S14" i="37"/>
  <c r="F27" i="37"/>
  <c r="AA27" i="37" s="1"/>
  <c r="F13" i="39"/>
  <c r="J13" i="39"/>
  <c r="W13" i="39" s="1"/>
  <c r="H13" i="39"/>
  <c r="H14" i="40"/>
  <c r="AB14" i="40" s="1"/>
  <c r="J14" i="40"/>
  <c r="W14" i="40"/>
  <c r="F14" i="40"/>
  <c r="AA14" i="40"/>
  <c r="J14" i="37"/>
  <c r="AC14" i="37"/>
  <c r="J27" i="37"/>
  <c r="AC27" i="37" s="1"/>
  <c r="AA13" i="35"/>
  <c r="U31" i="34"/>
  <c r="U46" i="33"/>
  <c r="J36" i="37"/>
  <c r="AC36" i="37" s="1"/>
  <c r="AB11" i="36"/>
  <c r="AB11" i="35"/>
  <c r="J10" i="36"/>
  <c r="AC10" i="36"/>
  <c r="AB26" i="33"/>
  <c r="AB30" i="21"/>
  <c r="AA14" i="37"/>
  <c r="W13" i="36"/>
  <c r="AB46" i="34"/>
  <c r="S45" i="33"/>
  <c r="AB45" i="33"/>
  <c r="U13" i="33"/>
  <c r="AC28" i="21"/>
  <c r="BA586" i="3"/>
  <c r="BA585" i="3"/>
  <c r="F17" i="21"/>
  <c r="AA17" i="2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AZ582"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c r="BA574" i="3"/>
  <c r="AZ574" i="3"/>
  <c r="BA572" i="3"/>
  <c r="AZ572" i="3" s="1"/>
  <c r="BA570" i="3"/>
  <c r="AZ570" i="3" s="1"/>
  <c r="BA568" i="3"/>
  <c r="AZ568" i="3"/>
  <c r="BA566" i="3"/>
  <c r="AZ566" i="3"/>
  <c r="BA564" i="3"/>
  <c r="AZ564" i="3" s="1"/>
  <c r="BA562" i="3"/>
  <c r="AZ562" i="3" s="1"/>
  <c r="BA560" i="3"/>
  <c r="AZ560" i="3" s="1"/>
  <c r="BA558" i="3"/>
  <c r="AZ558" i="3" s="1"/>
  <c r="BA556" i="3"/>
  <c r="AZ556" i="3"/>
  <c r="BA554" i="3"/>
  <c r="AZ554" i="3"/>
  <c r="BA552" i="3"/>
  <c r="AZ552" i="3"/>
  <c r="BA548" i="3"/>
  <c r="BA546" i="3"/>
  <c r="BA544" i="3"/>
  <c r="AZ544" i="3"/>
  <c r="BA542" i="3"/>
  <c r="AZ542" i="3"/>
  <c r="BA540" i="3"/>
  <c r="AZ540" i="3"/>
  <c r="BA538" i="3"/>
  <c r="AZ538" i="3" s="1"/>
  <c r="BA536" i="3"/>
  <c r="AZ536" i="3"/>
  <c r="BA534" i="3"/>
  <c r="AZ534" i="3"/>
  <c r="BA532" i="3"/>
  <c r="AZ532" i="3"/>
  <c r="BA530" i="3"/>
  <c r="BA528" i="3"/>
  <c r="AZ528" i="3"/>
  <c r="BA526" i="3"/>
  <c r="AZ526" i="3" s="1"/>
  <c r="BA524" i="3"/>
  <c r="AZ524" i="3" s="1"/>
  <c r="BA522" i="3"/>
  <c r="BA520" i="3"/>
  <c r="BA518" i="3"/>
  <c r="AZ518" i="3"/>
  <c r="BA516" i="3"/>
  <c r="AZ516" i="3" s="1"/>
  <c r="BA514" i="3"/>
  <c r="AZ514" i="3" s="1"/>
  <c r="BA512" i="3"/>
  <c r="BA510" i="3"/>
  <c r="AZ510" i="3" s="1"/>
  <c r="BA508" i="3"/>
  <c r="BA506" i="3"/>
  <c r="BA504" i="3"/>
  <c r="AZ504" i="3"/>
  <c r="BA502" i="3"/>
  <c r="BA500" i="3"/>
  <c r="BA498" i="3"/>
  <c r="AZ498" i="3" s="1"/>
  <c r="BA496" i="3"/>
  <c r="BA494" i="3"/>
  <c r="BA587" i="3"/>
  <c r="AZ587" i="3"/>
  <c r="BA583" i="3"/>
  <c r="BA581" i="3"/>
  <c r="BA579" i="3"/>
  <c r="BA577" i="3"/>
  <c r="BA575" i="3"/>
  <c r="BA573" i="3"/>
  <c r="BA571" i="3"/>
  <c r="BA569" i="3"/>
  <c r="BA567" i="3"/>
  <c r="AZ567" i="3" s="1"/>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BA517" i="3"/>
  <c r="AZ517" i="3" s="1"/>
  <c r="BA515" i="3"/>
  <c r="AZ515" i="3" s="1"/>
  <c r="BA513" i="3"/>
  <c r="AZ513" i="3" s="1"/>
  <c r="BA511" i="3"/>
  <c r="AZ511" i="3" s="1"/>
  <c r="BA507" i="3"/>
  <c r="BA505" i="3"/>
  <c r="BA503" i="3"/>
  <c r="AZ503" i="3" s="1"/>
  <c r="BA501" i="3"/>
  <c r="BA499" i="3"/>
  <c r="BA497" i="3"/>
  <c r="BA495" i="3"/>
  <c r="AZ495" i="3" s="1"/>
  <c r="BA493" i="3"/>
  <c r="G583" i="3"/>
  <c r="G581" i="3"/>
  <c r="G579" i="3"/>
  <c r="G577" i="3"/>
  <c r="G575" i="3"/>
  <c r="G573" i="3"/>
  <c r="G571" i="3"/>
  <c r="G569" i="3"/>
  <c r="G567" i="3"/>
  <c r="G565" i="3"/>
  <c r="G563" i="3"/>
  <c r="G561" i="3"/>
  <c r="BL558" i="3"/>
  <c r="BA557" i="3"/>
  <c r="AC557" i="3"/>
  <c r="G557" i="3"/>
  <c r="BQ557" i="3"/>
  <c r="BL557" i="3" s="1"/>
  <c r="AZ557" i="3" s="1"/>
  <c r="BQ583" i="3"/>
  <c r="BL583" i="3" s="1"/>
  <c r="AZ583" i="3" s="1"/>
  <c r="BQ581" i="3"/>
  <c r="BL581" i="3" s="1"/>
  <c r="AZ581" i="3" s="1"/>
  <c r="BQ579" i="3"/>
  <c r="BL579" i="3"/>
  <c r="AZ579" i="3" s="1"/>
  <c r="BQ577" i="3"/>
  <c r="BL577" i="3" s="1"/>
  <c r="AZ577" i="3" s="1"/>
  <c r="BQ575" i="3"/>
  <c r="BL575" i="3" s="1"/>
  <c r="BQ573" i="3"/>
  <c r="BL573" i="3" s="1"/>
  <c r="AZ573" i="3" s="1"/>
  <c r="BQ571" i="3"/>
  <c r="BL571" i="3"/>
  <c r="AZ571" i="3"/>
  <c r="BQ569" i="3"/>
  <c r="BL569" i="3"/>
  <c r="AZ569" i="3"/>
  <c r="BQ567" i="3"/>
  <c r="BL567" i="3"/>
  <c r="BQ565" i="3"/>
  <c r="BL565" i="3"/>
  <c r="BQ563" i="3"/>
  <c r="BL563" i="3"/>
  <c r="BQ561" i="3"/>
  <c r="BL561" i="3"/>
  <c r="BQ559" i="3"/>
  <c r="BL559" i="3"/>
  <c r="G559" i="3"/>
  <c r="G555" i="3"/>
  <c r="G553" i="3"/>
  <c r="G549" i="3"/>
  <c r="G547" i="3"/>
  <c r="G545" i="3"/>
  <c r="G543" i="3"/>
  <c r="G541" i="3"/>
  <c r="G539" i="3"/>
  <c r="G537" i="3"/>
  <c r="BQ555" i="3"/>
  <c r="BL555" i="3"/>
  <c r="AZ555" i="3" s="1"/>
  <c r="BQ553" i="3"/>
  <c r="BL553" i="3"/>
  <c r="BQ551" i="3"/>
  <c r="BL551" i="3"/>
  <c r="BQ549" i="3"/>
  <c r="BQ547" i="3"/>
  <c r="BL547" i="3" s="1"/>
  <c r="AZ547" i="3" s="1"/>
  <c r="BQ545" i="3"/>
  <c r="BL545" i="3" s="1"/>
  <c r="BQ543" i="3"/>
  <c r="BL543" i="3" s="1"/>
  <c r="AZ543" i="3" s="1"/>
  <c r="BQ541" i="3"/>
  <c r="BL541" i="3"/>
  <c r="AZ541" i="3"/>
  <c r="BQ539" i="3"/>
  <c r="BL539" i="3"/>
  <c r="AZ539" i="3"/>
  <c r="BQ537" i="3"/>
  <c r="BL537" i="3"/>
  <c r="AZ537" i="3" s="1"/>
  <c r="BQ535" i="3"/>
  <c r="BL535" i="3"/>
  <c r="BQ533" i="3"/>
  <c r="BL533" i="3"/>
  <c r="BQ531" i="3"/>
  <c r="BL531" i="3" s="1"/>
  <c r="AZ531" i="3" s="1"/>
  <c r="BQ529" i="3"/>
  <c r="BL529" i="3" s="1"/>
  <c r="BQ527" i="3"/>
  <c r="BL527" i="3" s="1"/>
  <c r="AZ527" i="3" s="1"/>
  <c r="BQ525" i="3"/>
  <c r="BL525" i="3"/>
  <c r="AZ525" i="3"/>
  <c r="BQ523" i="3"/>
  <c r="BL523" i="3"/>
  <c r="AZ523" i="3"/>
  <c r="BA521" i="3"/>
  <c r="AC521" i="3"/>
  <c r="G521" i="3"/>
  <c r="BQ521" i="3"/>
  <c r="BL521" i="3" s="1"/>
  <c r="AZ521" i="3" s="1"/>
  <c r="BL520" i="3"/>
  <c r="AZ520" i="3"/>
  <c r="G519" i="3"/>
  <c r="G517" i="3"/>
  <c r="G515" i="3"/>
  <c r="G513" i="3"/>
  <c r="G511" i="3"/>
  <c r="BQ519" i="3"/>
  <c r="BL519" i="3"/>
  <c r="AZ519" i="3"/>
  <c r="BQ517" i="3"/>
  <c r="BL517" i="3"/>
  <c r="BQ515" i="3"/>
  <c r="BL515" i="3"/>
  <c r="BQ513" i="3"/>
  <c r="BL513" i="3"/>
  <c r="BQ511" i="3"/>
  <c r="BL511" i="3" s="1"/>
  <c r="BA509" i="3"/>
  <c r="AC509" i="3"/>
  <c r="BQ509" i="3"/>
  <c r="BL509" i="3"/>
  <c r="BL508" i="3"/>
  <c r="AZ508" i="3"/>
  <c r="G507" i="3"/>
  <c r="G505" i="3"/>
  <c r="G503" i="3"/>
  <c r="G501" i="3"/>
  <c r="G499" i="3"/>
  <c r="G497" i="3"/>
  <c r="G495" i="3"/>
  <c r="BQ507" i="3"/>
  <c r="BL507" i="3" s="1"/>
  <c r="AZ507" i="3" s="1"/>
  <c r="BQ505" i="3"/>
  <c r="BL505" i="3" s="1"/>
  <c r="AZ505" i="3" s="1"/>
  <c r="BQ503" i="3"/>
  <c r="BL503" i="3" s="1"/>
  <c r="BQ501" i="3"/>
  <c r="BL501" i="3"/>
  <c r="BQ499" i="3"/>
  <c r="BL499" i="3" s="1"/>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J25" i="21"/>
  <c r="AC25" i="21" s="1"/>
  <c r="E125" i="33"/>
  <c r="F125" i="33"/>
  <c r="G125" i="33" s="1"/>
  <c r="H43" i="33"/>
  <c r="AB43" i="33"/>
  <c r="H17" i="37"/>
  <c r="U17" i="37" s="1"/>
  <c r="AB27" i="37"/>
  <c r="U32" i="33"/>
  <c r="AA36" i="39"/>
  <c r="F39" i="33"/>
  <c r="AA39" i="33" s="1"/>
  <c r="E123" i="33"/>
  <c r="F42" i="33"/>
  <c r="AA42" i="33" s="1"/>
  <c r="H28" i="34"/>
  <c r="AB28" i="34" s="1"/>
  <c r="F14" i="36"/>
  <c r="AA14" i="36" s="1"/>
  <c r="F22" i="36"/>
  <c r="S22" i="36"/>
  <c r="F26" i="36"/>
  <c r="S26" i="36" s="1"/>
  <c r="H27" i="34"/>
  <c r="AB27" i="34" s="1"/>
  <c r="H35" i="34"/>
  <c r="U35" i="34" s="1"/>
  <c r="F41" i="34"/>
  <c r="S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F71" i="37"/>
  <c r="G71" i="37" s="1"/>
  <c r="J15" i="37"/>
  <c r="W15" i="37" s="1"/>
  <c r="U12" i="37"/>
  <c r="AT6" i="3"/>
  <c r="H5" i="3"/>
  <c r="C12" i="43"/>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S11" i="39" s="1"/>
  <c r="A12" i="52"/>
  <c r="B56" i="72" s="1"/>
  <c r="G4" i="4"/>
  <c r="I4" i="4"/>
  <c r="K5" i="4" s="1"/>
  <c r="B47" i="48" s="1"/>
  <c r="A2" i="9"/>
  <c r="F59" i="43"/>
  <c r="H62" i="43" s="1"/>
  <c r="AZ497" i="3"/>
  <c r="BL549" i="3"/>
  <c r="AZ494" i="3"/>
  <c r="AZ502" i="3"/>
  <c r="AZ522" i="3"/>
  <c r="AZ530" i="3"/>
  <c r="AZ546" i="3"/>
  <c r="G546" i="3"/>
  <c r="G524" i="3"/>
  <c r="G303" i="3"/>
  <c r="BL304" i="3"/>
  <c r="AZ304" i="3" s="1"/>
  <c r="G305" i="3"/>
  <c r="BL306" i="3"/>
  <c r="BA308" i="3"/>
  <c r="AZ308" i="3"/>
  <c r="BA309" i="3"/>
  <c r="AZ309" i="3" s="1"/>
  <c r="BL309" i="3"/>
  <c r="G310" i="3"/>
  <c r="BA311" i="3"/>
  <c r="AZ311" i="3" s="1"/>
  <c r="G319" i="3"/>
  <c r="BL320" i="3"/>
  <c r="G321" i="3"/>
  <c r="BL322" i="3"/>
  <c r="BA324" i="3"/>
  <c r="AZ324" i="3" s="1"/>
  <c r="BA325" i="3"/>
  <c r="BL325" i="3"/>
  <c r="AZ325" i="3" s="1"/>
  <c r="G326" i="3"/>
  <c r="BA327" i="3"/>
  <c r="G335" i="3"/>
  <c r="BL336" i="3"/>
  <c r="G337" i="3"/>
  <c r="BL338" i="3"/>
  <c r="AZ338" i="3" s="1"/>
  <c r="BA340" i="3"/>
  <c r="AZ340" i="3"/>
  <c r="BA341" i="3"/>
  <c r="BL341" i="3"/>
  <c r="BA343" i="3"/>
  <c r="BA345" i="3"/>
  <c r="AZ345" i="3" s="1"/>
  <c r="BL355" i="3"/>
  <c r="G356" i="3"/>
  <c r="BL357" i="3"/>
  <c r="BA359" i="3"/>
  <c r="AZ359" i="3" s="1"/>
  <c r="BA360" i="3"/>
  <c r="AZ360" i="3" s="1"/>
  <c r="BL360" i="3"/>
  <c r="G361" i="3"/>
  <c r="BA362" i="3"/>
  <c r="AZ362" i="3" s="1"/>
  <c r="G370" i="3"/>
  <c r="BL371" i="3"/>
  <c r="G372" i="3"/>
  <c r="BL373" i="3"/>
  <c r="AZ373" i="3" s="1"/>
  <c r="BA375" i="3"/>
  <c r="AZ375" i="3"/>
  <c r="BA376" i="3"/>
  <c r="AZ376" i="3" s="1"/>
  <c r="BL376" i="3"/>
  <c r="G377" i="3"/>
  <c r="BA378" i="3"/>
  <c r="BL378" i="3"/>
  <c r="G379" i="3"/>
  <c r="BA380" i="3"/>
  <c r="G388" i="3"/>
  <c r="BL389" i="3"/>
  <c r="AZ389" i="3" s="1"/>
  <c r="G390" i="3"/>
  <c r="BL391" i="3"/>
  <c r="AZ391" i="3" s="1"/>
  <c r="BA393" i="3"/>
  <c r="BA394" i="3"/>
  <c r="BL394" i="3"/>
  <c r="AZ394" i="3" s="1"/>
  <c r="G113" i="3"/>
  <c r="BA115" i="3"/>
  <c r="AZ115" i="3" s="1"/>
  <c r="BL116" i="3"/>
  <c r="G117" i="3"/>
  <c r="BA119" i="3"/>
  <c r="BL120" i="3"/>
  <c r="G121" i="3"/>
  <c r="BA123" i="3"/>
  <c r="AZ123" i="3" s="1"/>
  <c r="BL124" i="3"/>
  <c r="AZ124" i="3"/>
  <c r="G125" i="3"/>
  <c r="BA127" i="3"/>
  <c r="AZ127" i="3" s="1"/>
  <c r="BL128" i="3"/>
  <c r="AZ128" i="3" s="1"/>
  <c r="G129" i="3"/>
  <c r="BA131" i="3"/>
  <c r="AZ131" i="3" s="1"/>
  <c r="BL132" i="3"/>
  <c r="G133" i="3"/>
  <c r="BA135" i="3"/>
  <c r="BL136" i="3"/>
  <c r="G137" i="3"/>
  <c r="BA139" i="3"/>
  <c r="AZ139" i="3"/>
  <c r="BL140" i="3"/>
  <c r="AZ140" i="3"/>
  <c r="G141" i="3"/>
  <c r="BA143" i="3"/>
  <c r="AZ143" i="3" s="1"/>
  <c r="BL144" i="3"/>
  <c r="G145" i="3"/>
  <c r="BA147" i="3"/>
  <c r="BL148" i="3"/>
  <c r="G149" i="3"/>
  <c r="BA151" i="3"/>
  <c r="BL152" i="3"/>
  <c r="G153" i="3"/>
  <c r="BA155" i="3"/>
  <c r="AZ155" i="3"/>
  <c r="BL156" i="3"/>
  <c r="AZ156" i="3"/>
  <c r="G157" i="3"/>
  <c r="BA159" i="3"/>
  <c r="AZ159" i="3" s="1"/>
  <c r="BL160" i="3"/>
  <c r="G161" i="3"/>
  <c r="BA163" i="3"/>
  <c r="AZ163" i="3"/>
  <c r="BL164" i="3"/>
  <c r="G165" i="3"/>
  <c r="BA167" i="3"/>
  <c r="AZ167" i="3"/>
  <c r="BL168" i="3"/>
  <c r="G169" i="3"/>
  <c r="BA171" i="3"/>
  <c r="BL172" i="3"/>
  <c r="G173" i="3"/>
  <c r="BA175" i="3"/>
  <c r="BL176" i="3"/>
  <c r="G177" i="3"/>
  <c r="BA179" i="3"/>
  <c r="BL180" i="3"/>
  <c r="AZ180" i="3" s="1"/>
  <c r="G181" i="3"/>
  <c r="BA183" i="3"/>
  <c r="BL184" i="3"/>
  <c r="AZ184" i="3" s="1"/>
  <c r="G185" i="3"/>
  <c r="BA187" i="3"/>
  <c r="AZ187" i="3" s="1"/>
  <c r="BL188" i="3"/>
  <c r="G189" i="3"/>
  <c r="BA191" i="3"/>
  <c r="AZ191" i="3"/>
  <c r="BL192" i="3"/>
  <c r="G193" i="3"/>
  <c r="BA195" i="3"/>
  <c r="AZ195" i="3" s="1"/>
  <c r="BL196" i="3"/>
  <c r="G197" i="3"/>
  <c r="BA199" i="3"/>
  <c r="AZ199" i="3"/>
  <c r="BL200" i="3"/>
  <c r="AZ200" i="3" s="1"/>
  <c r="G201" i="3"/>
  <c r="BA203" i="3"/>
  <c r="BL204" i="3"/>
  <c r="AZ59" i="3"/>
  <c r="AZ67" i="3"/>
  <c r="AZ75" i="3"/>
  <c r="AZ79" i="3"/>
  <c r="AZ83" i="3"/>
  <c r="AZ144" i="3"/>
  <c r="AZ168" i="3"/>
  <c r="AZ192" i="3"/>
  <c r="AZ89" i="3"/>
  <c r="AZ93"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s="1"/>
  <c r="BA321" i="3"/>
  <c r="AZ321" i="3" s="1"/>
  <c r="BL321" i="3"/>
  <c r="G322" i="3"/>
  <c r="G325" i="3"/>
  <c r="BL326" i="3"/>
  <c r="BA328" i="3"/>
  <c r="AZ328" i="3" s="1"/>
  <c r="BA329" i="3"/>
  <c r="AZ329" i="3" s="1"/>
  <c r="BL329" i="3"/>
  <c r="G330" i="3"/>
  <c r="G333" i="3"/>
  <c r="BL334" i="3"/>
  <c r="BA336" i="3"/>
  <c r="AZ336" i="3"/>
  <c r="BA337" i="3"/>
  <c r="AZ337" i="3"/>
  <c r="BL337" i="3"/>
  <c r="G338" i="3"/>
  <c r="G341" i="3"/>
  <c r="BA342" i="3"/>
  <c r="BL342" i="3"/>
  <c r="AZ342" i="3"/>
  <c r="BA344" i="3"/>
  <c r="BL344" i="3"/>
  <c r="BA346" i="3"/>
  <c r="AZ346" i="3"/>
  <c r="BA347" i="3"/>
  <c r="AZ347" i="3" s="1"/>
  <c r="BL347" i="3"/>
  <c r="G350" i="3"/>
  <c r="BA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AZ387" i="3" s="1"/>
  <c r="BA389" i="3"/>
  <c r="BA390" i="3"/>
  <c r="AZ390" i="3" s="1"/>
  <c r="BL390" i="3"/>
  <c r="G391" i="3"/>
  <c r="G394" i="3"/>
  <c r="AZ138" i="3"/>
  <c r="AZ142" i="3"/>
  <c r="AZ166" i="3"/>
  <c r="AZ174" i="3"/>
  <c r="AZ190" i="3"/>
  <c r="AZ202" i="3"/>
  <c r="AZ500" i="3"/>
  <c r="BA16" i="3"/>
  <c r="AZ16" i="3"/>
  <c r="BL303" i="3"/>
  <c r="AZ303" i="3" s="1"/>
  <c r="G304" i="3"/>
  <c r="BA306" i="3"/>
  <c r="AZ306" i="3" s="1"/>
  <c r="BL307" i="3"/>
  <c r="AZ307" i="3" s="1"/>
  <c r="G308" i="3"/>
  <c r="BA310" i="3"/>
  <c r="BL311" i="3"/>
  <c r="G312" i="3"/>
  <c r="BA314" i="3"/>
  <c r="AZ314" i="3" s="1"/>
  <c r="BL315" i="3"/>
  <c r="G316" i="3"/>
  <c r="BA318" i="3"/>
  <c r="AZ318" i="3" s="1"/>
  <c r="BL319" i="3"/>
  <c r="G320" i="3"/>
  <c r="BA322" i="3"/>
  <c r="AZ322" i="3"/>
  <c r="BL323" i="3"/>
  <c r="AZ323" i="3"/>
  <c r="G324" i="3"/>
  <c r="BA326" i="3"/>
  <c r="BL327" i="3"/>
  <c r="AZ327" i="3"/>
  <c r="G328" i="3"/>
  <c r="BA330" i="3"/>
  <c r="AZ330" i="3" s="1"/>
  <c r="BL331" i="3"/>
  <c r="AZ331" i="3"/>
  <c r="G332" i="3"/>
  <c r="BA334" i="3"/>
  <c r="AZ334" i="3"/>
  <c r="BL335" i="3"/>
  <c r="G336" i="3"/>
  <c r="BA338" i="3"/>
  <c r="BL339" i="3"/>
  <c r="AZ339" i="3" s="1"/>
  <c r="G340" i="3"/>
  <c r="BL343" i="3"/>
  <c r="G344" i="3"/>
  <c r="G348" i="3"/>
  <c r="G355" i="3"/>
  <c r="AZ209" i="3"/>
  <c r="AZ214" i="3"/>
  <c r="AZ222" i="3"/>
  <c r="AZ319" i="3"/>
  <c r="AZ335" i="3"/>
  <c r="G342" i="3"/>
  <c r="BL345" i="3"/>
  <c r="G346" i="3"/>
  <c r="AZ348" i="3"/>
  <c r="BL349" i="3"/>
  <c r="BL352" i="3"/>
  <c r="AZ352" i="3" s="1"/>
  <c r="G353" i="3"/>
  <c r="BA357" i="3"/>
  <c r="AZ357" i="3" s="1"/>
  <c r="BL358" i="3"/>
  <c r="G359" i="3"/>
  <c r="BA361" i="3"/>
  <c r="AZ361" i="3"/>
  <c r="BL362" i="3"/>
  <c r="G363" i="3"/>
  <c r="BA365" i="3"/>
  <c r="BL366" i="3"/>
  <c r="G367" i="3"/>
  <c r="BA369" i="3"/>
  <c r="AZ369" i="3"/>
  <c r="BL370" i="3"/>
  <c r="G371" i="3"/>
  <c r="BA373" i="3"/>
  <c r="BL374" i="3"/>
  <c r="G375" i="3"/>
  <c r="BA377" i="3"/>
  <c r="AZ377" i="3" s="1"/>
  <c r="AZ233" i="3"/>
  <c r="AZ237" i="3"/>
  <c r="AZ261" i="3"/>
  <c r="AZ269" i="3"/>
  <c r="AZ370" i="3"/>
  <c r="BA379" i="3"/>
  <c r="AZ379" i="3"/>
  <c r="BL380" i="3"/>
  <c r="G381" i="3"/>
  <c r="BA383" i="3"/>
  <c r="BL384" i="3"/>
  <c r="G385" i="3"/>
  <c r="BA387" i="3"/>
  <c r="BL388" i="3"/>
  <c r="G389" i="3"/>
  <c r="BA391" i="3"/>
  <c r="BL392" i="3"/>
  <c r="AZ392" i="3" s="1"/>
  <c r="G393" i="3"/>
  <c r="AZ275" i="3"/>
  <c r="BO5" i="3"/>
  <c r="BM5" i="3"/>
  <c r="F29" i="6" s="1"/>
  <c r="BJ5" i="3"/>
  <c r="BH5" i="3"/>
  <c r="BF5" i="3"/>
  <c r="BD5" i="3"/>
  <c r="AZ317" i="3"/>
  <c r="AZ333" i="3"/>
  <c r="AZ341" i="3"/>
  <c r="AC5" i="3"/>
  <c r="AZ549" i="3"/>
  <c r="AZ506" i="3"/>
  <c r="AZ496" i="3"/>
  <c r="G548" i="3"/>
  <c r="G538" i="3"/>
  <c r="G520" i="3"/>
  <c r="G502" i="3"/>
  <c r="BS5" i="3"/>
  <c r="F28" i="6" s="1"/>
  <c r="BP5" i="3"/>
  <c r="G29" i="6" s="1"/>
  <c r="BN5" i="3"/>
  <c r="AZ343" i="3"/>
  <c r="BK5" i="3"/>
  <c r="BI5" i="3"/>
  <c r="BG5" i="3"/>
  <c r="BE5" i="3"/>
  <c r="BC5" i="3"/>
  <c r="G17" i="3"/>
  <c r="BA17" i="3"/>
  <c r="BT5" i="3"/>
  <c r="AZ364" i="3"/>
  <c r="BA15" i="3"/>
  <c r="AZ15" i="3" s="1"/>
  <c r="BR5" i="3"/>
  <c r="G28" i="6" s="1"/>
  <c r="AZ388" i="3"/>
  <c r="AZ499" i="3"/>
  <c r="AZ509" i="3"/>
  <c r="G509" i="3"/>
  <c r="BL493" i="3"/>
  <c r="AZ491" i="3"/>
  <c r="AZ382" i="3"/>
  <c r="U36" i="40"/>
  <c r="F36" i="43"/>
  <c r="F81" i="43"/>
  <c r="H86" i="43" s="1"/>
  <c r="H113" i="43"/>
  <c r="F48" i="43"/>
  <c r="H52" i="43" s="1"/>
  <c r="F70" i="43"/>
  <c r="H73" i="43" s="1"/>
  <c r="M11" i="43"/>
  <c r="D17" i="43"/>
  <c r="F39" i="43"/>
  <c r="I17" i="43"/>
  <c r="F35" i="43"/>
  <c r="J17" i="43"/>
  <c r="F6" i="1"/>
  <c r="U17" i="39"/>
  <c r="S14" i="35"/>
  <c r="U43" i="21"/>
  <c r="U35" i="21"/>
  <c r="AC35" i="21"/>
  <c r="U10" i="21"/>
  <c r="G8" i="1"/>
  <c r="G9" i="1"/>
  <c r="AC11" i="39"/>
  <c r="AZ563" i="3"/>
  <c r="AZ501" i="3"/>
  <c r="W37" i="37"/>
  <c r="W44" i="34"/>
  <c r="AC44" i="34"/>
  <c r="S15" i="37"/>
  <c r="U13" i="37"/>
  <c r="U12" i="40"/>
  <c r="AA12" i="40"/>
  <c r="J37" i="33"/>
  <c r="W37" i="33" s="1"/>
  <c r="AC17" i="34"/>
  <c r="F106" i="33"/>
  <c r="G106" i="33"/>
  <c r="H106" i="33"/>
  <c r="I106" i="33"/>
  <c r="J106" i="33" s="1"/>
  <c r="K106" i="33" s="1"/>
  <c r="L106" i="33" s="1"/>
  <c r="M106" i="33" s="1"/>
  <c r="J34" i="33"/>
  <c r="W34" i="33"/>
  <c r="F33" i="34"/>
  <c r="S33" i="34"/>
  <c r="W12" i="36"/>
  <c r="AC12" i="36"/>
  <c r="H20" i="36"/>
  <c r="U20" i="36"/>
  <c r="J20" i="36"/>
  <c r="W20" i="36"/>
  <c r="J27" i="36"/>
  <c r="AC27" i="36" s="1"/>
  <c r="AB25" i="37"/>
  <c r="AC33" i="40"/>
  <c r="F111" i="40"/>
  <c r="G111" i="40" s="1"/>
  <c r="H111" i="40"/>
  <c r="I111" i="40" s="1"/>
  <c r="J111" i="40" s="1"/>
  <c r="K111" i="40" s="1"/>
  <c r="L111" i="40" s="1"/>
  <c r="M111" i="40" s="1"/>
  <c r="H35" i="40"/>
  <c r="AB35" i="40" s="1"/>
  <c r="AC29" i="35"/>
  <c r="W29" i="35"/>
  <c r="H35" i="37"/>
  <c r="U35" i="37"/>
  <c r="AC14" i="35"/>
  <c r="H20" i="35"/>
  <c r="U20" i="35"/>
  <c r="F20" i="35"/>
  <c r="AA20" i="35"/>
  <c r="AB23" i="35"/>
  <c r="AB29" i="36"/>
  <c r="U29" i="36"/>
  <c r="H32" i="37"/>
  <c r="AB32" i="37" s="1"/>
  <c r="F96" i="37"/>
  <c r="H27" i="40"/>
  <c r="U27" i="40" s="1"/>
  <c r="J27" i="40"/>
  <c r="AC27" i="40" s="1"/>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c r="F39" i="34"/>
  <c r="S39" i="34" s="1"/>
  <c r="J39" i="34"/>
  <c r="W39" i="34" s="1"/>
  <c r="F40" i="34"/>
  <c r="S40" i="34" s="1"/>
  <c r="F43" i="34"/>
  <c r="AA43" i="34"/>
  <c r="H44" i="34"/>
  <c r="AB44" i="34" s="1"/>
  <c r="AC38" i="39"/>
  <c r="F39" i="39"/>
  <c r="S39" i="39" s="1"/>
  <c r="J39" i="39"/>
  <c r="AC39" i="39" s="1"/>
  <c r="E96" i="39"/>
  <c r="F96" i="39" s="1"/>
  <c r="G96" i="39" s="1"/>
  <c r="AZ353" i="3"/>
  <c r="AZ354" i="3"/>
  <c r="C40" i="11"/>
  <c r="AZ240" i="3"/>
  <c r="AZ256" i="3"/>
  <c r="AZ259" i="3"/>
  <c r="AZ268" i="3"/>
  <c r="AZ288" i="3"/>
  <c r="AZ114" i="3"/>
  <c r="AZ31" i="3"/>
  <c r="AZ58" i="3"/>
  <c r="AZ69" i="3"/>
  <c r="AZ77" i="3"/>
  <c r="AZ102" i="3"/>
  <c r="H75" i="43"/>
  <c r="H50" i="43"/>
  <c r="I20" i="43"/>
  <c r="F23" i="39"/>
  <c r="AA23" i="39"/>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H82" i="43"/>
  <c r="H87" i="43"/>
  <c r="K9" i="1"/>
  <c r="M9" i="1" s="1"/>
  <c r="AE9" i="1"/>
  <c r="D93" i="9"/>
  <c r="K6" i="1"/>
  <c r="M6" i="1" s="1"/>
  <c r="W27" i="34"/>
  <c r="AC27" i="34"/>
  <c r="AB34" i="36"/>
  <c r="U34" i="36"/>
  <c r="AB33" i="36"/>
  <c r="U33" i="36"/>
  <c r="AC12" i="39"/>
  <c r="W12" i="39"/>
  <c r="AZ401" i="3"/>
  <c r="AZ412" i="3"/>
  <c r="AZ417" i="3"/>
  <c r="AZ428" i="3"/>
  <c r="AZ433" i="3"/>
  <c r="AZ465" i="3"/>
  <c r="AZ586" i="3"/>
  <c r="W12" i="33"/>
  <c r="AC12" i="33"/>
  <c r="AA32" i="36"/>
  <c r="S32" i="36"/>
  <c r="AZ551" i="3"/>
  <c r="AZ408" i="3"/>
  <c r="AZ437" i="3"/>
  <c r="AZ441" i="3"/>
  <c r="AZ457" i="3"/>
  <c r="AZ473" i="3"/>
  <c r="AA39" i="34"/>
  <c r="BL14" i="3"/>
  <c r="U30" i="33"/>
  <c r="AC13" i="34"/>
  <c r="AA47" i="34"/>
  <c r="W28" i="37"/>
  <c r="S19" i="39"/>
  <c r="F12" i="33"/>
  <c r="H12" i="39"/>
  <c r="AB12" i="39"/>
  <c r="F39" i="40"/>
  <c r="BA14" i="3"/>
  <c r="AZ14" i="3" s="1"/>
  <c r="AZ250" i="3"/>
  <c r="AZ286" i="3"/>
  <c r="AZ173" i="3"/>
  <c r="AZ181" i="3"/>
  <c r="S12" i="1"/>
  <c r="T12" i="1" s="1"/>
  <c r="R12" i="1"/>
  <c r="B12" i="1"/>
  <c r="E12" i="1"/>
  <c r="S10" i="1"/>
  <c r="AQ10" i="1" s="1"/>
  <c r="R10" i="1"/>
  <c r="B10" i="1"/>
  <c r="E10" i="1" s="1"/>
  <c r="AZ80" i="3"/>
  <c r="AZ107"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G79" i="33" s="1"/>
  <c r="S15" i="33"/>
  <c r="W15" i="33"/>
  <c r="U9" i="33"/>
  <c r="I66" i="33"/>
  <c r="J10" i="33"/>
  <c r="H10" i="33"/>
  <c r="AA10" i="33"/>
  <c r="AC11" i="33"/>
  <c r="AB14" i="33"/>
  <c r="W43" i="21"/>
  <c r="W36" i="21"/>
  <c r="W41" i="21"/>
  <c r="AB39" i="21"/>
  <c r="AA43" i="21"/>
  <c r="S39" i="21"/>
  <c r="AA38" i="21"/>
  <c r="AA36" i="21"/>
  <c r="AC40" i="21"/>
  <c r="J15" i="21"/>
  <c r="W15" i="21"/>
  <c r="F77" i="21"/>
  <c r="G77" i="21" s="1"/>
  <c r="F23" i="21"/>
  <c r="S23" i="21" s="1"/>
  <c r="E85" i="21"/>
  <c r="AC11" i="21"/>
  <c r="AA14" i="21"/>
  <c r="AB8" i="21"/>
  <c r="S8" i="21"/>
  <c r="M3" i="43"/>
  <c r="M1" i="43"/>
  <c r="N8" i="43"/>
  <c r="D120" i="9"/>
  <c r="D121" i="9" s="1"/>
  <c r="D7" i="52" s="1"/>
  <c r="C18" i="9"/>
  <c r="D18" i="9" s="1"/>
  <c r="F34" i="67"/>
  <c r="F62" i="67" s="1"/>
  <c r="M20" i="67"/>
  <c r="F34" i="15"/>
  <c r="F62" i="15" s="1"/>
  <c r="G13" i="3"/>
  <c r="BL17" i="3"/>
  <c r="AZ17" i="3"/>
  <c r="BL13" i="3"/>
  <c r="J56" i="9"/>
  <c r="J57" i="9" s="1"/>
  <c r="J59" i="9" s="1"/>
  <c r="J61" i="9" s="1"/>
  <c r="A24" i="51"/>
  <c r="B18" i="72" s="1"/>
  <c r="U29" i="34"/>
  <c r="E5" i="6"/>
  <c r="D9" i="68" s="1"/>
  <c r="C9" i="68" s="1"/>
  <c r="E32" i="6"/>
  <c r="L19" i="6"/>
  <c r="G1" i="68"/>
  <c r="K1" i="12"/>
  <c r="E19" i="69"/>
  <c r="E19" i="68"/>
  <c r="E19" i="11"/>
  <c r="E1" i="73"/>
  <c r="G22" i="69"/>
  <c r="G22" i="68"/>
  <c r="G26" i="12"/>
  <c r="G22" i="11"/>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H72" i="43"/>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AB15" i="21" s="1"/>
  <c r="J17" i="21"/>
  <c r="AC17" i="21"/>
  <c r="AC19" i="21"/>
  <c r="W39" i="21"/>
  <c r="AC14" i="21"/>
  <c r="W30" i="21"/>
  <c r="S46" i="21"/>
  <c r="H45" i="21"/>
  <c r="U45" i="21" s="1"/>
  <c r="F29" i="21"/>
  <c r="S29" i="21" s="1"/>
  <c r="F13" i="21"/>
  <c r="AA13" i="21"/>
  <c r="AC38" i="21"/>
  <c r="H32" i="21"/>
  <c r="U32" i="21" s="1"/>
  <c r="H9" i="21"/>
  <c r="J9" i="21"/>
  <c r="J32" i="21"/>
  <c r="AC32" i="21" s="1"/>
  <c r="F32" i="21"/>
  <c r="AA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G70" i="34"/>
  <c r="H70" i="34" s="1"/>
  <c r="I70" i="34" s="1"/>
  <c r="J70" i="34" s="1"/>
  <c r="K70" i="34" s="1"/>
  <c r="L70" i="34" s="1"/>
  <c r="M70" i="34" s="1"/>
  <c r="H11" i="34"/>
  <c r="AB11" i="34" s="1"/>
  <c r="AB10" i="34"/>
  <c r="U10" i="34"/>
  <c r="J10" i="34"/>
  <c r="I67" i="34"/>
  <c r="AB41" i="33"/>
  <c r="U41" i="33"/>
  <c r="W35" i="33"/>
  <c r="AC35" i="33"/>
  <c r="H111" i="33"/>
  <c r="I111" i="33"/>
  <c r="J111" i="33" s="1"/>
  <c r="K111" i="33" s="1"/>
  <c r="L111" i="33" s="1"/>
  <c r="M111" i="33" s="1"/>
  <c r="J36" i="33"/>
  <c r="W36" i="33" s="1"/>
  <c r="H36" i="33"/>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c r="K87" i="33" s="1"/>
  <c r="L87" i="33" s="1"/>
  <c r="M87" i="33" s="1"/>
  <c r="J25" i="33"/>
  <c r="W25" i="33" s="1"/>
  <c r="AB23" i="33"/>
  <c r="U23" i="33"/>
  <c r="F23" i="33"/>
  <c r="S23" i="33" s="1"/>
  <c r="G85" i="33"/>
  <c r="AC23" i="33"/>
  <c r="W23" i="33"/>
  <c r="H19" i="33"/>
  <c r="U19" i="33" s="1"/>
  <c r="G81" i="33"/>
  <c r="H17" i="33"/>
  <c r="U17" i="33" s="1"/>
  <c r="F17" i="33"/>
  <c r="W17" i="33"/>
  <c r="AC17" i="33"/>
  <c r="U10" i="33"/>
  <c r="AB10" i="33"/>
  <c r="AC10" i="33"/>
  <c r="W10" i="33"/>
  <c r="AC37" i="21"/>
  <c r="U33" i="21"/>
  <c r="S37" i="21"/>
  <c r="AA23" i="21"/>
  <c r="J23" i="21"/>
  <c r="F85" i="21"/>
  <c r="G85" i="21" s="1"/>
  <c r="H23" i="21"/>
  <c r="S13" i="21"/>
  <c r="D6" i="52"/>
  <c r="R22" i="31"/>
  <c r="AP7" i="1"/>
  <c r="AB45" i="21"/>
  <c r="AC33" i="21"/>
  <c r="W33" i="21"/>
  <c r="S33" i="21"/>
  <c r="AA33" i="21"/>
  <c r="W32" i="21"/>
  <c r="AB9" i="21"/>
  <c r="U9" i="21"/>
  <c r="S32" i="21"/>
  <c r="W9" i="21"/>
  <c r="AC9" i="21"/>
  <c r="AB32" i="21"/>
  <c r="AA10" i="21"/>
  <c r="S10" i="21"/>
  <c r="E6" i="70"/>
  <c r="U32" i="39"/>
  <c r="AB11" i="37"/>
  <c r="U11" i="37"/>
  <c r="H63" i="37"/>
  <c r="I63" i="37" s="1"/>
  <c r="J63" i="37" s="1"/>
  <c r="K63" i="37" s="1"/>
  <c r="L63" i="37" s="1"/>
  <c r="M63" i="37" s="1"/>
  <c r="J11" i="37"/>
  <c r="W10" i="37"/>
  <c r="AC10" i="37"/>
  <c r="U11" i="34"/>
  <c r="AC10" i="34"/>
  <c r="W10" i="34"/>
  <c r="J11" i="34"/>
  <c r="W11" i="34" s="1"/>
  <c r="AC36" i="33"/>
  <c r="U36" i="33"/>
  <c r="AB36" i="33"/>
  <c r="W27" i="33"/>
  <c r="AA23" i="33"/>
  <c r="AB19" i="33"/>
  <c r="AA17" i="33"/>
  <c r="S17" i="33"/>
  <c r="AB17" i="33"/>
  <c r="AC11" i="37"/>
  <c r="W11" i="37"/>
  <c r="AC11" i="34"/>
  <c r="F34" i="11"/>
  <c r="F11" i="12"/>
  <c r="C23" i="12" s="1"/>
  <c r="F34" i="68"/>
  <c r="R8" i="1"/>
  <c r="AE7" i="1"/>
  <c r="AE8" i="1"/>
  <c r="AG6" i="1"/>
  <c r="H109" i="9"/>
  <c r="D16" i="53" s="1"/>
  <c r="H110" i="9"/>
  <c r="D18" i="53" s="1"/>
  <c r="B35" i="72" s="1"/>
  <c r="D124" i="9"/>
  <c r="D10" i="52" s="1"/>
  <c r="H112" i="9"/>
  <c r="D21" i="53" s="1"/>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Y17" i="71"/>
  <c r="Z17" i="71" s="1"/>
  <c r="X3" i="71"/>
  <c r="C18" i="71"/>
  <c r="D18" i="71" s="1"/>
  <c r="G20" i="43"/>
  <c r="F40" i="67"/>
  <c r="F9" i="67"/>
  <c r="M28" i="15"/>
  <c r="F13" i="15"/>
  <c r="F8" i="67"/>
  <c r="C76" i="67"/>
  <c r="M8" i="15"/>
  <c r="F7" i="15"/>
  <c r="M22" i="67"/>
  <c r="D3" i="73"/>
  <c r="D6" i="73"/>
  <c r="M23" i="67"/>
  <c r="F9" i="15"/>
  <c r="F16" i="15"/>
  <c r="AO8" i="1"/>
  <c r="F26" i="15"/>
  <c r="B13" i="76"/>
  <c r="B12" i="76"/>
  <c r="M28" i="67"/>
  <c r="F7" i="67"/>
  <c r="B9" i="76"/>
  <c r="M29" i="15"/>
  <c r="M6" i="67"/>
  <c r="D2" i="36"/>
  <c r="C76" i="15"/>
  <c r="M26" i="15"/>
  <c r="M6" i="15"/>
  <c r="F3" i="73"/>
  <c r="F7" i="73"/>
  <c r="J15" i="67"/>
  <c r="L47" i="15"/>
  <c r="B7" i="76"/>
  <c r="F43" i="15"/>
  <c r="F5" i="73"/>
  <c r="B11" i="76"/>
  <c r="B10" i="76"/>
  <c r="F37" i="67"/>
  <c r="E7" i="76"/>
  <c r="M8" i="67"/>
  <c r="F6" i="73"/>
  <c r="M27" i="15"/>
  <c r="L48" i="67"/>
  <c r="F42" i="15"/>
  <c r="E9" i="76"/>
  <c r="AO9" i="1"/>
  <c r="E2" i="68"/>
  <c r="M27" i="67"/>
  <c r="D2" i="35"/>
  <c r="D2" i="34"/>
  <c r="AO12" i="1"/>
  <c r="D5" i="73"/>
  <c r="F26" i="67"/>
  <c r="M29" i="67"/>
  <c r="D7" i="73"/>
  <c r="AO11" i="1"/>
  <c r="F8" i="15"/>
  <c r="D2" i="33"/>
  <c r="L48" i="15"/>
  <c r="F4" i="73"/>
  <c r="M24" i="15"/>
  <c r="F20" i="31"/>
  <c r="D2" i="21"/>
  <c r="L47" i="67"/>
  <c r="D2" i="37"/>
  <c r="AO7" i="1"/>
  <c r="F40" i="15"/>
  <c r="F42" i="67"/>
  <c r="J15" i="15"/>
  <c r="D4" i="73"/>
  <c r="F38" i="15"/>
  <c r="E13" i="76"/>
  <c r="F43" i="67"/>
  <c r="E10" i="76"/>
  <c r="E11" i="76"/>
  <c r="M23" i="15"/>
  <c r="F16" i="67"/>
  <c r="F6" i="15"/>
  <c r="F36" i="67"/>
  <c r="B8" i="76"/>
  <c r="F13" i="67"/>
  <c r="F6" i="67"/>
  <c r="F36" i="15"/>
  <c r="E8" i="76"/>
  <c r="F38" i="67"/>
  <c r="M9" i="67"/>
  <c r="M24" i="67"/>
  <c r="AO13" i="1"/>
  <c r="M26" i="67"/>
  <c r="E12" i="76"/>
  <c r="M9" i="15"/>
  <c r="M22" i="15"/>
  <c r="F41" i="67"/>
  <c r="E2" i="69"/>
  <c r="F37" i="15"/>
  <c r="AO10" i="1"/>
  <c r="B70" i="43" l="1"/>
  <c r="C92" i="9"/>
  <c r="C94" i="9"/>
  <c r="M18" i="15"/>
  <c r="F30" i="11"/>
  <c r="C48" i="11" s="1"/>
  <c r="F54" i="9"/>
  <c r="D68" i="9"/>
  <c r="F32" i="15"/>
  <c r="F60" i="15" s="1"/>
  <c r="F30" i="68"/>
  <c r="C48" i="68" s="1"/>
  <c r="F30" i="69"/>
  <c r="F48" i="69" s="1"/>
  <c r="F32" i="67"/>
  <c r="F60" i="67" s="1"/>
  <c r="F52" i="9"/>
  <c r="M18" i="67"/>
  <c r="F31" i="12"/>
  <c r="F28" i="15"/>
  <c r="C28" i="15" s="1"/>
  <c r="F28" i="67"/>
  <c r="C28" i="67" s="1"/>
  <c r="C21" i="69"/>
  <c r="C40" i="68"/>
  <c r="C5" i="11"/>
  <c r="D22" i="67"/>
  <c r="AQ12" i="1"/>
  <c r="G6" i="1"/>
  <c r="AR12" i="1"/>
  <c r="G10" i="1"/>
  <c r="L27" i="6"/>
  <c r="T13" i="1"/>
  <c r="T9" i="1"/>
  <c r="AQ9" i="1"/>
  <c r="T35" i="4"/>
  <c r="A19" i="51" s="1"/>
  <c r="B14" i="72" s="1"/>
  <c r="A15" i="62"/>
  <c r="B61" i="72" s="1"/>
  <c r="G13" i="1"/>
  <c r="C69" i="39"/>
  <c r="D67" i="39"/>
  <c r="D69" i="39" s="1"/>
  <c r="C77" i="9"/>
  <c r="C74" i="9" s="1"/>
  <c r="C30" i="69"/>
  <c r="C13" i="12"/>
  <c r="C36" i="11"/>
  <c r="C20" i="43"/>
  <c r="AR11" i="1"/>
  <c r="E12" i="6"/>
  <c r="E57" i="40" s="1"/>
  <c r="E15" i="6"/>
  <c r="E10" i="6"/>
  <c r="E11" i="6"/>
  <c r="E60" i="39" s="1"/>
  <c r="E14" i="6"/>
  <c r="E8" i="6"/>
  <c r="F101" i="43"/>
  <c r="F104" i="43" s="1"/>
  <c r="I101" i="43"/>
  <c r="Z11" i="43"/>
  <c r="AA11" i="43"/>
  <c r="AA13" i="43" s="1"/>
  <c r="N101" i="43"/>
  <c r="N107" i="43" s="1"/>
  <c r="E101" i="43"/>
  <c r="Z7" i="43"/>
  <c r="Y11" i="43"/>
  <c r="Y13" i="43" s="1"/>
  <c r="S4" i="43"/>
  <c r="S5" i="43"/>
  <c r="S3" i="43"/>
  <c r="H22" i="43"/>
  <c r="AJ11" i="43"/>
  <c r="AJ13" i="43" s="1"/>
  <c r="AI11" i="43"/>
  <c r="AI13" i="43" s="1"/>
  <c r="E22" i="43"/>
  <c r="G22" i="43"/>
  <c r="S7" i="43"/>
  <c r="F22" i="43"/>
  <c r="G101" i="43"/>
  <c r="G103" i="43" s="1"/>
  <c r="B113" i="43"/>
  <c r="C101" i="43"/>
  <c r="L101" i="43"/>
  <c r="L106" i="43" s="1"/>
  <c r="AH11" i="43"/>
  <c r="AH13" i="43" s="1"/>
  <c r="J22" i="43"/>
  <c r="J101" i="43"/>
  <c r="H101" i="43"/>
  <c r="S2" i="43"/>
  <c r="AF11" i="43"/>
  <c r="AF13" i="43" s="1"/>
  <c r="AG11" i="43"/>
  <c r="AG13" i="43" s="1"/>
  <c r="M101" i="43"/>
  <c r="M109" i="43" s="1"/>
  <c r="AB11" i="43"/>
  <c r="AB13" i="43" s="1"/>
  <c r="AC11" i="43"/>
  <c r="AC13" i="43" s="1"/>
  <c r="C23" i="43"/>
  <c r="C21" i="43" s="1"/>
  <c r="K101" i="43"/>
  <c r="N104" i="46"/>
  <c r="D101" i="43"/>
  <c r="D104" i="43" s="1"/>
  <c r="AD11" i="43"/>
  <c r="AD13" i="43" s="1"/>
  <c r="AE11" i="43"/>
  <c r="AE13" i="43" s="1"/>
  <c r="S6" i="43"/>
  <c r="C36" i="69"/>
  <c r="E13" i="6"/>
  <c r="E58" i="40" s="1"/>
  <c r="BA13" i="3"/>
  <c r="AZ13" i="3" s="1"/>
  <c r="AR8" i="1"/>
  <c r="E2" i="70"/>
  <c r="T11" i="1"/>
  <c r="D19" i="12"/>
  <c r="C19" i="12" s="1"/>
  <c r="D9" i="69"/>
  <c r="C9" i="69" s="1"/>
  <c r="O11" i="1"/>
  <c r="P11" i="1" s="1"/>
  <c r="T10" i="1"/>
  <c r="AR10" i="1"/>
  <c r="L104" i="43"/>
  <c r="AQ13" i="1"/>
  <c r="C17" i="71"/>
  <c r="D125" i="9"/>
  <c r="D11" i="52" s="1"/>
  <c r="AB23" i="21"/>
  <c r="U23" i="21"/>
  <c r="H14" i="74"/>
  <c r="B7" i="74" s="1"/>
  <c r="B34" i="72"/>
  <c r="D17" i="53"/>
  <c r="B36" i="72" s="1"/>
  <c r="P7" i="1"/>
  <c r="AC23" i="21"/>
  <c r="W23" i="21"/>
  <c r="D126" i="9"/>
  <c r="AC23" i="37"/>
  <c r="W23" i="37"/>
  <c r="AC32" i="39"/>
  <c r="W32" i="39"/>
  <c r="B38" i="72"/>
  <c r="D20" i="53"/>
  <c r="B40" i="72" s="1"/>
  <c r="E41" i="43"/>
  <c r="C41" i="43" s="1"/>
  <c r="U15" i="21"/>
  <c r="M106" i="43"/>
  <c r="O12" i="1"/>
  <c r="P12" i="1" s="1"/>
  <c r="O9" i="1"/>
  <c r="P9" i="1" s="1"/>
  <c r="F30" i="6"/>
  <c r="E29" i="6"/>
  <c r="K15" i="1" s="1"/>
  <c r="E28" i="6"/>
  <c r="G30" i="6"/>
  <c r="G31" i="6" s="1"/>
  <c r="T8" i="1"/>
  <c r="AZ151" i="3"/>
  <c r="AC25" i="33"/>
  <c r="AC19" i="37"/>
  <c r="D9" i="11"/>
  <c r="C9" i="11" s="1"/>
  <c r="O6" i="1"/>
  <c r="F53" i="9"/>
  <c r="AZ575" i="3"/>
  <c r="W27" i="36"/>
  <c r="H83" i="43"/>
  <c r="AZ351" i="3"/>
  <c r="AZ344" i="3"/>
  <c r="AA11" i="39"/>
  <c r="C31" i="12"/>
  <c r="S25" i="21"/>
  <c r="AA25" i="21"/>
  <c r="AZ493" i="3"/>
  <c r="AZ529" i="3"/>
  <c r="AZ545" i="3"/>
  <c r="AA19" i="33"/>
  <c r="AZ326" i="3"/>
  <c r="AZ380" i="3"/>
  <c r="AZ533" i="3"/>
  <c r="AZ313" i="3"/>
  <c r="AZ378" i="3"/>
  <c r="AZ548" i="3"/>
  <c r="AC30" i="34"/>
  <c r="AC35" i="40"/>
  <c r="S44" i="33"/>
  <c r="AB35" i="33"/>
  <c r="U35" i="33"/>
  <c r="AC28" i="36"/>
  <c r="H23" i="36"/>
  <c r="F23" i="36"/>
  <c r="G578" i="3"/>
  <c r="BL548" i="3"/>
  <c r="W29" i="33"/>
  <c r="AA14" i="33"/>
  <c r="S14" i="34"/>
  <c r="AC39" i="33"/>
  <c r="W39" i="33"/>
  <c r="BL550" i="3"/>
  <c r="U31" i="33"/>
  <c r="W11" i="36"/>
  <c r="J39" i="40"/>
  <c r="BA550" i="3"/>
  <c r="AA44" i="34"/>
  <c r="U30" i="35"/>
  <c r="AC33" i="33"/>
  <c r="AB9" i="40"/>
  <c r="U9" i="40"/>
  <c r="AZ585" i="3"/>
  <c r="J26" i="33"/>
  <c r="F26" i="33"/>
  <c r="AA40" i="40"/>
  <c r="S40" i="40"/>
  <c r="F9" i="33"/>
  <c r="J12" i="35"/>
  <c r="H12" i="35"/>
  <c r="AZ460" i="3"/>
  <c r="AZ461" i="3"/>
  <c r="AZ477" i="3"/>
  <c r="AZ478" i="3"/>
  <c r="AZ492" i="3"/>
  <c r="AZ410" i="3"/>
  <c r="AZ424" i="3"/>
  <c r="AZ440" i="3"/>
  <c r="AZ459" i="3"/>
  <c r="AZ476" i="3"/>
  <c r="AZ439" i="3"/>
  <c r="AZ475" i="3"/>
  <c r="AC27" i="35"/>
  <c r="AA31" i="36"/>
  <c r="J24" i="36"/>
  <c r="W41" i="33"/>
  <c r="F12" i="34"/>
  <c r="H38" i="40"/>
  <c r="BA402" i="3"/>
  <c r="AZ402" i="3" s="1"/>
  <c r="AZ403" i="3"/>
  <c r="AZ418" i="3"/>
  <c r="AZ451" i="3"/>
  <c r="AZ453" i="3"/>
  <c r="F25" i="37"/>
  <c r="BA399" i="3"/>
  <c r="AZ399" i="3" s="1"/>
  <c r="AZ400" i="3"/>
  <c r="AZ466" i="3"/>
  <c r="AZ467" i="3"/>
  <c r="J38" i="40"/>
  <c r="BL403" i="3"/>
  <c r="AZ446" i="3"/>
  <c r="P8" i="1"/>
  <c r="BA350" i="3"/>
  <c r="AZ350" i="3" s="1"/>
  <c r="BA358" i="3"/>
  <c r="AZ358" i="3" s="1"/>
  <c r="AZ220" i="3"/>
  <c r="AZ221" i="3"/>
  <c r="BL235" i="3"/>
  <c r="AZ235" i="3" s="1"/>
  <c r="BA241" i="3"/>
  <c r="BA254" i="3"/>
  <c r="AZ254" i="3" s="1"/>
  <c r="BA257" i="3"/>
  <c r="AZ257" i="3" s="1"/>
  <c r="BA292" i="3"/>
  <c r="BL298" i="3"/>
  <c r="AZ298" i="3" s="1"/>
  <c r="BA301" i="3"/>
  <c r="AZ301" i="3" s="1"/>
  <c r="BA116" i="3"/>
  <c r="AZ116" i="3" s="1"/>
  <c r="AZ126" i="3"/>
  <c r="BA129" i="3"/>
  <c r="AZ129" i="3" s="1"/>
  <c r="BL135" i="3"/>
  <c r="AZ135" i="3" s="1"/>
  <c r="BA349" i="3"/>
  <c r="AZ349" i="3" s="1"/>
  <c r="BL383" i="3"/>
  <c r="AZ383" i="3" s="1"/>
  <c r="G384" i="3"/>
  <c r="BA384" i="3"/>
  <c r="AZ384" i="3" s="1"/>
  <c r="BL393" i="3"/>
  <c r="AZ393" i="3" s="1"/>
  <c r="BL212" i="3"/>
  <c r="BA217" i="3"/>
  <c r="AZ217" i="3" s="1"/>
  <c r="BA218" i="3"/>
  <c r="AZ218" i="3" s="1"/>
  <c r="BL223" i="3"/>
  <c r="AZ223" i="3" s="1"/>
  <c r="BA226" i="3"/>
  <c r="AZ226" i="3" s="1"/>
  <c r="BL243" i="3"/>
  <c r="AZ243" i="3" s="1"/>
  <c r="BL244" i="3"/>
  <c r="BL248" i="3"/>
  <c r="AZ248" i="3" s="1"/>
  <c r="BL265" i="3"/>
  <c r="AZ265" i="3" s="1"/>
  <c r="BA271" i="3"/>
  <c r="BA276" i="3"/>
  <c r="AZ276" i="3" s="1"/>
  <c r="BL282" i="3"/>
  <c r="AZ282" i="3" s="1"/>
  <c r="BA285" i="3"/>
  <c r="AZ285" i="3" s="1"/>
  <c r="AZ141" i="3"/>
  <c r="BA367" i="3"/>
  <c r="AZ367" i="3" s="1"/>
  <c r="BA368" i="3"/>
  <c r="AZ368" i="3" s="1"/>
  <c r="G382" i="3"/>
  <c r="G392" i="3"/>
  <c r="AZ212" i="3"/>
  <c r="BA213" i="3"/>
  <c r="AZ213" i="3" s="1"/>
  <c r="BA216" i="3"/>
  <c r="AZ216" i="3" s="1"/>
  <c r="BL219" i="3"/>
  <c r="AZ219" i="3" s="1"/>
  <c r="BL228" i="3"/>
  <c r="BA234" i="3"/>
  <c r="AZ234" i="3" s="1"/>
  <c r="BL238" i="3"/>
  <c r="AZ238" i="3" s="1"/>
  <c r="G240" i="3"/>
  <c r="BL241" i="3"/>
  <c r="BL245" i="3"/>
  <c r="AZ245" i="3" s="1"/>
  <c r="BA249" i="3"/>
  <c r="AZ249" i="3" s="1"/>
  <c r="BL253" i="3"/>
  <c r="AZ253" i="3" s="1"/>
  <c r="BA266" i="3"/>
  <c r="AZ266" i="3" s="1"/>
  <c r="BL271" i="3"/>
  <c r="BL272" i="3"/>
  <c r="AZ272" i="3" s="1"/>
  <c r="BA273" i="3"/>
  <c r="AZ273" i="3" s="1"/>
  <c r="BL278" i="3"/>
  <c r="BA281" i="3"/>
  <c r="AZ281" i="3" s="1"/>
  <c r="BA283" i="3"/>
  <c r="BL291" i="3"/>
  <c r="AZ291" i="3" s="1"/>
  <c r="BA297" i="3"/>
  <c r="AZ297" i="3" s="1"/>
  <c r="BL300" i="3"/>
  <c r="AZ300" i="3" s="1"/>
  <c r="G301" i="3"/>
  <c r="BA121" i="3"/>
  <c r="AZ121" i="3" s="1"/>
  <c r="BL134" i="3"/>
  <c r="AZ134" i="3" s="1"/>
  <c r="BA366" i="3"/>
  <c r="AZ366" i="3" s="1"/>
  <c r="AZ231" i="3"/>
  <c r="BL251" i="3"/>
  <c r="AZ251" i="3" s="1"/>
  <c r="AZ294" i="3"/>
  <c r="BA295" i="3"/>
  <c r="BA120" i="3"/>
  <c r="AZ120" i="3" s="1"/>
  <c r="BL125" i="3"/>
  <c r="AZ125" i="3" s="1"/>
  <c r="BA136" i="3"/>
  <c r="AZ136" i="3" s="1"/>
  <c r="G380" i="3"/>
  <c r="BA385" i="3"/>
  <c r="AZ385" i="3" s="1"/>
  <c r="BA386" i="3"/>
  <c r="AZ386" i="3" s="1"/>
  <c r="BA395" i="3"/>
  <c r="AZ395" i="3" s="1"/>
  <c r="BA397" i="3"/>
  <c r="AZ397" i="3" s="1"/>
  <c r="BL213" i="3"/>
  <c r="G214" i="3"/>
  <c r="BL215" i="3"/>
  <c r="AZ215" i="3" s="1"/>
  <c r="BA227" i="3"/>
  <c r="AZ227" i="3" s="1"/>
  <c r="AZ228" i="3"/>
  <c r="BA229" i="3"/>
  <c r="AZ229" i="3" s="1"/>
  <c r="BA236" i="3"/>
  <c r="AZ236" i="3" s="1"/>
  <c r="BL249" i="3"/>
  <c r="G250" i="3"/>
  <c r="G267" i="3"/>
  <c r="AZ278" i="3"/>
  <c r="BA279" i="3"/>
  <c r="BL283" i="3"/>
  <c r="AZ284" i="3"/>
  <c r="BA172" i="3"/>
  <c r="AZ172" i="3" s="1"/>
  <c r="BA315" i="3"/>
  <c r="AZ315" i="3" s="1"/>
  <c r="BL365" i="3"/>
  <c r="AZ365" i="3" s="1"/>
  <c r="BL368" i="3"/>
  <c r="BL210" i="3"/>
  <c r="AZ210" i="3" s="1"/>
  <c r="G211" i="3"/>
  <c r="BA224" i="3"/>
  <c r="AZ224" i="3" s="1"/>
  <c r="AZ225" i="3"/>
  <c r="BL232" i="3"/>
  <c r="AZ232" i="3" s="1"/>
  <c r="G233" i="3"/>
  <c r="BA244" i="3"/>
  <c r="AZ244" i="3" s="1"/>
  <c r="BL247" i="3"/>
  <c r="AZ247" i="3" s="1"/>
  <c r="BA262" i="3"/>
  <c r="AZ262" i="3" s="1"/>
  <c r="BL264" i="3"/>
  <c r="AZ264" i="3" s="1"/>
  <c r="AZ289" i="3"/>
  <c r="BL294" i="3"/>
  <c r="BL119" i="3"/>
  <c r="AZ119" i="3" s="1"/>
  <c r="BL126" i="3"/>
  <c r="BA137" i="3"/>
  <c r="AZ137" i="3" s="1"/>
  <c r="BA145" i="3"/>
  <c r="AZ145" i="3" s="1"/>
  <c r="BL147" i="3"/>
  <c r="AZ147" i="3" s="1"/>
  <c r="G148" i="3"/>
  <c r="BL490" i="3"/>
  <c r="AZ490" i="3" s="1"/>
  <c r="BL363" i="3"/>
  <c r="AZ363" i="3" s="1"/>
  <c r="BA374" i="3"/>
  <c r="AZ374" i="3" s="1"/>
  <c r="G378" i="3"/>
  <c r="BL396" i="3"/>
  <c r="AZ396" i="3" s="1"/>
  <c r="G208" i="3"/>
  <c r="G230" i="3"/>
  <c r="BL246" i="3"/>
  <c r="AZ246" i="3" s="1"/>
  <c r="AZ258" i="3"/>
  <c r="BA260" i="3"/>
  <c r="AZ260" i="3" s="1"/>
  <c r="BL263" i="3"/>
  <c r="AZ263" i="3" s="1"/>
  <c r="BA274" i="3"/>
  <c r="AZ274" i="3" s="1"/>
  <c r="BA280" i="3"/>
  <c r="AZ280" i="3" s="1"/>
  <c r="G293" i="3"/>
  <c r="BA296" i="3"/>
  <c r="AZ296" i="3" s="1"/>
  <c r="BL299" i="3"/>
  <c r="AZ299" i="3" s="1"/>
  <c r="BA117" i="3"/>
  <c r="AZ117" i="3" s="1"/>
  <c r="BL118" i="3"/>
  <c r="AZ118" i="3" s="1"/>
  <c r="BA287" i="3"/>
  <c r="AZ287" i="3" s="1"/>
  <c r="G302" i="3"/>
  <c r="BL141" i="3"/>
  <c r="BL151" i="3"/>
  <c r="BL169" i="3"/>
  <c r="AZ169" i="3" s="1"/>
  <c r="BL175" i="3"/>
  <c r="AZ175" i="3" s="1"/>
  <c r="BA189" i="3"/>
  <c r="BA204" i="3"/>
  <c r="AZ204" i="3" s="1"/>
  <c r="BA205" i="3"/>
  <c r="AZ205" i="3" s="1"/>
  <c r="BL206" i="3"/>
  <c r="AZ206" i="3" s="1"/>
  <c r="BA19" i="3"/>
  <c r="AZ19" i="3" s="1"/>
  <c r="BA20" i="3"/>
  <c r="AZ20" i="3" s="1"/>
  <c r="G21" i="3"/>
  <c r="BA24" i="3"/>
  <c r="AZ24" i="3" s="1"/>
  <c r="G286" i="3"/>
  <c r="G126" i="3"/>
  <c r="BL157" i="3"/>
  <c r="AZ157" i="3" s="1"/>
  <c r="BL162" i="3"/>
  <c r="AZ162" i="3" s="1"/>
  <c r="BA185" i="3"/>
  <c r="AZ185" i="3" s="1"/>
  <c r="BA188" i="3"/>
  <c r="AZ188" i="3" s="1"/>
  <c r="G190" i="3"/>
  <c r="BL20" i="3"/>
  <c r="BA41" i="3"/>
  <c r="AZ41" i="3" s="1"/>
  <c r="BL42" i="3"/>
  <c r="BL51" i="3"/>
  <c r="AZ51" i="3" s="1"/>
  <c r="BL57" i="3"/>
  <c r="BA146" i="3"/>
  <c r="BA149" i="3"/>
  <c r="AZ149" i="3" s="1"/>
  <c r="BA60" i="3"/>
  <c r="AA21" i="37"/>
  <c r="S21" i="37"/>
  <c r="G283" i="3"/>
  <c r="BL295" i="3"/>
  <c r="BA122" i="3"/>
  <c r="AZ122" i="3" s="1"/>
  <c r="BA148" i="3"/>
  <c r="AZ148" i="3" s="1"/>
  <c r="BA152" i="3"/>
  <c r="AZ152" i="3" s="1"/>
  <c r="BA154" i="3"/>
  <c r="AZ154" i="3" s="1"/>
  <c r="AZ57" i="3"/>
  <c r="BL279" i="3"/>
  <c r="BA293" i="3"/>
  <c r="AZ293" i="3" s="1"/>
  <c r="BL121" i="3"/>
  <c r="G136" i="3"/>
  <c r="BL146" i="3"/>
  <c r="BA153" i="3"/>
  <c r="AZ153" i="3" s="1"/>
  <c r="BA158" i="3"/>
  <c r="BA160" i="3"/>
  <c r="AZ160" i="3" s="1"/>
  <c r="BA165" i="3"/>
  <c r="AZ165" i="3" s="1"/>
  <c r="BA177" i="3"/>
  <c r="AZ177" i="3" s="1"/>
  <c r="BA178" i="3"/>
  <c r="AZ178" i="3" s="1"/>
  <c r="BL183" i="3"/>
  <c r="AZ183" i="3" s="1"/>
  <c r="BL33" i="3"/>
  <c r="BL36" i="3"/>
  <c r="AZ36" i="3" s="1"/>
  <c r="AZ56" i="3"/>
  <c r="AZ95" i="3"/>
  <c r="BA277" i="3"/>
  <c r="AZ277" i="3" s="1"/>
  <c r="BL292" i="3"/>
  <c r="BA130" i="3"/>
  <c r="AZ130" i="3" s="1"/>
  <c r="BA133" i="3"/>
  <c r="AZ133" i="3" s="1"/>
  <c r="BA164" i="3"/>
  <c r="AZ164" i="3" s="1"/>
  <c r="G166" i="3"/>
  <c r="BL177" i="3"/>
  <c r="BL179" i="3"/>
  <c r="AZ179" i="3" s="1"/>
  <c r="BA182" i="3"/>
  <c r="G183" i="3"/>
  <c r="BL186" i="3"/>
  <c r="AZ186" i="3" s="1"/>
  <c r="BL193" i="3"/>
  <c r="AZ193" i="3" s="1"/>
  <c r="BL201" i="3"/>
  <c r="AZ201" i="3" s="1"/>
  <c r="BL203" i="3"/>
  <c r="AZ203" i="3" s="1"/>
  <c r="BA21" i="3"/>
  <c r="AZ21" i="3" s="1"/>
  <c r="BA290" i="3"/>
  <c r="AZ290" i="3" s="1"/>
  <c r="G116" i="3"/>
  <c r="BA132" i="3"/>
  <c r="AZ132" i="3" s="1"/>
  <c r="BL150" i="3"/>
  <c r="AZ150" i="3" s="1"/>
  <c r="BL158" i="3"/>
  <c r="BA170" i="3"/>
  <c r="AZ170" i="3" s="1"/>
  <c r="BL171" i="3"/>
  <c r="AZ171" i="3" s="1"/>
  <c r="BA176" i="3"/>
  <c r="AZ176" i="3" s="1"/>
  <c r="BL182" i="3"/>
  <c r="AZ23" i="3"/>
  <c r="BA44" i="3"/>
  <c r="AZ44" i="3" s="1"/>
  <c r="BA53" i="3"/>
  <c r="AZ53" i="3" s="1"/>
  <c r="BA78" i="3"/>
  <c r="AZ78" i="3" s="1"/>
  <c r="BL194" i="3"/>
  <c r="AZ194" i="3" s="1"/>
  <c r="BA55" i="3"/>
  <c r="AZ55" i="3" s="1"/>
  <c r="BA64" i="3"/>
  <c r="AZ64" i="3" s="1"/>
  <c r="BA65" i="3"/>
  <c r="AZ65" i="3" s="1"/>
  <c r="BL74" i="3"/>
  <c r="AZ81" i="3"/>
  <c r="AZ90" i="3"/>
  <c r="AZ91" i="3"/>
  <c r="AZ96" i="3"/>
  <c r="AZ99" i="3"/>
  <c r="AZ100" i="3"/>
  <c r="AZ108" i="3"/>
  <c r="G108" i="43"/>
  <c r="G100" i="43"/>
  <c r="BL189" i="3"/>
  <c r="G196" i="3"/>
  <c r="BL205" i="3"/>
  <c r="BA207" i="3"/>
  <c r="AZ207" i="3" s="1"/>
  <c r="BA26" i="3"/>
  <c r="AZ26" i="3" s="1"/>
  <c r="BL40" i="3"/>
  <c r="G43" i="3"/>
  <c r="BA45" i="3"/>
  <c r="AZ45" i="3" s="1"/>
  <c r="BA46" i="3"/>
  <c r="AZ46" i="3" s="1"/>
  <c r="G54" i="3"/>
  <c r="BL64" i="3"/>
  <c r="BA66" i="3"/>
  <c r="BL76" i="3"/>
  <c r="BL78" i="3"/>
  <c r="BA84" i="3"/>
  <c r="AZ84" i="3" s="1"/>
  <c r="BA88" i="3"/>
  <c r="AZ88" i="3" s="1"/>
  <c r="BL91" i="3"/>
  <c r="BA94" i="3"/>
  <c r="AZ94" i="3" s="1"/>
  <c r="BA97" i="3"/>
  <c r="AZ97" i="3" s="1"/>
  <c r="BL100" i="3"/>
  <c r="BL101" i="3"/>
  <c r="AZ101" i="3" s="1"/>
  <c r="BA103" i="3"/>
  <c r="AZ103" i="3" s="1"/>
  <c r="BA105" i="3"/>
  <c r="BL109" i="3"/>
  <c r="AZ109" i="3" s="1"/>
  <c r="BL110" i="3"/>
  <c r="AZ110" i="3" s="1"/>
  <c r="BL111" i="3"/>
  <c r="AZ111" i="3" s="1"/>
  <c r="D59" i="71"/>
  <c r="C60" i="71"/>
  <c r="AB22" i="71"/>
  <c r="AB21" i="71"/>
  <c r="G26" i="3"/>
  <c r="BL35" i="3"/>
  <c r="AZ35" i="3" s="1"/>
  <c r="BA37" i="3"/>
  <c r="AZ37" i="3" s="1"/>
  <c r="BL48" i="3"/>
  <c r="AZ48" i="3" s="1"/>
  <c r="BA50" i="3"/>
  <c r="BL66" i="3"/>
  <c r="BL68" i="3"/>
  <c r="AZ68" i="3" s="1"/>
  <c r="BA72" i="3"/>
  <c r="AZ72" i="3" s="1"/>
  <c r="BL105" i="3"/>
  <c r="E59" i="43"/>
  <c r="B57" i="43" s="1"/>
  <c r="BA197" i="3"/>
  <c r="AZ197" i="3" s="1"/>
  <c r="BL27" i="3"/>
  <c r="AZ27" i="3" s="1"/>
  <c r="BA38" i="3"/>
  <c r="BL47" i="3"/>
  <c r="AZ47" i="3" s="1"/>
  <c r="BA71" i="3"/>
  <c r="AZ71" i="3" s="1"/>
  <c r="AA21" i="21"/>
  <c r="S21" i="21"/>
  <c r="C52" i="71"/>
  <c r="D51" i="71"/>
  <c r="BA196" i="3"/>
  <c r="AZ196" i="3" s="1"/>
  <c r="BA198" i="3"/>
  <c r="AZ198" i="3" s="1"/>
  <c r="BL18" i="3"/>
  <c r="BL28" i="3"/>
  <c r="AZ28" i="3" s="1"/>
  <c r="BA30" i="3"/>
  <c r="AZ30" i="3" s="1"/>
  <c r="BL38" i="3"/>
  <c r="BA40" i="3"/>
  <c r="BA42" i="3"/>
  <c r="AZ42" i="3" s="1"/>
  <c r="BA43" i="3"/>
  <c r="AZ43" i="3" s="1"/>
  <c r="BA61" i="3"/>
  <c r="BA62" i="3"/>
  <c r="AZ62" i="3" s="1"/>
  <c r="BA76" i="3"/>
  <c r="AZ76" i="3" s="1"/>
  <c r="BA86" i="3"/>
  <c r="AZ86" i="3" s="1"/>
  <c r="F3" i="35"/>
  <c r="AB18" i="35"/>
  <c r="U18" i="35"/>
  <c r="C41" i="71"/>
  <c r="D40" i="71"/>
  <c r="BL19" i="3"/>
  <c r="BL29" i="3"/>
  <c r="AZ29" i="3" s="1"/>
  <c r="BA32" i="3"/>
  <c r="AZ32" i="3" s="1"/>
  <c r="BA33" i="3"/>
  <c r="AZ33" i="3" s="1"/>
  <c r="BL37" i="3"/>
  <c r="BL39" i="3"/>
  <c r="AZ39" i="3" s="1"/>
  <c r="BL50" i="3"/>
  <c r="BL52" i="3"/>
  <c r="AZ52" i="3" s="1"/>
  <c r="BL60" i="3"/>
  <c r="BL61" i="3"/>
  <c r="BA63" i="3"/>
  <c r="AZ63" i="3" s="1"/>
  <c r="G72" i="3"/>
  <c r="BA74" i="3"/>
  <c r="BA82" i="3"/>
  <c r="AZ82" i="3" s="1"/>
  <c r="BA85" i="3"/>
  <c r="AZ85" i="3" s="1"/>
  <c r="BA92" i="3"/>
  <c r="AZ92" i="3" s="1"/>
  <c r="BA112" i="3"/>
  <c r="AZ112" i="3" s="1"/>
  <c r="AC21" i="34"/>
  <c r="W21" i="34"/>
  <c r="AB30" i="71"/>
  <c r="F31" i="71"/>
  <c r="F32" i="71" s="1"/>
  <c r="F33" i="71" s="1"/>
  <c r="V33" i="71" s="1"/>
  <c r="AB29" i="71"/>
  <c r="AB11" i="71"/>
  <c r="AA14" i="71"/>
  <c r="Y5" i="71"/>
  <c r="Z5" i="71" s="1"/>
  <c r="X5" i="71"/>
  <c r="AB5" i="71"/>
  <c r="AA5" i="71"/>
  <c r="AB25" i="40"/>
  <c r="U25" i="40"/>
  <c r="E72" i="71"/>
  <c r="E71" i="71" s="1"/>
  <c r="E33" i="71"/>
  <c r="U33" i="71" s="1"/>
  <c r="AA27" i="71"/>
  <c r="Y29" i="71"/>
  <c r="Z29" i="71" s="1"/>
  <c r="AB32" i="71"/>
  <c r="C57" i="71"/>
  <c r="D56" i="71"/>
  <c r="AA22" i="71"/>
  <c r="AB18" i="71"/>
  <c r="AB14" i="71"/>
  <c r="Y14" i="71"/>
  <c r="Z14" i="71" s="1"/>
  <c r="AA3" i="71"/>
  <c r="D84" i="71"/>
  <c r="C83" i="71"/>
  <c r="D83" i="71" s="1"/>
  <c r="C27" i="71"/>
  <c r="Y26" i="71"/>
  <c r="Z26" i="71" s="1"/>
  <c r="AB27" i="71"/>
  <c r="AA29" i="71"/>
  <c r="C68" i="71"/>
  <c r="D69" i="71"/>
  <c r="Y20" i="71"/>
  <c r="Z20" i="71" s="1"/>
  <c r="AA18" i="36"/>
  <c r="S18" i="36"/>
  <c r="E27" i="71"/>
  <c r="E28" i="71" s="1"/>
  <c r="E29" i="71" s="1"/>
  <c r="U29" i="71" s="1"/>
  <c r="AA26" i="71"/>
  <c r="C36" i="71"/>
  <c r="D35" i="71"/>
  <c r="AA7" i="71"/>
  <c r="AA36" i="71"/>
  <c r="AA6" i="71"/>
  <c r="AA35" i="71"/>
  <c r="C48" i="71"/>
  <c r="D47" i="71"/>
  <c r="F60" i="71"/>
  <c r="F61" i="71" s="1"/>
  <c r="V61" i="71" s="1"/>
  <c r="Y23" i="71"/>
  <c r="Z23" i="71" s="1"/>
  <c r="AA20" i="71"/>
  <c r="AB20" i="71"/>
  <c r="Y10" i="71"/>
  <c r="Z10" i="71" s="1"/>
  <c r="K13" i="1"/>
  <c r="H16" i="1" s="1"/>
  <c r="I108" i="43"/>
  <c r="I109" i="43" s="1"/>
  <c r="I100" i="43"/>
  <c r="W18" i="36"/>
  <c r="AA24" i="71"/>
  <c r="C63" i="71"/>
  <c r="O64" i="71"/>
  <c r="D64" i="71"/>
  <c r="Y30" i="71"/>
  <c r="Z30" i="71" s="1"/>
  <c r="AA30" i="71"/>
  <c r="AA31" i="71"/>
  <c r="E37" i="71"/>
  <c r="U37" i="71" s="1"/>
  <c r="AB7" i="71"/>
  <c r="AB6" i="71"/>
  <c r="AB36" i="71"/>
  <c r="B40" i="71"/>
  <c r="B41" i="71" s="1"/>
  <c r="S41" i="71" s="1"/>
  <c r="T65" i="71"/>
  <c r="O65" i="71"/>
  <c r="Y21" i="71"/>
  <c r="Z21" i="71" s="1"/>
  <c r="Y22" i="71"/>
  <c r="Z22" i="71" s="1"/>
  <c r="AA19" i="71"/>
  <c r="AA21" i="71"/>
  <c r="E21" i="71"/>
  <c r="Y19" i="71"/>
  <c r="Z19" i="71" s="1"/>
  <c r="Y11" i="71"/>
  <c r="Z11" i="71" s="1"/>
  <c r="AA18" i="35"/>
  <c r="AA23" i="71"/>
  <c r="AA25" i="71"/>
  <c r="Y24" i="71"/>
  <c r="Z24" i="71" s="1"/>
  <c r="C32" i="71"/>
  <c r="C44" i="71"/>
  <c r="D44" i="71" s="1"/>
  <c r="D43" i="71"/>
  <c r="P74" i="15"/>
  <c r="P61" i="15"/>
  <c r="F20" i="71"/>
  <c r="F19" i="71" s="1"/>
  <c r="F18" i="71" s="1"/>
  <c r="F17" i="71" s="1"/>
  <c r="F16" i="71" s="1"/>
  <c r="F15" i="71" s="1"/>
  <c r="F14" i="71" s="1"/>
  <c r="AB15" i="71"/>
  <c r="X8" i="71"/>
  <c r="AB9" i="71"/>
  <c r="U21" i="21"/>
  <c r="AB24" i="71"/>
  <c r="AA28" i="71"/>
  <c r="AB34" i="71"/>
  <c r="B18" i="71"/>
  <c r="B17" i="71" s="1"/>
  <c r="AA15" i="71"/>
  <c r="Y9" i="71"/>
  <c r="Z9" i="71" s="1"/>
  <c r="X14" i="71"/>
  <c r="AB10" i="71"/>
  <c r="C71" i="71"/>
  <c r="D71" i="71" s="1"/>
  <c r="AA34" i="71"/>
  <c r="X6" i="71"/>
  <c r="V65" i="71"/>
  <c r="Y18" i="71"/>
  <c r="Z18" i="71" s="1"/>
  <c r="X12" i="71"/>
  <c r="X9" i="71"/>
  <c r="AA8" i="71"/>
  <c r="B86" i="43"/>
  <c r="Q64" i="71"/>
  <c r="B24" i="71"/>
  <c r="B23" i="71" s="1"/>
  <c r="X29" i="71"/>
  <c r="AD10" i="43"/>
  <c r="Z12" i="43"/>
  <c r="Z13" i="43" s="1"/>
  <c r="Y15" i="71"/>
  <c r="Z15" i="71" s="1"/>
  <c r="X10" i="71"/>
  <c r="B63" i="71"/>
  <c r="AA12" i="71"/>
  <c r="Y8" i="71"/>
  <c r="Z8" i="71" s="1"/>
  <c r="X7" i="71"/>
  <c r="C79" i="71"/>
  <c r="D79" i="71" s="1"/>
  <c r="E25" i="71"/>
  <c r="E64" i="71"/>
  <c r="C25" i="71"/>
  <c r="Y34" i="71"/>
  <c r="Z34" i="71" s="1"/>
  <c r="X28" i="71"/>
  <c r="Y32" i="71"/>
  <c r="Z32" i="71" s="1"/>
  <c r="Y6" i="71"/>
  <c r="Z6" i="71" s="1"/>
  <c r="K56" i="9"/>
  <c r="AB12" i="71"/>
  <c r="X11" i="71"/>
  <c r="AA9" i="71"/>
  <c r="Y7" i="71"/>
  <c r="Z7" i="71" s="1"/>
  <c r="AB8" i="71"/>
  <c r="AA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s="1"/>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67"/>
  <c r="C16" i="15"/>
  <c r="C30" i="11" l="1"/>
  <c r="C48" i="69"/>
  <c r="F48" i="68"/>
  <c r="C30" i="68"/>
  <c r="G109" i="43"/>
  <c r="D102" i="43"/>
  <c r="L107" i="43"/>
  <c r="D22" i="43"/>
  <c r="D109" i="43"/>
  <c r="L103" i="43"/>
  <c r="E62" i="39"/>
  <c r="L102" i="43"/>
  <c r="E56" i="40"/>
  <c r="E61" i="39"/>
  <c r="J109" i="43"/>
  <c r="J105" i="43"/>
  <c r="J106" i="43"/>
  <c r="J103" i="43"/>
  <c r="J107" i="43"/>
  <c r="J102" i="43"/>
  <c r="F106" i="43"/>
  <c r="F109" i="43"/>
  <c r="F107" i="43"/>
  <c r="F105" i="43"/>
  <c r="F102" i="43"/>
  <c r="F103" i="43"/>
  <c r="F27" i="6"/>
  <c r="F31" i="6" s="1"/>
  <c r="E51" i="40"/>
  <c r="E56" i="39"/>
  <c r="J104" i="43"/>
  <c r="E63" i="39"/>
  <c r="E59" i="40"/>
  <c r="M105" i="43"/>
  <c r="M102" i="43"/>
  <c r="M104" i="43"/>
  <c r="M107" i="43"/>
  <c r="M103" i="43"/>
  <c r="L109" i="43"/>
  <c r="L105" i="43"/>
  <c r="E107" i="43"/>
  <c r="E103" i="43"/>
  <c r="E105" i="43"/>
  <c r="E102" i="43"/>
  <c r="E109" i="43"/>
  <c r="E106" i="43"/>
  <c r="E104" i="43"/>
  <c r="C104" i="43"/>
  <c r="C105" i="43"/>
  <c r="C102" i="43"/>
  <c r="C106" i="43"/>
  <c r="C109" i="43"/>
  <c r="C107" i="43"/>
  <c r="N102" i="43"/>
  <c r="N105" i="43"/>
  <c r="N106" i="43"/>
  <c r="N104" i="43"/>
  <c r="N109" i="43"/>
  <c r="N103" i="43"/>
  <c r="E16" i="6"/>
  <c r="K107" i="43"/>
  <c r="K104" i="43"/>
  <c r="K105" i="43"/>
  <c r="K102" i="43"/>
  <c r="K106" i="43"/>
  <c r="K103" i="43"/>
  <c r="K109" i="43"/>
  <c r="H107" i="43"/>
  <c r="H103" i="43"/>
  <c r="H106" i="43"/>
  <c r="H104" i="43"/>
  <c r="H105" i="43"/>
  <c r="H102" i="43"/>
  <c r="H109" i="43"/>
  <c r="I104" i="43"/>
  <c r="I106" i="43"/>
  <c r="I107" i="43"/>
  <c r="I103" i="43"/>
  <c r="I105" i="43"/>
  <c r="I102" i="43"/>
  <c r="C103" i="43"/>
  <c r="D105" i="43"/>
  <c r="D103" i="43"/>
  <c r="D106" i="43"/>
  <c r="D107" i="43"/>
  <c r="D118" i="43"/>
  <c r="E118" i="43" s="1"/>
  <c r="F118" i="43" s="1"/>
  <c r="D115" i="43"/>
  <c r="E115" i="43" s="1"/>
  <c r="F115" i="43" s="1"/>
  <c r="G115" i="43" s="1"/>
  <c r="H115" i="43" s="1"/>
  <c r="I115" i="43"/>
  <c r="J115" i="43" s="1"/>
  <c r="K115" i="43" s="1"/>
  <c r="L115" i="43" s="1"/>
  <c r="M115" i="43" s="1"/>
  <c r="G118" i="43"/>
  <c r="H118" i="43" s="1"/>
  <c r="B116" i="43"/>
  <c r="C116" i="43" s="1"/>
  <c r="D117" i="43"/>
  <c r="E117" i="43" s="1"/>
  <c r="F117" i="43" s="1"/>
  <c r="G117" i="43" s="1"/>
  <c r="H117" i="43" s="1"/>
  <c r="B118" i="43"/>
  <c r="C118" i="43" s="1"/>
  <c r="B115" i="43"/>
  <c r="I117" i="43"/>
  <c r="J117" i="43" s="1"/>
  <c r="K117" i="43" s="1"/>
  <c r="L117" i="43" s="1"/>
  <c r="M117" i="43" s="1"/>
  <c r="D116" i="43"/>
  <c r="E116" i="43" s="1"/>
  <c r="F116" i="43" s="1"/>
  <c r="G116" i="43" s="1"/>
  <c r="H116" i="43" s="1"/>
  <c r="I116" i="43"/>
  <c r="J116" i="43" s="1"/>
  <c r="K116" i="43" s="1"/>
  <c r="L116" i="43" s="1"/>
  <c r="M116" i="43" s="1"/>
  <c r="I118" i="43"/>
  <c r="J118" i="43" s="1"/>
  <c r="K118" i="43" s="1"/>
  <c r="L118" i="43" s="1"/>
  <c r="M118" i="43" s="1"/>
  <c r="B117" i="43"/>
  <c r="C117" i="43" s="1"/>
  <c r="E60" i="40"/>
  <c r="E64" i="39"/>
  <c r="G105" i="43"/>
  <c r="G106" i="43"/>
  <c r="G102" i="43"/>
  <c r="G107" i="43"/>
  <c r="G104" i="43"/>
  <c r="C24" i="71"/>
  <c r="D25" i="71"/>
  <c r="U25" i="71" s="1"/>
  <c r="T25" i="71"/>
  <c r="AZ105" i="3"/>
  <c r="G16" i="1"/>
  <c r="P64" i="71"/>
  <c r="E63" i="71"/>
  <c r="C33" i="71"/>
  <c r="D32" i="71"/>
  <c r="D63" i="71"/>
  <c r="O62" i="71"/>
  <c r="O63" i="71"/>
  <c r="AZ182" i="3"/>
  <c r="AZ292" i="3"/>
  <c r="AA26" i="33"/>
  <c r="S26" i="33"/>
  <c r="AZ550" i="3"/>
  <c r="BA5" i="3"/>
  <c r="E27" i="6" s="1"/>
  <c r="E31" i="6" s="1"/>
  <c r="D12" i="52"/>
  <c r="I14" i="74"/>
  <c r="B8" i="74" s="1"/>
  <c r="D127" i="9"/>
  <c r="D13" i="52" s="1"/>
  <c r="E24" i="71"/>
  <c r="E23" i="71" s="1"/>
  <c r="V25" i="71"/>
  <c r="D68" i="71"/>
  <c r="C67" i="71"/>
  <c r="D67" i="71" s="1"/>
  <c r="U38" i="40"/>
  <c r="AB38" i="40"/>
  <c r="AC26" i="33"/>
  <c r="W26" i="33"/>
  <c r="AC39" i="40"/>
  <c r="W39" i="40"/>
  <c r="C37" i="71"/>
  <c r="D36" i="71"/>
  <c r="BL5" i="3"/>
  <c r="C61" i="71"/>
  <c r="D60" i="71"/>
  <c r="AZ66" i="3"/>
  <c r="AZ158" i="3"/>
  <c r="AZ60" i="3"/>
  <c r="AZ189" i="3"/>
  <c r="AZ295" i="3"/>
  <c r="AZ18" i="3"/>
  <c r="AZ5" i="3" s="1"/>
  <c r="AZ283" i="3"/>
  <c r="AZ271" i="3"/>
  <c r="S12" i="34"/>
  <c r="AA12" i="34"/>
  <c r="P6" i="1"/>
  <c r="J7" i="37"/>
  <c r="W7" i="37" s="1"/>
  <c r="B16" i="71"/>
  <c r="B15" i="71" s="1"/>
  <c r="B14" i="71" s="1"/>
  <c r="B13" i="71" s="1"/>
  <c r="S17" i="71"/>
  <c r="AZ61" i="3"/>
  <c r="AZ38" i="3"/>
  <c r="AZ50" i="3"/>
  <c r="AA25" i="37"/>
  <c r="S25" i="37"/>
  <c r="AB12" i="35"/>
  <c r="U12" i="35"/>
  <c r="D48" i="71"/>
  <c r="C49" i="71"/>
  <c r="T41" i="71"/>
  <c r="D41" i="71"/>
  <c r="G5" i="3"/>
  <c r="B3" i="3" s="1"/>
  <c r="E72" i="3" s="1"/>
  <c r="AZ241" i="3"/>
  <c r="AC24" i="36"/>
  <c r="W24" i="36"/>
  <c r="W12" i="35"/>
  <c r="AC12" i="35"/>
  <c r="AA23" i="36"/>
  <c r="S23" i="36"/>
  <c r="E30" i="6"/>
  <c r="K14" i="1"/>
  <c r="M14" i="1" s="1"/>
  <c r="E20" i="71"/>
  <c r="E19" i="71" s="1"/>
  <c r="E18" i="71" s="1"/>
  <c r="E17" i="71" s="1"/>
  <c r="V21" i="71"/>
  <c r="C7" i="43"/>
  <c r="M13" i="1"/>
  <c r="Q16" i="1"/>
  <c r="C28" i="71"/>
  <c r="D27" i="71"/>
  <c r="AZ146" i="3"/>
  <c r="AA9" i="33"/>
  <c r="S9" i="33"/>
  <c r="AB23" i="36"/>
  <c r="U23" i="36"/>
  <c r="N62" i="71"/>
  <c r="N63" i="71"/>
  <c r="T57" i="71"/>
  <c r="D57" i="71"/>
  <c r="AZ74" i="3"/>
  <c r="AZ40" i="3"/>
  <c r="C53" i="71"/>
  <c r="D52" i="71"/>
  <c r="AZ279" i="3"/>
  <c r="AC38" i="40"/>
  <c r="W38" i="40"/>
  <c r="C16" i="71"/>
  <c r="D17" i="71"/>
  <c r="U17" i="71" s="1"/>
  <c r="T17"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E65" i="39"/>
  <c r="E21" i="3"/>
  <c r="E183" i="3"/>
  <c r="C115" i="43"/>
  <c r="D113" i="43"/>
  <c r="E392" i="3"/>
  <c r="E286" i="3"/>
  <c r="E240" i="3"/>
  <c r="E136" i="3"/>
  <c r="K21" i="6"/>
  <c r="M21" i="6" s="1"/>
  <c r="I21" i="6" s="1"/>
  <c r="S21" i="6" s="1"/>
  <c r="K22" i="6"/>
  <c r="M22" i="6" s="1"/>
  <c r="I22" i="6" s="1"/>
  <c r="S22" i="6" s="1"/>
  <c r="E26" i="3"/>
  <c r="K24" i="6"/>
  <c r="M24" i="6" s="1"/>
  <c r="I24" i="6" s="1"/>
  <c r="S24" i="6" s="1"/>
  <c r="E578" i="3"/>
  <c r="AY6" i="3"/>
  <c r="E3" i="6"/>
  <c r="F27" i="69"/>
  <c r="F28" i="12"/>
  <c r="C29" i="12" s="1"/>
  <c r="D28" i="12" s="1"/>
  <c r="F27" i="11"/>
  <c r="F27" i="68"/>
  <c r="K23" i="6"/>
  <c r="M23" i="6" s="1"/>
  <c r="I23" i="6" s="1"/>
  <c r="S23" i="6" s="1"/>
  <c r="E211" i="3"/>
  <c r="E190" i="3"/>
  <c r="E378" i="3"/>
  <c r="E214" i="3"/>
  <c r="E302" i="3"/>
  <c r="E301" i="3"/>
  <c r="E208" i="3"/>
  <c r="K16" i="1"/>
  <c r="K20" i="6"/>
  <c r="E148" i="3"/>
  <c r="T49" i="71"/>
  <c r="D49" i="71"/>
  <c r="E166" i="3"/>
  <c r="E43" i="3"/>
  <c r="T37" i="71"/>
  <c r="D37" i="71"/>
  <c r="E267" i="3"/>
  <c r="E283" i="3"/>
  <c r="E380" i="3"/>
  <c r="E293" i="3"/>
  <c r="O13" i="1"/>
  <c r="P13" i="1" s="1"/>
  <c r="M16" i="1"/>
  <c r="K26" i="6"/>
  <c r="M26" i="6" s="1"/>
  <c r="I26" i="6" s="1"/>
  <c r="S26" i="6" s="1"/>
  <c r="E230" i="3"/>
  <c r="E382" i="3"/>
  <c r="E250" i="3"/>
  <c r="E233" i="3"/>
  <c r="T33" i="71"/>
  <c r="D33" i="71"/>
  <c r="C15" i="71"/>
  <c r="D16" i="71"/>
  <c r="E126" i="3"/>
  <c r="P62" i="71"/>
  <c r="P63" i="71"/>
  <c r="C34" i="69"/>
  <c r="AC7" i="37"/>
  <c r="V42" i="37" s="1"/>
  <c r="I42" i="37" s="1"/>
  <c r="I46" i="37" s="1"/>
  <c r="J46" i="37" s="1"/>
  <c r="E69" i="3"/>
  <c r="E278" i="3"/>
  <c r="E563" i="3"/>
  <c r="E172" i="3"/>
  <c r="E445" i="3"/>
  <c r="E535" i="3"/>
  <c r="E239" i="3"/>
  <c r="E516" i="3"/>
  <c r="E569" i="3"/>
  <c r="E396" i="3"/>
  <c r="E229" i="3"/>
  <c r="E151" i="3"/>
  <c r="E397" i="3"/>
  <c r="E568" i="3"/>
  <c r="I6" i="3"/>
  <c r="E536" i="3"/>
  <c r="E549" i="3"/>
  <c r="E453" i="3"/>
  <c r="E368" i="3"/>
  <c r="E244" i="3"/>
  <c r="E156" i="3"/>
  <c r="E122" i="3"/>
  <c r="E85" i="3"/>
  <c r="E238" i="3"/>
  <c r="E105" i="3"/>
  <c r="E379" i="3"/>
  <c r="E585" i="3"/>
  <c r="U6" i="3"/>
  <c r="E515" i="3"/>
  <c r="E411" i="3"/>
  <c r="E478" i="3"/>
  <c r="E548" i="3"/>
  <c r="E414" i="3"/>
  <c r="E432" i="3"/>
  <c r="E477" i="3"/>
  <c r="E367" i="3"/>
  <c r="E505" i="3"/>
  <c r="E547" i="3"/>
  <c r="AS6" i="3"/>
  <c r="E403" i="3"/>
  <c r="E476" i="3"/>
  <c r="E546" i="3"/>
  <c r="E447" i="3"/>
  <c r="E71" i="3"/>
  <c r="E27" i="3"/>
  <c r="E92" i="3"/>
  <c r="E162" i="3"/>
  <c r="E186" i="3"/>
  <c r="E272" i="3"/>
  <c r="E210" i="3"/>
  <c r="E291" i="3"/>
  <c r="E331" i="3"/>
  <c r="E317" i="3"/>
  <c r="AM6" i="3"/>
  <c r="E44" i="3"/>
  <c r="E29" i="3"/>
  <c r="E441" i="3"/>
  <c r="E425" i="3"/>
  <c r="E64" i="3"/>
  <c r="E103" i="3"/>
  <c r="E142" i="3"/>
  <c r="E300" i="3"/>
  <c r="E310" i="3"/>
  <c r="E23" i="3"/>
  <c r="E67" i="3"/>
  <c r="E144" i="3"/>
  <c r="E381" i="3"/>
  <c r="E63" i="3"/>
  <c r="E118" i="3"/>
  <c r="E513" i="3"/>
  <c r="E125" i="3"/>
  <c r="E366" i="3"/>
  <c r="E553" i="3"/>
  <c r="E282" i="3"/>
  <c r="N6" i="3"/>
  <c r="E347" i="3"/>
  <c r="AA6" i="3"/>
  <c r="E399" i="3"/>
  <c r="E280" i="3"/>
  <c r="E124" i="3"/>
  <c r="E390" i="3"/>
  <c r="S6" i="3"/>
  <c r="E523" i="3"/>
  <c r="E506" i="3"/>
  <c r="E418" i="3"/>
  <c r="E338" i="3"/>
  <c r="E321" i="3"/>
  <c r="E298" i="3"/>
  <c r="E169" i="3"/>
  <c r="E61" i="3"/>
  <c r="E290" i="3"/>
  <c r="E117" i="3"/>
  <c r="E252" i="3"/>
  <c r="E204" i="3"/>
  <c r="E164" i="3"/>
  <c r="E313" i="3"/>
  <c r="E519" i="3"/>
  <c r="E532" i="3"/>
  <c r="E573" i="3"/>
  <c r="E529" i="3"/>
  <c r="E458" i="3"/>
  <c r="E474" i="3"/>
  <c r="E527" i="3"/>
  <c r="E438" i="3"/>
  <c r="E457" i="3"/>
  <c r="E288" i="3"/>
  <c r="E562" i="3"/>
  <c r="W6" i="3"/>
  <c r="E571" i="3"/>
  <c r="E537" i="3"/>
  <c r="E450" i="3"/>
  <c r="E471" i="3"/>
  <c r="E433" i="3"/>
  <c r="E475" i="3"/>
  <c r="E111" i="3"/>
  <c r="E168" i="3"/>
  <c r="E150" i="3"/>
  <c r="E279" i="3"/>
  <c r="E257" i="3"/>
  <c r="E351" i="3"/>
  <c r="E357" i="3"/>
  <c r="E318" i="3"/>
  <c r="E14" i="3"/>
  <c r="E31" i="3"/>
  <c r="E93" i="3"/>
  <c r="E75" i="3"/>
  <c r="E473" i="3"/>
  <c r="E455" i="3"/>
  <c r="E38" i="3"/>
  <c r="E170" i="3"/>
  <c r="E194" i="3"/>
  <c r="E219" i="3"/>
  <c r="E339" i="3"/>
  <c r="E52" i="3"/>
  <c r="E112" i="3"/>
  <c r="E147" i="3"/>
  <c r="E340" i="3"/>
  <c r="E50" i="3"/>
  <c r="E62" i="3"/>
  <c r="E218" i="3"/>
  <c r="E365" i="3"/>
  <c r="E101" i="3"/>
  <c r="E114" i="3"/>
  <c r="E415" i="3"/>
  <c r="E395" i="3"/>
  <c r="E260" i="3"/>
  <c r="E550" i="3"/>
  <c r="E53" i="3"/>
  <c r="E528" i="3"/>
  <c r="E213" i="3"/>
  <c r="AJ6" i="3"/>
  <c r="E545" i="3"/>
  <c r="E431" i="3"/>
  <c r="E285" i="3"/>
  <c r="E128" i="3"/>
  <c r="E385" i="3"/>
  <c r="E570" i="3"/>
  <c r="AK6" i="3"/>
  <c r="E423" i="3"/>
  <c r="E335" i="3"/>
  <c r="E262" i="3"/>
  <c r="E191" i="3"/>
  <c r="E91" i="3"/>
  <c r="E89" i="3"/>
  <c r="E45" i="3"/>
  <c r="E167" i="3"/>
  <c r="E107" i="3"/>
  <c r="E575" i="3"/>
  <c r="E534" i="3"/>
  <c r="E560" i="3"/>
  <c r="E442" i="3"/>
  <c r="E469" i="3"/>
  <c r="E406" i="3"/>
  <c r="E449" i="3"/>
  <c r="E360" i="3"/>
  <c r="E587" i="3"/>
  <c r="E554" i="3"/>
  <c r="E494" i="3"/>
  <c r="E468" i="3"/>
  <c r="E417" i="3"/>
  <c r="E106" i="3"/>
  <c r="E95" i="3"/>
  <c r="E198" i="3"/>
  <c r="E171" i="3"/>
  <c r="E258" i="3"/>
  <c r="E243" i="3"/>
  <c r="E315" i="3"/>
  <c r="E349" i="3"/>
  <c r="AL6" i="3"/>
  <c r="E74" i="3"/>
  <c r="E59" i="3"/>
  <c r="E482" i="3"/>
  <c r="E79" i="3"/>
  <c r="E138" i="3"/>
  <c r="E220" i="3"/>
  <c r="E299" i="3"/>
  <c r="E354" i="3"/>
  <c r="E86" i="3"/>
  <c r="E123" i="3"/>
  <c r="E284" i="3"/>
  <c r="E102" i="3"/>
  <c r="E176" i="3"/>
  <c r="E323" i="3"/>
  <c r="E83" i="3"/>
  <c r="E237" i="3"/>
  <c r="E526" i="3"/>
  <c r="E305" i="3"/>
  <c r="E328" i="3"/>
  <c r="E555" i="3"/>
  <c r="E461" i="3"/>
  <c r="E246" i="3"/>
  <c r="E533" i="3"/>
  <c r="AN6" i="3"/>
  <c r="V6" i="3"/>
  <c r="E439" i="3"/>
  <c r="E303" i="3"/>
  <c r="E185"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175" i="3"/>
  <c r="E501" i="3"/>
  <c r="E361" i="3"/>
  <c r="E329" i="3"/>
  <c r="E579" i="3"/>
  <c r="E359" i="3"/>
  <c r="E205" i="3"/>
  <c r="E514" i="3"/>
  <c r="E16" i="3"/>
  <c r="E387" i="3"/>
  <c r="E296" i="3"/>
  <c r="E245" i="3"/>
  <c r="E134" i="3"/>
  <c r="E269" i="3"/>
  <c r="E212" i="3"/>
  <c r="E145"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234" i="3"/>
  <c r="E307" i="3"/>
  <c r="E522" i="3"/>
  <c r="E36" i="3"/>
  <c r="E127" i="3"/>
  <c r="E370" i="3"/>
  <c r="E20" i="3"/>
  <c r="E179" i="3"/>
  <c r="E326" i="3"/>
  <c r="E261" i="3"/>
  <c r="E565" i="3"/>
  <c r="E322" i="3"/>
  <c r="E388" i="3"/>
  <c r="E567" i="3"/>
  <c r="E336" i="3"/>
  <c r="E143" i="3"/>
  <c r="E270" i="3"/>
  <c r="E495" i="3"/>
  <c r="E551" i="3"/>
  <c r="E538" i="3"/>
  <c r="E350" i="3"/>
  <c r="E294" i="3"/>
  <c r="E216" i="3"/>
  <c r="E99" i="3"/>
  <c r="E221" i="3"/>
  <c r="E140" i="3"/>
  <c r="E277" i="3"/>
  <c r="E199" i="3"/>
  <c r="E327" i="3"/>
  <c r="AD6" i="3"/>
  <c r="E564" i="3"/>
  <c r="AO6" i="3"/>
  <c r="E464" i="3"/>
  <c r="E507" i="3"/>
  <c r="E400" i="3"/>
  <c r="E459" i="3"/>
  <c r="E376" i="3"/>
  <c r="E557" i="3"/>
  <c r="E582" i="3"/>
  <c r="E419" i="3"/>
  <c r="E489" i="3"/>
  <c r="E436" i="3"/>
  <c r="E40" i="3"/>
  <c r="E70" i="3"/>
  <c r="E131" i="3"/>
  <c r="E119" i="3"/>
  <c r="E297" i="3"/>
  <c r="E276" i="3"/>
  <c r="E377" i="3"/>
  <c r="E375" i="3"/>
  <c r="L6" i="3"/>
  <c r="E109" i="3"/>
  <c r="E540" i="3"/>
  <c r="E412" i="3"/>
  <c r="E46" i="3"/>
  <c r="E195" i="3"/>
  <c r="E275" i="3"/>
  <c r="E371" i="3"/>
  <c r="E584" i="3"/>
  <c r="E34" i="3"/>
  <c r="E184" i="3"/>
  <c r="E341" i="3"/>
  <c r="E80" i="3"/>
  <c r="E264" i="3"/>
  <c r="E373" i="3"/>
  <c r="E217" i="3"/>
  <c r="E343" i="3"/>
  <c r="E319" i="3"/>
  <c r="E17" i="3"/>
  <c r="E539" i="3"/>
  <c r="X6" i="3"/>
  <c r="E337" i="3"/>
  <c r="E165" i="3"/>
  <c r="E353" i="3"/>
  <c r="E559" i="3"/>
  <c r="E561" i="3"/>
  <c r="E402" i="3"/>
  <c r="E320" i="3"/>
  <c r="E231" i="3"/>
  <c r="E159" i="3"/>
  <c r="E254" i="3"/>
  <c r="E161" i="3"/>
  <c r="E120" i="3"/>
  <c r="E253" i="3"/>
  <c r="E173" i="3"/>
  <c r="E312" i="3"/>
  <c r="E493" i="3"/>
  <c r="AG6" i="3"/>
  <c r="E421" i="3"/>
  <c r="E486" i="3"/>
  <c r="P6" i="3"/>
  <c r="E416" i="3"/>
  <c r="E490" i="3"/>
  <c r="E558" i="3"/>
  <c r="E500" i="3"/>
  <c r="E498" i="3"/>
  <c r="E444" i="3"/>
  <c r="E520" i="3"/>
  <c r="E463" i="3"/>
  <c r="E88" i="3"/>
  <c r="E57" i="3"/>
  <c r="E178" i="3"/>
  <c r="E226" i="3"/>
  <c r="E316" i="3"/>
  <c r="E372" i="3"/>
  <c r="E30" i="3"/>
  <c r="E110" i="3"/>
  <c r="E428" i="3"/>
  <c r="E467" i="3"/>
  <c r="E65" i="3"/>
  <c r="E174" i="3"/>
  <c r="E249" i="3"/>
  <c r="E386" i="3"/>
  <c r="E35" i="3"/>
  <c r="E33" i="3"/>
  <c r="AF6" i="3"/>
  <c r="E81" i="3"/>
  <c r="E222" i="3"/>
  <c r="E22" i="3"/>
  <c r="E304" i="3"/>
  <c r="E268" i="3"/>
  <c r="E508" i="3"/>
  <c r="E530" i="3"/>
  <c r="E153" i="3"/>
  <c r="E503" i="3"/>
  <c r="E583" i="3"/>
  <c r="E410" i="3"/>
  <c r="E227" i="3"/>
  <c r="E358" i="3"/>
  <c r="AR6" i="3"/>
  <c r="E586" i="3"/>
  <c r="E407" i="3"/>
  <c r="E130" i="3"/>
  <c r="E135" i="3"/>
  <c r="E157" i="3"/>
  <c r="E77" i="3"/>
  <c r="E197" i="3"/>
  <c r="E133" i="3"/>
  <c r="E393" i="3"/>
  <c r="Z6" i="3"/>
  <c r="E552" i="3"/>
  <c r="E427" i="3"/>
  <c r="E485" i="3"/>
  <c r="E398" i="3"/>
  <c r="E440" i="3"/>
  <c r="E345" i="3"/>
  <c r="E566" i="3"/>
  <c r="J6" i="3"/>
  <c r="E531" i="3"/>
  <c r="E460" i="3"/>
  <c r="E401" i="3"/>
  <c r="E28" i="3"/>
  <c r="E90" i="3"/>
  <c r="E108" i="3"/>
  <c r="E182" i="3"/>
  <c r="E155" i="3"/>
  <c r="E242" i="3"/>
  <c r="E273" i="3"/>
  <c r="E348" i="3"/>
  <c r="E333" i="3"/>
  <c r="E572" i="3"/>
  <c r="E58" i="3"/>
  <c r="E484" i="3"/>
  <c r="E47" i="3"/>
  <c r="E129" i="3"/>
  <c r="E200" i="3"/>
  <c r="E266" i="3"/>
  <c r="E342" i="3"/>
  <c r="E84" i="3"/>
  <c r="E87" i="3"/>
  <c r="E251" i="3"/>
  <c r="E68" i="3"/>
  <c r="E154" i="3"/>
  <c r="E308" i="3"/>
  <c r="E509" i="3"/>
  <c r="AB6" i="3"/>
  <c r="E236" i="3"/>
  <c r="E224" i="3"/>
  <c r="T6" i="3"/>
  <c r="E424" i="3"/>
  <c r="E517" i="3"/>
  <c r="E104" i="3"/>
  <c r="E256" i="3"/>
  <c r="E389" i="3"/>
  <c r="E18" i="3"/>
  <c r="E325" i="3"/>
  <c r="Y6" i="3"/>
  <c r="E452" i="3"/>
  <c r="E113" i="3"/>
  <c r="E426" i="3"/>
  <c r="O6" i="3"/>
  <c r="E434" i="3"/>
  <c r="E188" i="3"/>
  <c r="E193" i="3"/>
  <c r="E405" i="3"/>
  <c r="E465" i="3"/>
  <c r="E435" i="3"/>
  <c r="E41" i="3"/>
  <c r="E544" i="3"/>
  <c r="E78" i="3"/>
  <c r="AQ6" i="3"/>
  <c r="E19" i="3"/>
  <c r="E574" i="3"/>
  <c r="E306" i="3"/>
  <c r="E141" i="3"/>
  <c r="E255" i="3"/>
  <c r="E241" i="3"/>
  <c r="E100" i="3"/>
  <c r="E510" i="3"/>
  <c r="E314" i="3"/>
  <c r="E180" i="3"/>
  <c r="E369" i="3"/>
  <c r="E472" i="3"/>
  <c r="I3" i="6"/>
  <c r="E470" i="3"/>
  <c r="E146" i="3"/>
  <c r="E292" i="3"/>
  <c r="E94" i="3"/>
  <c r="E137" i="3"/>
  <c r="E48" i="3"/>
  <c r="E287" i="3"/>
  <c r="E352" i="3"/>
  <c r="E511" i="3"/>
  <c r="E263" i="3"/>
  <c r="E330" i="3"/>
  <c r="E466" i="3"/>
  <c r="E556" i="3"/>
  <c r="E496" i="3"/>
  <c r="E152" i="3"/>
  <c r="E332" i="3"/>
  <c r="E32" i="3"/>
  <c r="E163" i="3"/>
  <c r="E49" i="3"/>
  <c r="E265" i="3"/>
  <c r="E247" i="3"/>
  <c r="E518" i="3"/>
  <c r="E215" i="3"/>
  <c r="E149" i="3"/>
  <c r="K6" i="3"/>
  <c r="E541" i="3"/>
  <c r="E497" i="3"/>
  <c r="E454" i="3"/>
  <c r="E132" i="3"/>
  <c r="E391" i="3"/>
  <c r="E409" i="3"/>
  <c r="E209" i="3"/>
  <c r="E232" i="3"/>
  <c r="E524" i="3"/>
  <c r="E499" i="3"/>
  <c r="E479" i="3"/>
  <c r="E394" i="3"/>
  <c r="E235" i="3"/>
  <c r="E82" i="3"/>
  <c r="E201" i="3"/>
  <c r="AI6" i="3"/>
  <c r="E189" i="3"/>
  <c r="E207" i="3"/>
  <c r="E512" i="3"/>
  <c r="AE6" i="3"/>
  <c r="E139" i="3"/>
  <c r="E462" i="3"/>
  <c r="E289" i="3"/>
  <c r="E97" i="3"/>
  <c r="M6" i="3"/>
  <c r="E271" i="3"/>
  <c r="R6" i="3"/>
  <c r="E408" i="3"/>
  <c r="E577" i="3"/>
  <c r="E56" i="3"/>
  <c r="E225" i="3"/>
  <c r="E362" i="3"/>
  <c r="E446" i="3"/>
  <c r="E383" i="3"/>
  <c r="E364" i="3"/>
  <c r="E311" i="3"/>
  <c r="E181" i="3"/>
  <c r="E437" i="3"/>
  <c r="E73" i="3"/>
  <c r="E42" i="3"/>
  <c r="E66" i="3"/>
  <c r="T53" i="71"/>
  <c r="D53" i="71"/>
  <c r="E16" i="71"/>
  <c r="E15" i="71" s="1"/>
  <c r="E14" i="71" s="1"/>
  <c r="E13" i="71" s="1"/>
  <c r="V17" i="71"/>
  <c r="E196" i="3"/>
  <c r="E116" i="3"/>
  <c r="H10" i="39"/>
  <c r="F10" i="39"/>
  <c r="F10" i="40"/>
  <c r="H10" i="40"/>
  <c r="J10" i="40"/>
  <c r="J10" i="39"/>
  <c r="O14" i="1"/>
  <c r="P14" i="1" s="1"/>
  <c r="U7" i="37"/>
  <c r="E384" i="3"/>
  <c r="D28" i="71"/>
  <c r="C29" i="71"/>
  <c r="K19" i="6"/>
  <c r="S6" i="1" s="1"/>
  <c r="K25" i="6"/>
  <c r="M25" i="6" s="1"/>
  <c r="I25" i="6" s="1"/>
  <c r="S25" i="6" s="1"/>
  <c r="E54" i="3"/>
  <c r="B12" i="71"/>
  <c r="B11" i="71" s="1"/>
  <c r="B10" i="71" s="1"/>
  <c r="B9" i="71" s="1"/>
  <c r="S13" i="71"/>
  <c r="T61" i="71"/>
  <c r="D61" i="71"/>
  <c r="C23" i="71"/>
  <c r="D23" i="71" s="1"/>
  <c r="D24"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M20" i="6" l="1"/>
  <c r="I20" i="6" s="1"/>
  <c r="S20" i="6" s="1"/>
  <c r="S7" i="1"/>
  <c r="AQ6" i="1"/>
  <c r="T6" i="1"/>
  <c r="AR6" i="1"/>
  <c r="H6" i="3"/>
  <c r="E6" i="3" s="1"/>
  <c r="AC6" i="3"/>
  <c r="P16" i="1"/>
  <c r="C11" i="12" s="1"/>
  <c r="C15" i="12" s="1"/>
  <c r="W10" i="39"/>
  <c r="AC10" i="39"/>
  <c r="T29" i="71"/>
  <c r="D29" i="71"/>
  <c r="W10" i="40"/>
  <c r="AC10" i="40"/>
  <c r="E12" i="71"/>
  <c r="E11" i="71" s="1"/>
  <c r="E10" i="71" s="1"/>
  <c r="E9" i="71" s="1"/>
  <c r="V13" i="71"/>
  <c r="C35" i="69"/>
  <c r="C38" i="69"/>
  <c r="K27" i="6"/>
  <c r="M19" i="6"/>
  <c r="AB10" i="40"/>
  <c r="U10" i="40"/>
  <c r="O16" i="1"/>
  <c r="C29" i="68"/>
  <c r="D27" i="68" s="1"/>
  <c r="F45" i="68"/>
  <c r="C47" i="68"/>
  <c r="D45" i="68" s="1"/>
  <c r="C47" i="11"/>
  <c r="D45" i="11" s="1"/>
  <c r="C29" i="11"/>
  <c r="D27" i="11" s="1"/>
  <c r="L16" i="1"/>
  <c r="N16" i="1"/>
  <c r="C34" i="68"/>
  <c r="C34" i="11"/>
  <c r="S10" i="39"/>
  <c r="AA10" i="39"/>
  <c r="S10" i="40"/>
  <c r="AA10" i="40"/>
  <c r="B8" i="71"/>
  <c r="B7" i="71" s="1"/>
  <c r="B6" i="71" s="1"/>
  <c r="B5" i="71" s="1"/>
  <c r="S9" i="71"/>
  <c r="U10" i="39"/>
  <c r="AB10" i="39"/>
  <c r="F45" i="69"/>
  <c r="C47" i="69"/>
  <c r="D45" i="69" s="1"/>
  <c r="C29" i="69"/>
  <c r="D27" i="69" s="1"/>
  <c r="L18" i="9"/>
  <c r="D3" i="21"/>
  <c r="C17" i="4"/>
  <c r="B4" i="52" s="1"/>
  <c r="B43" i="72" s="1"/>
  <c r="D37" i="11"/>
  <c r="C37" i="11" s="1"/>
  <c r="D3" i="34"/>
  <c r="D3" i="37"/>
  <c r="D19" i="11"/>
  <c r="C19" i="11" s="1"/>
  <c r="D3" i="33"/>
  <c r="M18" i="9"/>
  <c r="B118" i="9" s="1"/>
  <c r="B14" i="74" s="1"/>
  <c r="B1" i="74" s="1"/>
  <c r="E6" i="6"/>
  <c r="D14" i="12"/>
  <c r="C14" i="71"/>
  <c r="D15" i="71"/>
  <c r="AY67" i="3"/>
  <c r="AY196" i="3"/>
  <c r="AY139" i="3"/>
  <c r="AY74" i="3"/>
  <c r="AY87" i="3"/>
  <c r="AY18" i="3"/>
  <c r="AY155"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23" i="3"/>
  <c r="AY124"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07" i="3"/>
  <c r="AY132"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1" i="3"/>
  <c r="AY191" i="3"/>
  <c r="AY115"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60" i="3"/>
  <c r="AY9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03" i="3"/>
  <c r="AY34" i="3"/>
  <c r="AY171" i="3"/>
  <c r="AY59" i="3"/>
  <c r="AY123" i="3"/>
  <c r="AY204" i="3"/>
  <c r="AY252" i="3"/>
  <c r="AY363" i="3"/>
  <c r="AY489" i="3"/>
  <c r="AY412" i="3"/>
  <c r="AY43" i="3"/>
  <c r="AY229" i="3"/>
  <c r="AY379" i="3"/>
  <c r="AY326" i="3"/>
  <c r="AY436" i="3"/>
  <c r="AY557" i="3"/>
  <c r="AY540" i="3"/>
  <c r="AY105" i="3"/>
  <c r="AY69" i="3"/>
  <c r="AY131" i="3"/>
  <c r="AY318" i="3"/>
  <c r="AY395" i="3"/>
  <c r="AY569" i="3"/>
  <c r="AY33" i="3"/>
  <c r="AY141" i="3"/>
  <c r="AY246" i="3"/>
  <c r="BH6" i="3"/>
  <c r="AY181" i="3"/>
  <c r="AY377" i="3"/>
  <c r="AY472" i="3"/>
  <c r="AY503" i="3"/>
  <c r="AY16" i="3"/>
  <c r="AY48" i="3"/>
  <c r="AY267" i="3"/>
  <c r="AY328" i="3"/>
  <c r="AY439" i="3"/>
  <c r="AY515" i="3"/>
  <c r="AY78" i="3"/>
  <c r="AY249" i="3"/>
  <c r="AY485" i="3"/>
  <c r="AY587" i="3"/>
  <c r="AY128" i="3"/>
  <c r="AY351" i="3"/>
  <c r="BC6" i="3"/>
  <c r="AY58" i="3"/>
  <c r="AY299" i="3"/>
  <c r="AY333" i="3"/>
  <c r="AY494" i="3"/>
  <c r="AY471" i="3"/>
  <c r="AY192" i="3"/>
  <c r="AY306" i="3"/>
  <c r="AY169" i="3"/>
  <c r="AY54" i="3"/>
  <c r="AY82" i="3"/>
  <c r="AY111" i="3"/>
  <c r="AY460" i="3"/>
  <c r="AY327" i="3"/>
  <c r="BE6" i="3"/>
  <c r="AY206" i="3"/>
  <c r="AY125" i="3"/>
  <c r="AY238" i="3"/>
  <c r="BJ6" i="3"/>
  <c r="AY145" i="3"/>
  <c r="AY370" i="3"/>
  <c r="AY457" i="3"/>
  <c r="AY585" i="3"/>
  <c r="AY543" i="3"/>
  <c r="AY37" i="3"/>
  <c r="AY234" i="3"/>
  <c r="AY320" i="3"/>
  <c r="AY423" i="3"/>
  <c r="AY542" i="3"/>
  <c r="AY62" i="3"/>
  <c r="AY264" i="3"/>
  <c r="AY456" i="3"/>
  <c r="AY107" i="3"/>
  <c r="AY119" i="3"/>
  <c r="AY338" i="3"/>
  <c r="AY566" i="3"/>
  <c r="AY50" i="3"/>
  <c r="AY342" i="3"/>
  <c r="AY198" i="3"/>
  <c r="AY219" i="3"/>
  <c r="AY114" i="3"/>
  <c r="AY561" i="3"/>
  <c r="AY223" i="3"/>
  <c r="BR6" i="3"/>
  <c r="AY424" i="3"/>
  <c r="AY293" i="3"/>
  <c r="AY256" i="3"/>
  <c r="AY176" i="3"/>
  <c r="AY253" i="3"/>
  <c r="AY529" i="3"/>
  <c r="AY463" i="3"/>
  <c r="AY92" i="3"/>
  <c r="AY185" i="3"/>
  <c r="AY291" i="3"/>
  <c r="AY392" i="3"/>
  <c r="AY73" i="3"/>
  <c r="AY121" i="3"/>
  <c r="AY317" i="3"/>
  <c r="AY430" i="3"/>
  <c r="AY572" i="3"/>
  <c r="AY514" i="3"/>
  <c r="AY158" i="3"/>
  <c r="AY396" i="3"/>
  <c r="AY484" i="3"/>
  <c r="AY506" i="3"/>
  <c r="AY545" i="3"/>
  <c r="AY187" i="3"/>
  <c r="AY378" i="3"/>
  <c r="AY408" i="3"/>
  <c r="AY70" i="3"/>
  <c r="AY241" i="3"/>
  <c r="AY477" i="3"/>
  <c r="AY498" i="3"/>
  <c r="AY364" i="3"/>
  <c r="AY558" i="3"/>
  <c r="AY144" i="3"/>
  <c r="AY268" i="3"/>
  <c r="AY106" i="3"/>
  <c r="AY452" i="3"/>
  <c r="AY77" i="3"/>
  <c r="AY170" i="3"/>
  <c r="AY278" i="3"/>
  <c r="AY384" i="3"/>
  <c r="AY41" i="3"/>
  <c r="AY259" i="3"/>
  <c r="AY309" i="3"/>
  <c r="AY571" i="3"/>
  <c r="AY496" i="3"/>
  <c r="AY499" i="3"/>
  <c r="AY172" i="3"/>
  <c r="AY289" i="3"/>
  <c r="AY382" i="3"/>
  <c r="AY300" i="3"/>
  <c r="AY401" i="3"/>
  <c r="AY76" i="3"/>
  <c r="AY162" i="3"/>
  <c r="AY263" i="3"/>
  <c r="AY374" i="3"/>
  <c r="AY72" i="3"/>
  <c r="AY274" i="3"/>
  <c r="AY316" i="3"/>
  <c r="AY406" i="3"/>
  <c r="AY546" i="3"/>
  <c r="AY101" i="3"/>
  <c r="AY153" i="3"/>
  <c r="AY345" i="3"/>
  <c r="AY458" i="3"/>
  <c r="AY538" i="3"/>
  <c r="BA6" i="3"/>
  <c r="AY135" i="3"/>
  <c r="AY359" i="3"/>
  <c r="AY517" i="3"/>
  <c r="AY184" i="3"/>
  <c r="AY240" i="3"/>
  <c r="AY416" i="3"/>
  <c r="AY90" i="3"/>
  <c r="AY245" i="3"/>
  <c r="AY513" i="3"/>
  <c r="AY60" i="3"/>
  <c r="AY255" i="3"/>
  <c r="AY357" i="3"/>
  <c r="AY202" i="3"/>
  <c r="AY491" i="3"/>
  <c r="AY411" i="3"/>
  <c r="AY96" i="3"/>
  <c r="AY337" i="3"/>
  <c r="AY524" i="3"/>
  <c r="AY493" i="3"/>
  <c r="AY346" i="3"/>
  <c r="AY179" i="3"/>
  <c r="AY391" i="3"/>
  <c r="AY371" i="3"/>
  <c r="AY165" i="3"/>
  <c r="AY258" i="3"/>
  <c r="AY520" i="3"/>
  <c r="AY287" i="3"/>
  <c r="AY442" i="3"/>
  <c r="AY127" i="3"/>
  <c r="AY547" i="3"/>
  <c r="AY400" i="3"/>
  <c r="AY152" i="3"/>
  <c r="AY303" i="3"/>
  <c r="AY217" i="3"/>
  <c r="AY544" i="3"/>
  <c r="AY52" i="3"/>
  <c r="AY149" i="3"/>
  <c r="AY262" i="3"/>
  <c r="AY368" i="3"/>
  <c r="AY197" i="3"/>
  <c r="AY388" i="3"/>
  <c r="AY483" i="3"/>
  <c r="AY581" i="3"/>
  <c r="BG6" i="3"/>
  <c r="AY81" i="3"/>
  <c r="AY282" i="3"/>
  <c r="AY344" i="3"/>
  <c r="AY434" i="3"/>
  <c r="AY502" i="3"/>
  <c r="AY63" i="3"/>
  <c r="AY301" i="3"/>
  <c r="AY314" i="3"/>
  <c r="BL6" i="3"/>
  <c r="AY164" i="3"/>
  <c r="AY367" i="3"/>
  <c r="BD6" i="3"/>
  <c r="AY428" i="3"/>
  <c r="AY553" i="3"/>
  <c r="BB6" i="3"/>
  <c r="AY449" i="3"/>
  <c r="AY21" i="3"/>
  <c r="AY415" i="3"/>
  <c r="AY248" i="3"/>
  <c r="AY55" i="3"/>
  <c r="AY586" i="3"/>
  <c r="AY414" i="3"/>
  <c r="AY476" i="3"/>
  <c r="AY578" i="3"/>
  <c r="AY376" i="3"/>
  <c r="AY44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7" i="67"/>
  <c r="C14" i="67"/>
  <c r="C17" i="15"/>
  <c r="E6" i="76"/>
  <c r="B6" i="76"/>
  <c r="C15" i="67" l="1"/>
  <c r="C18" i="67"/>
  <c r="S16" i="1"/>
  <c r="AR7" i="1"/>
  <c r="AQ7" i="1"/>
  <c r="T7" i="1"/>
  <c r="C12" i="12"/>
  <c r="B2" i="34"/>
  <c r="B3" i="34" s="1"/>
  <c r="M27" i="6"/>
  <c r="I19" i="6"/>
  <c r="C20" i="11"/>
  <c r="C25" i="11" s="1"/>
  <c r="C22" i="11" s="1"/>
  <c r="C13" i="71"/>
  <c r="D14" i="71"/>
  <c r="C38" i="11"/>
  <c r="C35" i="11"/>
  <c r="D15" i="6"/>
  <c r="D20" i="6"/>
  <c r="D10" i="6"/>
  <c r="H22" i="6"/>
  <c r="C18" i="4"/>
  <c r="D13" i="6"/>
  <c r="H23" i="6"/>
  <c r="D22" i="6"/>
  <c r="L19" i="9"/>
  <c r="H21" i="6"/>
  <c r="M19" i="9"/>
  <c r="C118" i="9" s="1"/>
  <c r="C14" i="74" s="1"/>
  <c r="B2" i="74" s="1"/>
  <c r="D8" i="6"/>
  <c r="D5" i="6"/>
  <c r="D28" i="6"/>
  <c r="H26" i="6"/>
  <c r="H20" i="6"/>
  <c r="D19" i="6"/>
  <c r="D23" i="6"/>
  <c r="D12" i="6"/>
  <c r="E61" i="40"/>
  <c r="D21" i="6"/>
  <c r="H25" i="6"/>
  <c r="H24" i="6"/>
  <c r="D6" i="6"/>
  <c r="D24" i="6"/>
  <c r="D9" i="6"/>
  <c r="D25" i="6"/>
  <c r="D11" i="6"/>
  <c r="D26" i="6"/>
  <c r="D29" i="6"/>
  <c r="D14" i="6"/>
  <c r="D17" i="12"/>
  <c r="C17" i="12" s="1"/>
  <c r="C14" i="12"/>
  <c r="C35" i="68"/>
  <c r="C38" i="68"/>
  <c r="D10" i="11"/>
  <c r="C10" i="11" s="1"/>
  <c r="D20" i="12"/>
  <c r="C20" i="12" s="1"/>
  <c r="D10" i="69"/>
  <c r="D10" i="68"/>
  <c r="F50" i="69"/>
  <c r="F50" i="68"/>
  <c r="F50" i="11"/>
  <c r="E8" i="71"/>
  <c r="E7" i="71" s="1"/>
  <c r="E6" i="71" s="1"/>
  <c r="E5" i="71" s="1"/>
  <c r="V9" i="71"/>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4" i="15"/>
  <c r="C19" i="67" l="1"/>
  <c r="C20" i="67" s="1"/>
  <c r="C26" i="67" s="1"/>
  <c r="C18" i="15"/>
  <c r="C15" i="15"/>
  <c r="T16" i="1"/>
  <c r="D16" i="6"/>
  <c r="D30" i="6"/>
  <c r="C16" i="12"/>
  <c r="C28" i="11"/>
  <c r="C27" i="11" s="1"/>
  <c r="C31" i="11" s="1"/>
  <c r="R26" i="6"/>
  <c r="R21" i="6"/>
  <c r="R25" i="6"/>
  <c r="R24" i="6"/>
  <c r="C4" i="52"/>
  <c r="B45" i="72" s="1"/>
  <c r="A10" i="51"/>
  <c r="B9" i="72" s="1"/>
  <c r="A7" i="51"/>
  <c r="B7" i="72" s="1"/>
  <c r="C12" i="71"/>
  <c r="T13" i="71"/>
  <c r="D13" i="71"/>
  <c r="U13" i="71" s="1"/>
  <c r="R23" i="6"/>
  <c r="D7" i="74"/>
  <c r="D8" i="74"/>
  <c r="D27" i="6"/>
  <c r="D31" i="6" s="1"/>
  <c r="R20" i="6"/>
  <c r="R7" i="1" s="1"/>
  <c r="I27" i="6"/>
  <c r="S19" i="6"/>
  <c r="S27" i="6" s="1"/>
  <c r="C10" i="68"/>
  <c r="B29" i="1" s="1"/>
  <c r="C8" i="68" s="1"/>
  <c r="D19" i="68"/>
  <c r="H19" i="6"/>
  <c r="H27" i="6" s="1"/>
  <c r="C10" i="69"/>
  <c r="C8" i="69" s="1"/>
  <c r="C5" i="69" s="1"/>
  <c r="D19" i="69"/>
  <c r="R22" i="6"/>
  <c r="C33" i="11"/>
  <c r="I69" i="39"/>
  <c r="J67" i="39"/>
  <c r="B3" i="76"/>
  <c r="I63" i="40"/>
  <c r="H65" i="40"/>
  <c r="I58" i="21"/>
  <c r="J58" i="21" s="1"/>
  <c r="K58" i="21" s="1"/>
  <c r="L58" i="21" s="1"/>
  <c r="M58" i="21" s="1"/>
  <c r="N58" i="21" s="1"/>
  <c r="O58" i="21" s="1"/>
  <c r="H7" i="21" s="1"/>
  <c r="J7" i="21"/>
  <c r="F7" i="21"/>
  <c r="J48" i="35"/>
  <c r="F35" i="67"/>
  <c r="M21" i="67"/>
  <c r="C18" i="12" l="1"/>
  <c r="C21" i="12" s="1"/>
  <c r="C19" i="15"/>
  <c r="C20" i="15" s="1"/>
  <c r="C26" i="15" s="1"/>
  <c r="C23" i="67"/>
  <c r="C29" i="67" s="1"/>
  <c r="J59" i="67" s="1"/>
  <c r="J60" i="67" s="1"/>
  <c r="Q48" i="67" s="1"/>
  <c r="J20" i="67"/>
  <c r="F63" i="67"/>
  <c r="C62" i="67" s="1"/>
  <c r="C34" i="67"/>
  <c r="R19" i="6"/>
  <c r="I6" i="6"/>
  <c r="I5" i="6"/>
  <c r="C39" i="11"/>
  <c r="C42" i="11"/>
  <c r="C19" i="68"/>
  <c r="D37" i="68"/>
  <c r="C37" i="68" s="1"/>
  <c r="C33" i="68" s="1"/>
  <c r="C11" i="71"/>
  <c r="D12" i="71"/>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0" i="12" s="1"/>
  <c r="C28" i="12" s="1"/>
  <c r="C23" i="15"/>
  <c r="C29" i="15" s="1"/>
  <c r="J59" i="15" s="1"/>
  <c r="J60" i="15" s="1"/>
  <c r="Q48" i="15" s="1"/>
  <c r="Q49" i="67"/>
  <c r="C57" i="67"/>
  <c r="C64" i="67" s="1"/>
  <c r="C13" i="67"/>
  <c r="C56" i="67" s="1"/>
  <c r="C65" i="67" s="1"/>
  <c r="J19" i="67"/>
  <c r="J17" i="67" s="1"/>
  <c r="C33" i="67"/>
  <c r="C31" i="67" s="1"/>
  <c r="J14" i="67"/>
  <c r="J13" i="67" s="1"/>
  <c r="J23" i="67" s="1"/>
  <c r="C36" i="67"/>
  <c r="R27" i="6"/>
  <c r="R6" i="1"/>
  <c r="C20" i="69"/>
  <c r="C25" i="69" s="1"/>
  <c r="C22" i="69" s="1"/>
  <c r="D11" i="71"/>
  <c r="C10" i="71"/>
  <c r="C39" i="68"/>
  <c r="C42" i="68"/>
  <c r="C24" i="68"/>
  <c r="C46" i="11"/>
  <c r="C45" i="11" s="1"/>
  <c r="C43" i="11"/>
  <c r="C41" i="11" s="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M21" i="15"/>
  <c r="F35" i="15"/>
  <c r="C34" i="15" l="1"/>
  <c r="F63" i="15"/>
  <c r="C62" i="15" s="1"/>
  <c r="J20" i="15"/>
  <c r="R16" i="1"/>
  <c r="C61" i="67"/>
  <c r="C59" i="67" s="1"/>
  <c r="C58" i="67" s="1"/>
  <c r="C67" i="67" s="1"/>
  <c r="C68" i="67" s="1"/>
  <c r="C71" i="67" s="1"/>
  <c r="C27" i="12"/>
  <c r="C25" i="12" s="1"/>
  <c r="C32" i="12" s="1"/>
  <c r="B2" i="12" s="1"/>
  <c r="B3" i="12" s="1"/>
  <c r="C33" i="15"/>
  <c r="J19" i="15"/>
  <c r="Q49" i="15"/>
  <c r="C36" i="15"/>
  <c r="C13" i="15"/>
  <c r="C56" i="15" s="1"/>
  <c r="C65" i="15" s="1"/>
  <c r="C57" i="15"/>
  <c r="C61" i="15" s="1"/>
  <c r="J14" i="15"/>
  <c r="J22" i="15" s="1"/>
  <c r="J22" i="67"/>
  <c r="J16" i="67" s="1"/>
  <c r="J25" i="67" s="1"/>
  <c r="C37" i="67"/>
  <c r="C30" i="67" s="1"/>
  <c r="C39" i="67" s="1"/>
  <c r="Q69" i="67" s="1"/>
  <c r="C75" i="67"/>
  <c r="Q70" i="67"/>
  <c r="C49" i="11"/>
  <c r="C51" i="11" s="1"/>
  <c r="C52" i="11" s="1"/>
  <c r="B2" i="11" s="1"/>
  <c r="B3" i="11" s="1"/>
  <c r="C28" i="69"/>
  <c r="C27" i="69" s="1"/>
  <c r="C31" i="69" s="1"/>
  <c r="C41" i="69"/>
  <c r="C46" i="69"/>
  <c r="C45" i="69" s="1"/>
  <c r="C46" i="68"/>
  <c r="C45" i="68" s="1"/>
  <c r="C43" i="68"/>
  <c r="C41" i="68" s="1"/>
  <c r="D10" i="71"/>
  <c r="C9"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15" l="1"/>
  <c r="C31" i="15"/>
  <c r="C59" i="15"/>
  <c r="C37" i="15"/>
  <c r="C64" i="15"/>
  <c r="Q70" i="15"/>
  <c r="C75" i="15"/>
  <c r="J13" i="15"/>
  <c r="J23" i="15" s="1"/>
  <c r="C40" i="67"/>
  <c r="Q56" i="67" s="1"/>
  <c r="C80" i="67"/>
  <c r="C79" i="67" s="1"/>
  <c r="Q67" i="67"/>
  <c r="L57" i="67"/>
  <c r="L60" i="67" s="1"/>
  <c r="Q66" i="67" s="1"/>
  <c r="Q68" i="67"/>
  <c r="C49" i="69"/>
  <c r="C51" i="69" s="1"/>
  <c r="C52" i="69" s="1"/>
  <c r="B2" i="69" s="1"/>
  <c r="B3" i="69" s="1"/>
  <c r="C56" i="11"/>
  <c r="C57" i="11" s="1"/>
  <c r="C49" i="68"/>
  <c r="C51" i="68" s="1"/>
  <c r="C8" i="71"/>
  <c r="T9" i="71"/>
  <c r="D9" i="71"/>
  <c r="U9" i="71" s="1"/>
  <c r="M69" i="39"/>
  <c r="N67" i="39"/>
  <c r="R39" i="35"/>
  <c r="E38" i="35"/>
  <c r="M63" i="40"/>
  <c r="L65" i="40"/>
  <c r="J16" i="15" l="1"/>
  <c r="J25" i="15" s="1"/>
  <c r="C30" i="15"/>
  <c r="C39" i="15" s="1"/>
  <c r="C58" i="15"/>
  <c r="C67" i="15" s="1"/>
  <c r="C68" i="15" s="1"/>
  <c r="C71" i="15" s="1"/>
  <c r="C45" i="67"/>
  <c r="C46" i="67" s="1"/>
  <c r="C43" i="67"/>
  <c r="Q65" i="67"/>
  <c r="Q75" i="67" s="1"/>
  <c r="C83" i="67"/>
  <c r="C82" i="67" s="1"/>
  <c r="Q47" i="67"/>
  <c r="Q53" i="67" s="1"/>
  <c r="L46" i="67"/>
  <c r="D2" i="67" s="1"/>
  <c r="B2" i="67" s="1"/>
  <c r="Q57" i="67"/>
  <c r="Q62" i="67" s="1"/>
  <c r="C7" i="71"/>
  <c r="D8" i="71"/>
  <c r="C57" i="69"/>
  <c r="C56" i="69" s="1"/>
  <c r="O67" i="39"/>
  <c r="O69" i="39" s="1"/>
  <c r="N69" i="39"/>
  <c r="F7" i="39"/>
  <c r="C39" i="35"/>
  <c r="B2" i="35" s="1"/>
  <c r="B3" i="35" s="1"/>
  <c r="C38" i="35"/>
  <c r="N63" i="40"/>
  <c r="M65" i="40"/>
  <c r="E43" i="35"/>
  <c r="F43" i="35" s="1"/>
  <c r="E42" i="35"/>
  <c r="F42" i="35" s="1"/>
  <c r="I43" i="35"/>
  <c r="J43" i="35" s="1"/>
  <c r="L51" i="15"/>
  <c r="L57" i="15" l="1"/>
  <c r="L60" i="15" s="1"/>
  <c r="Q66" i="15" s="1"/>
  <c r="Q67" i="15"/>
  <c r="C40" i="15"/>
  <c r="C46" i="15" s="1"/>
  <c r="C80" i="15"/>
  <c r="C79" i="15" s="1"/>
  <c r="Q69" i="15"/>
  <c r="Q68" i="15" s="1"/>
  <c r="L46" i="15"/>
  <c r="B3" i="67"/>
  <c r="D7" i="71"/>
  <c r="C6" i="71"/>
  <c r="H7" i="39"/>
  <c r="J7" i="39"/>
  <c r="S7" i="39"/>
  <c r="AA7" i="39"/>
  <c r="R47" i="39" s="1"/>
  <c r="O63" i="40"/>
  <c r="O65" i="40" s="1"/>
  <c r="N65" i="40"/>
  <c r="B2" i="15" l="1"/>
  <c r="B3" i="15" s="1"/>
  <c r="Q57" i="15"/>
  <c r="C83" i="15"/>
  <c r="C82" i="15" s="1"/>
  <c r="Q56" i="15"/>
  <c r="Q65" i="15"/>
  <c r="Q75" i="15" s="1"/>
  <c r="C43" i="15"/>
  <c r="Q47" i="15"/>
  <c r="Q53" i="15" s="1"/>
  <c r="C5" i="71"/>
  <c r="D6" i="71"/>
  <c r="W7" i="39"/>
  <c r="AC7" i="39"/>
  <c r="V47" i="39" s="1"/>
  <c r="I47" i="39" s="1"/>
  <c r="E47" i="39"/>
  <c r="R48" i="39"/>
  <c r="U7" i="39"/>
  <c r="AB7" i="39"/>
  <c r="T47" i="39" s="1"/>
  <c r="G47" i="39" s="1"/>
  <c r="J7" i="40"/>
  <c r="F7" i="40"/>
  <c r="H7" i="40"/>
  <c r="AO6" i="1"/>
  <c r="D19" i="9"/>
  <c r="D20" i="9"/>
  <c r="D21" i="9" l="1"/>
  <c r="D102" i="9"/>
  <c r="B6" i="70"/>
  <c r="B2" i="70" s="1"/>
  <c r="B3" i="70" s="1"/>
  <c r="D103" i="9"/>
  <c r="Q62"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B2" i="68" l="1"/>
  <c r="C57" i="68"/>
  <c r="C56" i="68" s="1"/>
  <c r="C19" i="9"/>
  <c r="D22" i="9" l="1"/>
  <c r="G19" i="9"/>
  <c r="C102" i="9"/>
  <c r="C21" i="9"/>
  <c r="B3" i="68"/>
  <c r="D34" i="9"/>
  <c r="D35" i="9"/>
  <c r="C20" i="9"/>
  <c r="G21" i="9" l="1"/>
  <c r="C27" i="9"/>
  <c r="D27" i="9" s="1"/>
  <c r="C103" i="9"/>
  <c r="G20" i="9"/>
  <c r="C32" i="9" s="1"/>
  <c r="C35" i="9" l="1"/>
  <c r="C34" i="9" s="1"/>
  <c r="D118" i="9" l="1"/>
  <c r="D119" i="9" s="1"/>
  <c r="D5" i="52" s="1"/>
  <c r="B49" i="72" s="1"/>
  <c r="F118" i="9"/>
  <c r="G118" i="9" s="1"/>
  <c r="G4" i="52" s="1"/>
  <c r="B52" i="72" s="1"/>
  <c r="H118" i="9"/>
  <c r="H101" i="9" s="1"/>
  <c r="M48" i="9" l="1"/>
  <c r="D45" i="9"/>
  <c r="H107" i="9"/>
  <c r="D5" i="53"/>
  <c r="I118" i="9"/>
  <c r="D4" i="52"/>
  <c r="B47" i="72" s="1"/>
  <c r="F119" i="9"/>
  <c r="F5" i="52" s="1"/>
  <c r="B53" i="72" s="1"/>
  <c r="H119" i="9"/>
  <c r="H5" i="52" s="1"/>
  <c r="C104" i="9"/>
  <c r="F4" i="52"/>
  <c r="B51" i="72" s="1"/>
  <c r="D14" i="74"/>
  <c r="H4" i="52"/>
  <c r="I4" i="52" l="1"/>
  <c r="E118" i="9"/>
  <c r="E4" i="52" s="1"/>
  <c r="B48" i="72" s="1"/>
  <c r="C105" i="9"/>
  <c r="H102" i="9"/>
  <c r="D7" i="53" s="1"/>
  <c r="B21" i="72" s="1"/>
  <c r="D6" i="53"/>
  <c r="B22" i="72" s="1"/>
  <c r="B20" i="72"/>
  <c r="B5" i="74"/>
  <c r="F14" i="74"/>
  <c r="E14" i="74"/>
  <c r="M49" i="9"/>
  <c r="H108" i="9"/>
  <c r="D15" i="53" s="1"/>
  <c r="B31" i="72" s="1"/>
  <c r="D122" i="9"/>
  <c r="D13" i="53"/>
  <c r="D52" i="9"/>
  <c r="C85" i="9"/>
  <c r="C78" i="9"/>
  <c r="C73" i="9" s="1"/>
  <c r="C64" i="9"/>
  <c r="C63" i="9" s="1"/>
  <c r="C67" i="9" s="1"/>
  <c r="C93" i="9"/>
  <c r="C86" i="9" s="1"/>
  <c r="C72" i="9"/>
  <c r="D55" i="9"/>
  <c r="M53" i="9" s="1"/>
  <c r="D53" i="9"/>
  <c r="C95" i="9" l="1"/>
  <c r="D5" i="74"/>
  <c r="C5" i="74"/>
  <c r="D8" i="52"/>
  <c r="D123" i="9"/>
  <c r="D9" i="52" s="1"/>
  <c r="G14" i="74"/>
  <c r="B6" i="74" s="1"/>
  <c r="B30" i="72"/>
  <c r="D14" i="53"/>
  <c r="B32" i="72" s="1"/>
  <c r="C79" i="9"/>
  <c r="L64" i="9"/>
  <c r="M64" i="9" s="1"/>
  <c r="L67" i="9"/>
  <c r="M67" i="9" s="1"/>
  <c r="L65" i="9"/>
  <c r="M65" i="9" s="1"/>
  <c r="L68" i="9"/>
  <c r="M68" i="9" s="1"/>
  <c r="L66" i="9"/>
  <c r="M66" i="9" s="1"/>
  <c r="L63" i="9"/>
  <c r="M63" i="9" s="1"/>
  <c r="D59" i="9"/>
  <c r="M55" i="9" s="1"/>
  <c r="C68" i="9"/>
  <c r="D54" i="9" s="1"/>
  <c r="M69" i="9" l="1"/>
  <c r="N69" i="9" s="1"/>
  <c r="C6" i="74"/>
  <c r="D6" i="74"/>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<sst xmlns="http://schemas.openxmlformats.org/spreadsheetml/2006/main" count="7449" uniqueCount="3229">
  <si>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</si>
  <si>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</si>
  <si>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</si>
  <si>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</si>
  <si>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</si>
  <si>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</si>
  <si>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</si>
  <si>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</si>
  <si>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</si>
  <si>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</si>
  <si>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</si>
  <si>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</si>
  <si>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</si>
  <si>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</si>
  <si>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</si>
  <si>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</si>
  <si>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</si>
  <si>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</si>
  <si>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</si>
  <si>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</si>
  <si>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</si>
  <si>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</si>
  <si>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</si>
  <si>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</si>
  <si>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</si>
  <si>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</si>
  <si>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</si>
  <si>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</si>
  <si>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</si>
  <si>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</si>
  <si>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</si>
  <si>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</si>
  <si>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</si>
  <si>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</si>
  <si>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</si>
  <si>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</si>
  <si>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</si>
  <si>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</si>
  <si>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</si>
  <si>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</si>
  <si>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</si>
  <si>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</si>
  <si>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</si>
  <si>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</si>
  <si>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</si>
  <si>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</si>
  <si>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</si>
  <si>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</si>
  <si>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</si>
  <si>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</si>
  <si>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</si>
  <si>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</si>
  <si>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</si>
  <si>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</si>
  <si>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</si>
  <si>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</si>
  <si>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</si>
  <si>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</si>
  <si>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</si>
  <si>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</si>
  <si>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</si>
  <si>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</si>
  <si>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</si>
  <si>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</si>
  <si>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</si>
  <si>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</si>
  <si>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</si>
  <si>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</si>
  <si>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</si>
  <si>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</si>
  <si>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</si>
  <si>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</si>
  <si>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</si>
  <si>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</si>
  <si>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</si>
  <si>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</si>
  <si>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</si>
  <si>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</si>
  <si>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</si>
  <si>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</si>
  <si>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</si>
  <si>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</si>
  <si>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</si>
  <si>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</si>
  <si>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</si>
  <si>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</si>
  <si>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</si>
  <si>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</si>
  <si>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</si>
  <si>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</si>
  <si>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</si>
  <si>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</si>
  <si>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</si>
  <si>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</si>
  <si>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</si>
  <si>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</si>
  <si>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</si>
  <si>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</si>
  <si>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</si>
  <si>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</si>
  <si>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</si>
  <si>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</si>
  <si>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</si>
  <si>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</si>
  <si>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</si>
  <si>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</si>
  <si>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</si>
  <si>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</si>
  <si>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</si>
  <si>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</si>
  <si>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</si>
  <si>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</si>
  <si>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</si>
  <si>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</si>
  <si>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</si>
  <si>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</si>
  <si>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</si>
  <si>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</si>
  <si>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</si>
  <si>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</si>
  <si>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</si>
  <si>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</si>
  <si>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</si>
  <si>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</si>
  <si>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</si>
  <si>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</si>
  <si>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</si>
  <si>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</si>
  <si>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</si>
  <si>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</si>
  <si>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</si>
  <si>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</si>
  <si>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</si>
  <si>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</si>
  <si>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</si>
  <si>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</si>
  <si>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</si>
  <si>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</si>
  <si>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</si>
  <si>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</si>
  <si>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</si>
  <si>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</si>
  <si>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</si>
  <si>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</si>
  <si>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</si>
  <si>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</si>
  <si>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</si>
  <si>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</si>
  <si>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</si>
  <si>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</si>
  <si>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</si>
  <si>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</si>
  <si>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</si>
  <si>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</si>
  <si>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</si>
  <si>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</si>
  <si>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</si>
  <si>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</si>
  <si>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</si>
  <si>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</si>
  <si>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</si>
  <si>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</si>
  <si>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</si>
  <si>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</si>
  <si>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</si>
  <si>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</si>
  <si>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</si>
  <si>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</si>
  <si>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</si>
  <si>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</si>
  <si>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</si>
  <si>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</si>
  <si>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</si>
  <si>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</si>
  <si>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</si>
  <si>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</si>
  <si>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</si>
  <si>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</si>
  <si>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</si>
  <si>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</si>
  <si>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</si>
  <si>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</si>
  <si>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</si>
  <si>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</si>
  <si>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</si>
  <si>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</si>
  <si>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</si>
  <si>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</si>
  <si>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</si>
  <si>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</si>
  <si>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</si>
  <si>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</si>
  <si>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</si>
  <si>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</si>
  <si>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</si>
  <si>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</si>
  <si>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</si>
  <si>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</si>
  <si>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</si>
  <si>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</si>
  <si>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</si>
  <si>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</si>
  <si>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</si>
  <si>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</si>
  <si>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</si>
  <si>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</si>
  <si>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</si>
  <si>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</si>
  <si>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</si>
  <si>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</si>
  <si>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</si>
  <si>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</si>
  <si>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</si>
  <si>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</si>
  <si>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</si>
  <si>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</si>
  <si>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</si>
  <si>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</si>
  <si>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</si>
  <si>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</si>
  <si>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</si>
  <si>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</si>
  <si>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</si>
  <si>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</si>
  <si>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</si>
  <si>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</si>
  <si>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</si>
  <si>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</si>
  <si>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</si>
  <si>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</si>
  <si>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</si>
  <si>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</si>
  <si>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</si>
  <si>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</si>
  <si>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</si>
  <si>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</si>
  <si>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</si>
  <si>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</si>
  <si>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</si>
  <si>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</si>
  <si>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</si>
  <si>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</si>
  <si>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</si>
  <si>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</si>
  <si>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</si>
  <si>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</si>
  <si>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</si>
  <si>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</si>
  <si>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</si>
  <si>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</si>
  <si>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</si>
  <si>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</si>
  <si>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</si>
  <si>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</si>
  <si>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</si>
  <si>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</si>
  <si>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</si>
  <si>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</si>
  <si>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</si>
  <si>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</si>
  <si>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</si>
  <si>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</si>
  <si>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</si>
  <si>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</si>
  <si>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</si>
  <si>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</si>
  <si>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</si>
  <si>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</si>
  <si>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</si>
  <si>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</si>
  <si>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</si>
  <si>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</si>
  <si>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</si>
  <si>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</si>
  <si>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</si>
  <si>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</si>
  <si>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</si>
  <si>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</si>
  <si>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</si>
  <si>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</si>
  <si>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</si>
  <si>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</si>
  <si>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</si>
  <si>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</si>
  <si>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</si>
  <si>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</si>
  <si>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</si>
  <si>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</si>
  <si>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</si>
  <si>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</si>
  <si>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</si>
  <si>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</si>
  <si>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</si>
  <si>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</si>
  <si>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</si>
  <si>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</si>
  <si>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</si>
  <si>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</si>
  <si>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</si>
  <si>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</si>
  <si>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</si>
  <si>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</si>
  <si>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</si>
  <si>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</si>
  <si>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</si>
  <si>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</si>
  <si>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</si>
  <si>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</si>
  <si>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</si>
  <si>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</si>
  <si>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</si>
  <si>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</si>
  <si>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</si>
  <si>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</si>
  <si>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</si>
  <si>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</si>
  <si>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</si>
  <si>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</si>
  <si>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</si>
  <si>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</si>
  <si>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</si>
  <si>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</si>
  <si>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</si>
  <si>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</si>
  <si>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</si>
  <si>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</si>
  <si>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</si>
  <si>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</si>
  <si>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</si>
  <si>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</si>
  <si>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</si>
  <si>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</si>
  <si>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</si>
  <si>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</si>
  <si>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</si>
  <si>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</si>
  <si>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</si>
  <si>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</si>
  <si>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</si>
  <si>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</si>
  <si>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</si>
  <si>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</si>
  <si>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</si>
  <si>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</si>
  <si>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</si>
  <si>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</si>
  <si>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</si>
  <si>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</si>
  <si>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</si>
  <si>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</si>
  <si>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</si>
  <si>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</si>
  <si>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</si>
  <si>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</si>
  <si>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</si>
  <si>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</si>
  <si>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</si>
  <si>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</si>
  <si>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</si>
  <si>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</si>
  <si>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</si>
  <si>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</si>
  <si>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</si>
  <si>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</si>
  <si>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</si>
  <si>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</si>
  <si>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</si>
  <si>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</si>
  <si>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</si>
  <si>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</si>
  <si>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</si>
  <si>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</si>
  <si>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</si>
  <si>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</si>
  <si>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</si>
  <si>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</si>
  <si>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</si>
  <si>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</si>
  <si>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</si>
  <si>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</si>
  <si>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</si>
  <si>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</si>
  <si>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</si>
  <si>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</si>
  <si>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</si>
  <si>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</si>
  <si>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</si>
  <si>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</si>
  <si>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</si>
  <si>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</si>
  <si>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</si>
  <si>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</si>
  <si>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</si>
  <si>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</si>
  <si>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</si>
  <si>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</si>
  <si>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</si>
  <si>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</si>
  <si>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</si>
  <si>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</si>
  <si>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</si>
  <si>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</si>
  <si>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</si>
  <si>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</si>
  <si>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</si>
  <si>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</si>
  <si>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</si>
  <si>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</si>
  <si>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</si>
  <si>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</si>
  <si>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</si>
  <si>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</si>
  <si>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</si>
  <si>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</si>
  <si>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</si>
  <si>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</si>
  <si>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</si>
  <si>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</si>
  <si>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</si>
  <si>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</si>
  <si>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</si>
  <si>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</si>
  <si>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</si>
  <si>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</si>
  <si>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</si>
  <si>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</si>
  <si>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</si>
  <si>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</si>
  <si>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</si>
  <si>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</si>
  <si>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</si>
  <si>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</si>
  <si>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</si>
  <si>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</si>
  <si>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</si>
  <si>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</si>
  <si>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</si>
  <si>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</si>
  <si>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</si>
  <si>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</si>
  <si>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</si>
  <si>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</si>
  <si>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</si>
  <si>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</si>
  <si>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</si>
  <si>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</si>
  <si>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</si>
  <si>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</si>
  <si>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</si>
  <si>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</si>
  <si>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</si>
  <si>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</si>
  <si>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</si>
  <si>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</si>
  <si>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</si>
  <si>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</si>
  <si>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</si>
  <si>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</si>
  <si>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</si>
  <si>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</si>
  <si>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</si>
  <si>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</si>
  <si>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</si>
  <si>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</si>
  <si>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</si>
  <si>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</si>
  <si>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</si>
  <si>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</si>
  <si>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</si>
  <si>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</si>
  <si>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</si>
  <si>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</si>
  <si>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</si>
  <si>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</si>
  <si>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</si>
  <si>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</si>
  <si>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</si>
  <si>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</si>
  <si>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</si>
  <si>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</si>
  <si>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</si>
  <si>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</si>
  <si>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</si>
  <si>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</si>
  <si>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</si>
  <si>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</si>
  <si>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</si>
  <si>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</si>
  <si>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</si>
  <si>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</si>
  <si>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</si>
  <si>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</si>
  <si>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</si>
  <si>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</si>
  <si>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</si>
  <si>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</si>
  <si>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</si>
  <si>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</si>
  <si>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</si>
  <si>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</si>
  <si>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</si>
  <si>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</si>
  <si>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</si>
  <si>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</si>
  <si>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</si>
  <si>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</si>
  <si>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</si>
  <si>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</si>
  <si>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</si>
  <si>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</si>
  <si>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</si>
  <si>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</si>
  <si>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</si>
  <si>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</si>
  <si>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</si>
  <si>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</si>
  <si>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</si>
  <si>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</si>
  <si>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</si>
  <si>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</si>
  <si>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</si>
  <si>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</si>
  <si>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</si>
  <si>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</si>
  <si>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</si>
  <si>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</si>
  <si>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</si>
  <si>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</si>
  <si>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</si>
  <si>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</si>
  <si>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</si>
  <si>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</si>
  <si>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</si>
  <si>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</si>
  <si>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</si>
  <si>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</si>
  <si>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</si>
  <si>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</si>
  <si>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</si>
  <si>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</si>
  <si>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</si>
  <si>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</si>
  <si>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</si>
  <si>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</si>
  <si>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</si>
  <si>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</si>
  <si>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</si>
  <si>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</si>
  <si>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</si>
  <si>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</si>
  <si>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</si>
  <si>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</si>
  <si>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</si>
  <si>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</si>
  <si>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</si>
  <si>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</si>
  <si>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</si>
  <si>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</si>
  <si>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</si>
  <si>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</si>
  <si>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</si>
  <si>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</si>
  <si>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</si>
  <si>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</si>
  <si>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</si>
  <si>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</si>
  <si>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</si>
  <si>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</si>
  <si>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</si>
  <si>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</si>
  <si>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</si>
  <si>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</si>
  <si>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</si>
  <si>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</si>
  <si>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</si>
  <si>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</si>
  <si>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</si>
  <si>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</si>
  <si>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</si>
  <si>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</si>
  <si>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</si>
  <si>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</si>
  <si>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</si>
  <si>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</si>
  <si>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</si>
  <si>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</si>
  <si>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</si>
  <si>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</si>
  <si>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</si>
  <si>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</si>
  <si>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</si>
  <si>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</si>
  <si>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</si>
  <si>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</si>
  <si>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</si>
  <si>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</si>
  <si>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</si>
  <si>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</si>
  <si>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</si>
  <si>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</si>
  <si>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</si>
  <si>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</si>
  <si>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</si>
  <si>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</si>
  <si>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</si>
  <si>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</si>
  <si>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</si>
  <si>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</si>
  <si>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</si>
  <si>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</si>
  <si>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</si>
  <si>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</si>
  <si>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</si>
  <si>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</si>
  <si>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</si>
  <si>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</si>
  <si>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</si>
  <si>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</si>
  <si>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</si>
  <si>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</si>
  <si>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</si>
  <si>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</si>
  <si>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</si>
  <si>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</si>
  <si>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</si>
  <si>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</si>
  <si>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</si>
  <si>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</si>
  <si>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</si>
  <si>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</si>
  <si>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</si>
  <si>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</si>
  <si>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</si>
  <si>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</si>
  <si>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</si>
  <si>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</si>
  <si>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</si>
  <si>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</si>
  <si>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</si>
  <si>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</si>
  <si>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</si>
  <si>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</si>
  <si>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</si>
  <si>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</si>
  <si>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</si>
  <si>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</si>
  <si>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</si>
  <si>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</si>
  <si>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</si>
  <si>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</si>
  <si>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</si>
  <si>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</si>
  <si>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</si>
  <si>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</si>
  <si>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</si>
  <si>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</si>
  <si>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</si>
  <si>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</si>
  <si>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</si>
  <si>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</si>
  <si>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</si>
  <si>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</si>
  <si>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</si>
  <si>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</si>
  <si>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</si>
  <si>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</si>
  <si>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</si>
  <si>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</si>
  <si>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</si>
  <si>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</si>
  <si>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</si>
  <si>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</si>
  <si>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</si>
  <si>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</si>
  <si>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</si>
  <si>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</si>
  <si>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</si>
  <si>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</si>
  <si>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</si>
  <si>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</si>
  <si>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</si>
  <si>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</si>
  <si>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</si>
  <si>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</si>
  <si>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</si>
  <si>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</si>
  <si>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</si>
  <si>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</si>
  <si>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</si>
  <si>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</si>
  <si>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</si>
  <si>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</si>
  <si>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</si>
  <si>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</si>
  <si>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</si>
  <si>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</si>
  <si>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</si>
  <si>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</si>
  <si>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</si>
  <si>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</si>
  <si>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</si>
  <si>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</si>
  <si>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</si>
  <si>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</si>
  <si>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</si>
  <si>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</si>
  <si>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</si>
  <si>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</si>
  <si>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</si>
  <si>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</si>
  <si>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</si>
  <si>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</si>
  <si>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</si>
  <si>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</si>
  <si>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</si>
  <si>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</si>
  <si>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</si>
  <si>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</si>
  <si>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</si>
  <si>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</si>
  <si>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</si>
  <si>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</si>
  <si>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</si>
  <si>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</si>
  <si>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</si>
  <si>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</si>
  <si>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</si>
  <si>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</si>
  <si>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</si>
  <si>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</si>
  <si>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</si>
  <si>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</si>
  <si>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</si>
  <si>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</si>
  <si>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</si>
  <si>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</si>
  <si>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</si>
  <si>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</si>
  <si>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</si>
  <si>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</si>
  <si>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</si>
  <si>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</si>
  <si>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</si>
  <si>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</si>
  <si>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</si>
  <si>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</si>
  <si>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</si>
  <si>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</si>
  <si>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</si>
  <si>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</si>
  <si>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</si>
  <si>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</si>
  <si>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</si>
  <si>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</si>
  <si>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</si>
  <si>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</si>
  <si>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</si>
  <si>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</si>
  <si>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</si>
  <si>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</si>
  <si>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</si>
  <si>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</si>
  <si>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</si>
  <si>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</si>
  <si>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</si>
  <si>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</si>
  <si>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</si>
  <si>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</si>
  <si>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</si>
  <si>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</si>
  <si>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</si>
  <si>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</si>
  <si>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</si>
  <si>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</si>
  <si>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</si>
  <si>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</si>
  <si>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</si>
  <si>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</si>
  <si>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</si>
  <si>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</si>
  <si>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</si>
  <si>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</si>
  <si>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</si>
  <si>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</si>
  <si>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</si>
  <si>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</si>
  <si>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</si>
  <si>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</si>
  <si>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</si>
  <si>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</si>
  <si>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</si>
  <si>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</si>
  <si>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</si>
  <si>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</si>
  <si>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</si>
  <si>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</si>
  <si>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</si>
  <si>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</si>
  <si>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</si>
  <si>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</si>
  <si>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</si>
  <si>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</si>
  <si>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</si>
  <si>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</si>
  <si>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</si>
  <si>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</si>
  <si>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</si>
  <si>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</si>
  <si>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</si>
  <si>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</si>
  <si>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</si>
  <si>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</si>
  <si>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</si>
  <si>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</si>
  <si>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</si>
  <si>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</si>
  <si>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</si>
  <si>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</si>
  <si>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</si>
  <si>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</si>
  <si>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</si>
  <si>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</si>
  <si>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</si>
  <si>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</si>
  <si>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</si>
  <si>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</si>
  <si>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</si>
  <si>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</si>
  <si>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</si>
  <si>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</si>
  <si>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</si>
  <si>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</si>
  <si>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</si>
  <si>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</si>
  <si>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</si>
  <si>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</si>
  <si>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</si>
  <si>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</si>
  <si>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</si>
  <si>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</si>
  <si>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</si>
  <si>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</si>
  <si>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</si>
  <si>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</si>
  <si>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</si>
  <si>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</si>
  <si>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</si>
  <si>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</si>
  <si>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</si>
  <si>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</si>
  <si>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</si>
  <si>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</si>
  <si>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</si>
  <si>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</si>
  <si>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</si>
  <si>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</si>
  <si>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</si>
  <si>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</si>
  <si>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</si>
  <si>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</si>
  <si>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</si>
  <si>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</si>
  <si>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</si>
  <si>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</si>
  <si>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</si>
  <si>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</si>
  <si>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</si>
  <si>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</si>
  <si>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</si>
  <si>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</si>
  <si>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</si>
  <si>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</si>
  <si>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</si>
  <si>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</si>
  <si>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</si>
  <si>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</si>
  <si>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</si>
  <si>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</si>
  <si>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</si>
  <si>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</si>
  <si>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</si>
  <si>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</si>
  <si>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</si>
  <si>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</si>
  <si>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</si>
  <si>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</si>
  <si>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</si>
  <si>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</si>
  <si>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</si>
  <si>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</si>
  <si>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</si>
  <si>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</si>
  <si>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</si>
  <si>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</si>
  <si>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</si>
  <si>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</si>
  <si>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</si>
  <si>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</si>
  <si>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</si>
  <si>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</si>
  <si>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</si>
  <si>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</si>
  <si>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</si>
  <si>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</si>
  <si>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</si>
  <si>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</si>
  <si>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</si>
  <si>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</si>
  <si>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</si>
  <si>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</si>
  <si>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</si>
  <si>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</si>
  <si>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</si>
  <si>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</si>
  <si>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</si>
  <si>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</si>
  <si>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</si>
  <si>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</si>
  <si>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</si>
  <si>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</si>
  <si>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</si>
  <si>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</si>
  <si>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</si>
  <si>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</si>
  <si>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</si>
  <si>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</si>
  <si>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</si>
  <si>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</si>
  <si>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</si>
  <si>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</si>
  <si>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</si>
  <si>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</si>
  <si>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</si>
  <si>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</si>
  <si>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</si>
  <si>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</si>
  <si>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</si>
  <si>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</si>
  <si>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</si>
  <si>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</si>
  <si>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</si>
  <si>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</si>
  <si>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</si>
  <si>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</si>
  <si>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</si>
  <si>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</si>
  <si>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</si>
  <si>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</si>
  <si>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</si>
  <si>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</si>
  <si>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</si>
  <si>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</si>
  <si>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</si>
  <si>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</si>
  <si>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</si>
  <si>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</si>
  <si>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</si>
  <si>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</si>
  <si>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</si>
  <si>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</si>
  <si>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</si>
  <si>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</si>
  <si>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</si>
  <si>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</si>
  <si>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</si>
  <si>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</si>
  <si>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</si>
  <si>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</si>
  <si>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</si>
  <si>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</si>
  <si>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</si>
  <si>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</si>
  <si>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</si>
  <si>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</si>
  <si>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</si>
  <si>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</si>
  <si>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</si>
  <si>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</si>
  <si>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</si>
  <si>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</si>
  <si>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</si>
  <si>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</si>
  <si>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</si>
  <si>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</si>
  <si>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</si>
  <si>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</si>
  <si>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</si>
  <si>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</si>
  <si>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</si>
  <si>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</si>
  <si>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</si>
  <si>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</si>
  <si>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</si>
  <si>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</si>
  <si>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</si>
  <si>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</si>
  <si>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</si>
  <si>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</si>
  <si>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</si>
  <si>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</si>
  <si>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</si>
  <si>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</si>
  <si>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</si>
  <si>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</si>
  <si>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</si>
  <si>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</si>
  <si>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</si>
  <si>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</si>
  <si>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</si>
  <si>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</si>
  <si>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</si>
  <si>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</si>
  <si>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</si>
  <si>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</si>
  <si>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</si>
  <si>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</si>
  <si>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</si>
  <si>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</si>
  <si>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</si>
  <si>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</si>
  <si>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</si>
  <si>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</si>
  <si>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</si>
  <si>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</si>
  <si>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</si>
  <si>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</si>
  <si>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</si>
  <si>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</si>
  <si>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</si>
  <si>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</si>
  <si>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</si>
  <si>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</si>
  <si>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</si>
  <si>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</si>
  <si>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</si>
  <si>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</si>
  <si>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</si>
  <si>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</si>
  <si>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</si>
  <si>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</si>
  <si>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</si>
  <si>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</si>
  <si>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</si>
  <si>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</si>
  <si>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</si>
  <si>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</si>
  <si>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</si>
  <si>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</si>
  <si>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</si>
  <si>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</si>
  <si>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</si>
  <si>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</si>
  <si>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</si>
  <si>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</si>
  <si>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</si>
  <si>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</si>
  <si>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</si>
  <si>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</si>
  <si>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</si>
  <si>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</si>
  <si>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</si>
  <si>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</si>
  <si>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</si>
  <si>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</si>
  <si>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</si>
  <si>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</si>
  <si>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</si>
  <si>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</si>
  <si>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</si>
  <si>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</si>
  <si>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</si>
  <si>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</si>
  <si>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</si>
  <si>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</si>
  <si>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</si>
  <si>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</si>
  <si>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</si>
  <si>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</si>
  <si>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</si>
  <si>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</si>
  <si>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</si>
  <si>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</si>
  <si>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</si>
  <si>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</si>
  <si>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</si>
  <si>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</si>
  <si>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</si>
  <si>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</si>
  <si>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</si>
  <si>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</si>
  <si>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</si>
  <si>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</si>
  <si>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</si>
  <si>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</si>
  <si>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</si>
  <si>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</si>
  <si>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</si>
  <si>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</si>
  <si>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</si>
  <si>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</si>
  <si>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</si>
  <si>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</si>
  <si>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</si>
  <si>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</si>
  <si>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</si>
  <si>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</si>
  <si>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</si>
  <si>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</si>
  <si>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</si>
  <si>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</si>
  <si>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</si>
  <si>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</si>
  <si>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</si>
  <si>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</si>
  <si>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</si>
  <si>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</si>
  <si>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</si>
  <si>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</si>
  <si>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</si>
  <si>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</si>
  <si>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</si>
  <si>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</si>
  <si>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</si>
  <si>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</si>
  <si>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</si>
  <si>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</si>
  <si>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</si>
  <si>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</si>
  <si>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</si>
  <si>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</si>
  <si>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</si>
  <si>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</si>
  <si>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</si>
  <si>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</si>
  <si>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</si>
  <si>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</si>
  <si>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</si>
  <si>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</si>
  <si>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</si>
  <si>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</si>
  <si>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</si>
  <si>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</si>
  <si>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</si>
  <si>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</si>
  <si>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</si>
  <si>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</si>
  <si>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</si>
  <si>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</si>
  <si>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</si>
  <si>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</si>
  <si>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</si>
  <si>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</si>
  <si>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</si>
  <si>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</si>
  <si>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</si>
  <si>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</si>
  <si>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</si>
  <si>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</si>
  <si>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</si>
  <si>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</si>
  <si>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</si>
  <si>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</si>
  <si>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</si>
  <si>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</si>
  <si>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</si>
  <si>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</si>
  <si>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</si>
  <si>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</si>
  <si>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</si>
  <si>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</si>
  <si>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</si>
  <si>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</si>
  <si>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</si>
  <si>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</si>
  <si>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</si>
  <si>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</si>
  <si>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</si>
  <si>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</si>
  <si>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</si>
  <si>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</si>
  <si>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</si>
  <si>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</si>
  <si>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</si>
  <si>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</si>
  <si>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</si>
  <si>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</si>
  <si>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</si>
  <si>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</si>
  <si>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</si>
  <si>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</si>
  <si>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</si>
  <si>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</si>
  <si>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</si>
  <si>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</si>
  <si>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</si>
  <si>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</si>
  <si>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</si>
  <si>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</si>
  <si>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</si>
  <si>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</si>
  <si>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</si>
  <si>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</si>
  <si>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</si>
  <si>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</si>
  <si>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</si>
  <si>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</si>
  <si>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</si>
  <si>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</si>
  <si>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</si>
  <si>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</si>
  <si>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</si>
  <si>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</si>
  <si>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</si>
  <si>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</si>
  <si>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</si>
  <si>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</si>
  <si>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</si>
  <si>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</si>
  <si>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</si>
  <si>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</si>
  <si>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</si>
  <si>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</si>
  <si>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</si>
  <si>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</si>
  <si>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</si>
  <si>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</si>
  <si>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</si>
  <si>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</si>
  <si>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</si>
  <si>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</si>
  <si>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</si>
  <si>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</si>
  <si>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</si>
  <si>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</si>
  <si>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</si>
  <si>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</si>
  <si>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</si>
  <si>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</si>
  <si>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</si>
  <si>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</si>
  <si>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</si>
  <si>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</si>
  <si>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</si>
  <si>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</si>
  <si>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</si>
  <si>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</si>
  <si>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</si>
  <si>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</si>
  <si>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</si>
  <si>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</si>
  <si>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</si>
  <si>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</si>
  <si>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</si>
  <si>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</si>
  <si>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</si>
  <si>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</si>
  <si>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</si>
  <si>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</si>
  <si>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</si>
  <si>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</si>
  <si>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</si>
  <si>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</si>
  <si>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</si>
  <si>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</si>
  <si>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</si>
  <si>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</si>
  <si>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</si>
  <si>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</si>
  <si>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</si>
  <si>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</si>
  <si>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</si>
  <si>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</si>
  <si>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</si>
  <si>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</si>
  <si>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</si>
  <si>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</si>
  <si>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</si>
  <si>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</si>
  <si>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</si>
  <si>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</si>
  <si>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</si>
  <si>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</si>
  <si>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</si>
  <si>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</si>
  <si>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</si>
  <si>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</si>
  <si>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</si>
  <si>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</si>
  <si>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</si>
  <si>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</si>
  <si>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</si>
  <si>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</si>
  <si>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</si>
  <si>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</si>
  <si>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</si>
  <si>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</si>
  <si>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</si>
  <si>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</si>
  <si>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</si>
  <si>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</si>
  <si>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</si>
  <si>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</si>
  <si>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</si>
  <si>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</si>
  <si>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</si>
  <si>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</si>
  <si>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</si>
  <si>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</si>
  <si>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</si>
  <si>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</si>
  <si>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</si>
  <si>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</si>
  <si>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</si>
  <si>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</si>
  <si>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</si>
  <si>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</si>
  <si>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</si>
  <si>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</si>
  <si>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</si>
  <si>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</si>
  <si>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</si>
  <si>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</si>
  <si>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</si>
  <si>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</si>
  <si>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</si>
  <si>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</si>
  <si>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</si>
  <si>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</si>
  <si>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</si>
  <si>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</si>
  <si>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</si>
  <si>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</si>
  <si>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</si>
  <si>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</si>
  <si>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</si>
  <si>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</si>
  <si>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</si>
  <si>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</si>
  <si>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</si>
  <si>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</si>
  <si>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</si>
  <si>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</si>
  <si>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</si>
  <si>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</si>
  <si>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</si>
  <si>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</si>
  <si>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</si>
  <si>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</si>
  <si>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</si>
  <si>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</si>
  <si>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</si>
  <si>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</si>
  <si>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</si>
  <si>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</si>
  <si>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</si>
  <si>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</si>
  <si>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</si>
  <si>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</si>
  <si>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</si>
  <si>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</si>
  <si>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</si>
  <si>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</si>
  <si>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</si>
  <si>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</si>
  <si>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</si>
  <si>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</si>
  <si>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</si>
  <si>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</si>
  <si>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</si>
  <si>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</si>
  <si>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</si>
  <si>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</si>
  <si>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</si>
  <si>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</si>
  <si>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</si>
  <si>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</si>
  <si>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</si>
  <si>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</si>
  <si>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</si>
  <si>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</si>
  <si>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</si>
  <si>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</si>
  <si>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</si>
  <si>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</si>
  <si>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</si>
  <si>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</si>
  <si>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</si>
  <si>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</si>
  <si>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</si>
  <si>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</si>
  <si>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</si>
  <si>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</si>
  <si>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</si>
  <si>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</si>
  <si>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</si>
  <si>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</si>
  <si>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</si>
  <si>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</si>
  <si>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</si>
  <si>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</si>
  <si>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</si>
  <si>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</si>
  <si>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</si>
  <si>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</si>
  <si>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</si>
  <si>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</si>
  <si>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</si>
  <si>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</si>
  <si>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</si>
  <si>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</si>
  <si>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</si>
  <si>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</si>
  <si>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</si>
  <si>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</si>
  <si>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</si>
  <si>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</si>
  <si>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</si>
  <si>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</si>
  <si>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</si>
  <si>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</si>
  <si>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</si>
  <si>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</si>
  <si>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</si>
  <si>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</si>
  <si>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</si>
  <si>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</si>
  <si>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</si>
  <si>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</si>
  <si>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</si>
  <si>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</si>
  <si>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</si>
  <si>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</si>
  <si>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</si>
  <si>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</si>
  <si>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</si>
  <si>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</si>
  <si>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</si>
  <si>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</si>
  <si>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</si>
  <si>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</si>
  <si>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</si>
  <si>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</si>
  <si>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</si>
  <si>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</si>
  <si>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</si>
  <si>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</si>
  <si>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</si>
  <si>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</si>
  <si>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</si>
  <si>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</si>
  <si>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</si>
  <si>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</si>
  <si>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</si>
  <si>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</si>
  <si>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</si>
  <si>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</si>
  <si>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</si>
  <si>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</si>
  <si>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</si>
  <si>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</si>
  <si>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</si>
  <si>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</si>
  <si>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</si>
  <si>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</si>
  <si>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</si>
  <si>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</si>
  <si>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</si>
  <si>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</si>
  <si>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</si>
  <si>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</si>
  <si>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</si>
  <si>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</si>
  <si>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</si>
  <si>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</si>
  <si>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</si>
  <si>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</si>
  <si>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</si>
  <si>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</si>
  <si>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</si>
  <si>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</si>
  <si>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</si>
  <si>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</si>
  <si>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</si>
  <si>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</si>
  <si>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</si>
  <si>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</si>
  <si>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</si>
  <si>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</si>
  <si>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</si>
  <si>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</si>
  <si>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</si>
  <si>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</si>
  <si>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</si>
  <si>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</si>
  <si>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</si>
  <si>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</si>
  <si>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</si>
  <si>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</si>
  <si>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</si>
  <si>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</si>
  <si>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</si>
  <si>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</si>
  <si>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</si>
  <si>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</si>
  <si>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</si>
  <si>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</si>
  <si>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</si>
  <si>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</si>
  <si>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</si>
  <si>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</si>
  <si>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</si>
  <si>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</si>
  <si>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</si>
  <si>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</si>
  <si>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</si>
  <si>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</si>
  <si>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</si>
  <si>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</si>
  <si>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</si>
  <si>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</si>
  <si>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</si>
  <si>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</si>
  <si>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</si>
  <si>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</si>
  <si>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</si>
  <si>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</si>
  <si>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</si>
  <si>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</si>
  <si>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</si>
  <si>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</si>
  <si>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</si>
  <si>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</si>
  <si>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</si>
  <si>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</si>
  <si>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</si>
  <si>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</si>
  <si>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</si>
  <si>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</si>
  <si>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</si>
  <si>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</si>
  <si>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</si>
  <si>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</si>
  <si>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</si>
  <si>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</si>
  <si>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</si>
  <si>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</si>
  <si>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</si>
  <si>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</si>
  <si>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</si>
  <si>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</si>
  <si>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</si>
  <si>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</si>
  <si>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</si>
  <si>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</si>
  <si>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</si>
  <si>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</si>
  <si>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</si>
  <si>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</si>
  <si>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</si>
  <si>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</si>
  <si>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</si>
  <si>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</si>
  <si>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</si>
  <si>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</si>
  <si>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</si>
  <si>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</si>
  <si>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</si>
  <si>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</si>
  <si>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</si>
  <si>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</si>
  <si>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</si>
  <si>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</si>
  <si>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</si>
  <si>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</si>
  <si>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</si>
  <si>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</si>
  <si>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</si>
  <si>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</si>
  <si>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</si>
  <si>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</si>
  <si>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</si>
  <si>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</si>
  <si>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</si>
  <si>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</si>
  <si>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</si>
  <si>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</si>
  <si>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</si>
  <si>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</si>
  <si>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</si>
  <si>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</si>
  <si>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</si>
  <si>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</si>
  <si>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</si>
  <si>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</si>
  <si>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</si>
  <si>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</si>
  <si>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</si>
  <si>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</si>
  <si>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</si>
  <si>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</si>
  <si>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</si>
  <si>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</si>
  <si>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</si>
  <si>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</si>
  <si>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</si>
  <si>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</si>
  <si>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</si>
  <si>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</si>
  <si>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</si>
  <si>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</si>
  <si>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</si>
  <si>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</si>
  <si>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</si>
  <si>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</si>
  <si>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</si>
  <si>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</si>
  <si>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</si>
  <si>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</si>
  <si>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</si>
  <si>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</si>
  <si>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</si>
  <si>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</si>
  <si>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</si>
  <si>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</si>
  <si>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</si>
  <si>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</si>
  <si>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</si>
  <si>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</si>
  <si>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</si>
  <si>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</si>
  <si>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</si>
  <si>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</si>
  <si>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</si>
  <si>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</si>
  <si>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</si>
  <si>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</si>
  <si>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</si>
  <si>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</si>
  <si>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</si>
  <si>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</si>
  <si>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</si>
  <si>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</si>
  <si>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</si>
  <si>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</si>
  <si>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</si>
  <si>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</si>
  <si>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</si>
  <si>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</si>
  <si>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</si>
  <si>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</si>
  <si>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</si>
  <si>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</si>
  <si>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</si>
  <si>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</si>
  <si>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</si>
  <si>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</si>
  <si>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</si>
  <si>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</si>
  <si>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</si>
  <si>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</si>
  <si>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</si>
  <si>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</si>
  <si>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</si>
  <si>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</si>
  <si>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</si>
  <si>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</si>
  <si>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</si>
  <si>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</si>
  <si>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</si>
  <si>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</si>
  <si>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</si>
  <si>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</si>
  <si>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</si>
  <si>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</si>
  <si>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</si>
  <si>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</si>
  <si>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</si>
  <si>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</si>
  <si>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</si>
  <si>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</si>
  <si>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</si>
  <si>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</si>
  <si>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</si>
  <si>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</si>
  <si>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</si>
  <si>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</si>
  <si>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</si>
  <si>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</si>
  <si>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</si>
  <si>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</si>
  <si>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</si>
  <si>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</si>
  <si>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</si>
  <si>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</si>
  <si>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</si>
  <si>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</si>
  <si>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</si>
  <si>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</si>
  <si>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</si>
  <si>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</si>
  <si>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</si>
  <si>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</si>
  <si>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</si>
  <si>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</si>
  <si>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</si>
  <si>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</si>
  <si>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</si>
  <si>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</si>
  <si>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</si>
  <si>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</si>
  <si>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</si>
  <si>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</si>
  <si>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</si>
  <si>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</si>
  <si>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</si>
  <si>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</si>
  <si>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</si>
  <si>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</si>
  <si>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</si>
  <si>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</si>
  <si>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</si>
  <si>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</si>
  <si>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</si>
  <si>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</si>
  <si>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</si>
  <si>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</si>
  <si>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</si>
  <si>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</si>
  <si>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</si>
  <si>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</si>
  <si>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</si>
  <si>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</si>
  <si>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</si>
  <si>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</si>
  <si>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</si>
  <si>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</si>
  <si>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</si>
  <si>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</si>
  <si>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</si>
  <si>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</si>
  <si>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</si>
  <si>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</si>
  <si>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</si>
  <si>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</si>
  <si>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</si>
  <si>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</si>
  <si>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</si>
  <si>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</si>
  <si>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</si>
  <si>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</si>
  <si>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</si>
  <si>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</si>
  <si>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</si>
  <si>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</si>
  <si>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</si>
  <si>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</si>
  <si>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</si>
  <si>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</si>
  <si>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</si>
  <si>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</si>
  <si>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</si>
  <si>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</si>
  <si>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</si>
  <si>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</si>
  <si>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</si>
  <si>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</si>
  <si>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</si>
  <si>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</si>
  <si>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</si>
  <si>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</si>
  <si>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</si>
  <si>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</si>
  <si>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</si>
  <si>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</si>
  <si>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</si>
  <si>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</si>
  <si>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</si>
  <si>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</si>
  <si>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</si>
  <si>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</si>
  <si>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</si>
  <si>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</si>
  <si>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</si>
  <si>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</si>
  <si>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</si>
  <si>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</si>
  <si>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</si>
  <si>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</si>
  <si>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</si>
  <si>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</si>
  <si>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</si>
  <si>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</si>
  <si>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</si>
  <si>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</si>
  <si>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</si>
  <si>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</si>
  <si>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</si>
  <si>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</si>
  <si>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</si>
  <si>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</si>
  <si>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</si>
  <si>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</si>
  <si>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</si>
  <si>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</si>
  <si>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</si>
  <si>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</si>
  <si>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</si>
  <si>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</si>
  <si>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</si>
  <si>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</si>
  <si>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</si>
  <si>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</si>
  <si>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</si>
  <si>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</si>
  <si>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</si>
  <si>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</si>
  <si>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</si>
  <si>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</si>
  <si>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</si>
  <si>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</si>
  <si>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</si>
  <si>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</si>
  <si>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</si>
  <si>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</si>
  <si>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</si>
  <si>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</si>
  <si>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</si>
  <si>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</si>
  <si>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</si>
  <si>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</si>
  <si>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</si>
  <si>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</si>
  <si>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</si>
  <si>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</si>
  <si>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</si>
  <si>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</si>
  <si>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</si>
  <si>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</si>
  <si>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</si>
  <si>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</si>
  <si>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</si>
  <si>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</si>
  <si>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</si>
  <si>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</si>
  <si>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</si>
  <si>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</si>
  <si>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</si>
  <si>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</si>
  <si>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</si>
  <si>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</si>
  <si>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</si>
  <si>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</si>
  <si>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</si>
  <si>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</si>
  <si>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</si>
  <si>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</si>
  <si>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</si>
  <si>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</si>
  <si>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</si>
  <si>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</si>
  <si>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</si>
  <si>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</si>
  <si>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</si>
  <si>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</si>
  <si>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</si>
  <si>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</si>
  <si>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</si>
  <si>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</si>
  <si>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</si>
  <si>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</si>
  <si>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</si>
  <si>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</si>
  <si>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</si>
  <si>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</si>
  <si>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</si>
  <si>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</si>
  <si>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</si>
  <si>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</si>
  <si>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</si>
  <si>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</si>
  <si>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</si>
  <si>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</si>
  <si>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</si>
  <si>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</si>
  <si>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</si>
  <si>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</si>
  <si>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</si>
  <si>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</si>
  <si>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</si>
  <si>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</si>
  <si>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</si>
  <si>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</si>
  <si>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</si>
  <si>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</si>
  <si>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</si>
  <si>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</si>
  <si>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</si>
  <si>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</si>
  <si>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</si>
  <si>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</si>
  <si>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</si>
  <si>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</si>
  <si>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</si>
  <si>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</si>
  <si>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</si>
  <si>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</si>
  <si>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</si>
  <si>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</si>
  <si>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</si>
  <si>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</si>
  <si>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</si>
  <si>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</si>
  <si>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</si>
  <si>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</si>
  <si>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</si>
  <si>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</si>
  <si>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</si>
  <si>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</si>
  <si>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</si>
  <si>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</si>
  <si>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</si>
  <si>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</si>
  <si>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</si>
  <si>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</si>
  <si>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</si>
  <si>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</si>
  <si>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</si>
  <si>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</si>
  <si>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</si>
  <si>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</si>
  <si>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</si>
  <si>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</si>
  <si>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</si>
  <si>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</si>
  <si>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</si>
  <si>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</si>
  <si>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</si>
  <si>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</si>
  <si>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</si>
  <si>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</si>
  <si>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</si>
  <si>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</si>
  <si>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</si>
  <si>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</si>
  <si>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</si>
  <si>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</si>
  <si>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</si>
  <si>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</si>
  <si>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</si>
  <si>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</si>
  <si>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</si>
  <si>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</si>
  <si>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</si>
  <si>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</si>
  <si>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</si>
  <si>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</si>
  <si>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</si>
  <si>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</si>
  <si>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</si>
  <si>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</si>
  <si>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</si>
  <si>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</si>
  <si>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</si>
  <si>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</si>
  <si>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</si>
  <si>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</si>
  <si>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</si>
  <si>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</si>
  <si>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</si>
  <si>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</si>
  <si>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</si>
  <si>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</si>
  <si>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</si>
  <si>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</si>
  <si>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</si>
  <si>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</si>
  <si>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</si>
  <si>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</si>
  <si>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</si>
  <si>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</si>
  <si>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</si>
  <si>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</si>
  <si>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</si>
  <si>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</si>
  <si>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</si>
  <si>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</si>
  <si>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</si>
  <si>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</si>
  <si>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</si>
  <si>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</si>
  <si>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</si>
  <si>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</si>
  <si>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</si>
  <si>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</si>
  <si>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</si>
  <si>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</si>
  <si>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</si>
  <si>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</si>
  <si>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</si>
  <si>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</si>
  <si>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</si>
  <si>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</si>
  <si>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</si>
  <si>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</si>
  <si>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</si>
  <si>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</si>
  <si>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</si>
  <si>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</si>
  <si>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</si>
  <si>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</si>
  <si>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</si>
  <si>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</si>
  <si>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</si>
  <si>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</si>
  <si>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</si>
  <si>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</si>
  <si>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</si>
  <si>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</si>
  <si>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</si>
  <si>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</si>
  <si>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</si>
  <si>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</si>
  <si>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</si>
  <si>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</si>
  <si>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</si>
  <si>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</si>
  <si>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</si>
  <si>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</si>
  <si>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</si>
  <si>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</si>
  <si>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</si>
  <si>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</si>
  <si>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</si>
  <si>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</si>
  <si>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</si>
  <si>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</si>
  <si>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</si>
  <si>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</si>
  <si>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</si>
  <si>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</si>
  <si>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</si>
  <si>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</si>
  <si>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</si>
  <si>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</si>
  <si>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</si>
  <si>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</si>
  <si>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</si>
  <si>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</si>
  <si>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</si>
  <si>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</si>
  <si>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</si>
  <si>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</si>
  <si>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</si>
  <si>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</si>
  <si>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</si>
  <si>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</si>
  <si>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</si>
  <si>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</si>
  <si>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</si>
  <si>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</si>
  <si>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</si>
  <si>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</si>
  <si>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</si>
  <si>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</si>
  <si>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</si>
  <si>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</si>
  <si>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</si>
  <si>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</si>
  <si>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</si>
  <si>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</si>
  <si>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</si>
  <si>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</si>
  <si>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</si>
  <si>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</si>
  <si>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</si>
  <si>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</si>
  <si>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</si>
  <si>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</si>
  <si>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</si>
  <si>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</si>
  <si>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</si>
  <si>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</si>
  <si>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</si>
  <si>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</si>
  <si>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</si>
  <si>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</si>
  <si>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</si>
  <si>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</si>
  <si>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</si>
  <si>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</si>
  <si>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</si>
  <si>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</si>
  <si>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</si>
  <si>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</si>
  <si>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</si>
  <si>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</si>
  <si>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</si>
  <si>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</si>
  <si>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</si>
  <si>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</si>
  <si>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</si>
  <si>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</si>
  <si>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</si>
  <si>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</si>
  <si>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</si>
  <si>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</si>
  <si>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</si>
  <si>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</si>
  <si>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</si>
  <si>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</si>
  <si>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</si>
  <si>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</si>
  <si>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</si>
  <si>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</si>
  <si>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</si>
  <si>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</si>
  <si>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</si>
  <si>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</si>
  <si>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</si>
  <si>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</si>
  <si>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</si>
  <si>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</si>
  <si>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</si>
  <si>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</si>
  <si>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</si>
  <si>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</si>
  <si>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</si>
  <si>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</si>
  <si>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</si>
  <si>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</si>
  <si>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</si>
  <si>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</si>
  <si>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</si>
  <si>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</si>
  <si>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</si>
  <si>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</si>
  <si>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</si>
  <si>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</si>
  <si>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</si>
  <si>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</si>
  <si>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</si>
  <si>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</si>
  <si>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</si>
  <si>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</si>
  <si>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</si>
  <si>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</si>
  <si>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</si>
  <si>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</si>
  <si>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</si>
  <si>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</si>
  <si>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</si>
  <si>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</si>
  <si>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</si>
  <si>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</si>
  <si>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</si>
  <si>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</si>
  <si>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</si>
  <si>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</si>
  <si>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</si>
  <si>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</si>
  <si>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</si>
  <si>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</si>
  <si>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</si>
  <si>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</si>
  <si>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</si>
  <si>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</si>
  <si>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</si>
  <si>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</si>
  <si>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</si>
  <si>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</si>
  <si>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</si>
  <si>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</si>
  <si>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</si>
  <si>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</si>
  <si>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</si>
  <si>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</si>
  <si>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</si>
  <si>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</si>
  <si>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</si>
  <si>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</si>
  <si>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</si>
  <si>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</si>
  <si>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</si>
  <si>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</si>
  <si>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</si>
  <si>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</si>
  <si>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</si>
  <si>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</si>
  <si>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</si>
  <si>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</si>
  <si>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</si>
  <si>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</si>
  <si>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</si>
  <si>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</si>
  <si>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</si>
  <si>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</si>
  <si>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</si>
  <si>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</si>
  <si>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</si>
  <si>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</si>
  <si>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</si>
  <si>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</si>
  <si>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</si>
  <si>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</si>
  <si>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</si>
  <si>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</si>
  <si>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</si>
  <si>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</si>
  <si>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</si>
  <si>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</si>
  <si>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</si>
  <si>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</si>
  <si>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</si>
  <si>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</si>
  <si>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</si>
  <si>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</si>
  <si>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</si>
  <si>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</si>
  <si>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</si>
  <si>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</si>
  <si>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</si>
  <si>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</si>
  <si>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</si>
  <si>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</si>
  <si>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</si>
  <si>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</si>
  <si>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</si>
  <si>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</si>
  <si>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</si>
  <si>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</si>
  <si>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</si>
  <si>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</si>
  <si>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</si>
  <si>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</si>
  <si>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</si>
  <si>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</si>
  <si>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</si>
  <si>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</si>
  <si>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</si>
  <si>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</si>
  <si>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</si>
  <si>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</si>
  <si>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</si>
  <si>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</si>
  <si>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</si>
  <si>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</si>
  <si>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</si>
  <si>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</si>
  <si>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</si>
  <si>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</si>
  <si>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</si>
  <si>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</si>
  <si>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</si>
  <si>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</si>
  <si>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</si>
  <si>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</si>
  <si>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</si>
  <si>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</si>
  <si>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</si>
  <si>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</si>
  <si>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</si>
  <si>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</si>
  <si>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</si>
  <si>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</si>
  <si>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</si>
  <si>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</si>
  <si>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</si>
  <si>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</si>
  <si>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</si>
  <si>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</si>
  <si>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</si>
  <si>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</si>
  <si>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</si>
  <si>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</si>
  <si>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</si>
  <si>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</si>
  <si>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</si>
  <si>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</si>
  <si>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</si>
  <si>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</si>
  <si>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</si>
  <si>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</si>
  <si>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</si>
  <si>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</si>
  <si>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</si>
  <si>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</si>
  <si>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</si>
  <si>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</si>
  <si>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</si>
  <si>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</si>
  <si>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</si>
  <si>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</si>
  <si>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</si>
  <si>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</si>
  <si>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</si>
  <si>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</si>
  <si>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</si>
  <si>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</si>
  <si>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</si>
  <si>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</si>
  <si>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</si>
  <si>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</si>
  <si>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</si>
  <si>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</si>
  <si>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</si>
  <si>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</si>
  <si>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</si>
  <si>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</si>
  <si>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</si>
  <si>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</si>
  <si>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</si>
  <si>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</si>
  <si>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</si>
  <si>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</si>
  <si>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</si>
  <si>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</si>
  <si>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</si>
  <si>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</si>
  <si>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</si>
  <si>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</si>
  <si>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</si>
  <si>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</si>
  <si>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</si>
  <si>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</si>
  <si>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</si>
  <si>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</si>
  <si>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</si>
  <si>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</si>
  <si>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</si>
  <si>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</si>
  <si>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</si>
  <si>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</si>
  <si>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</si>
  <si>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</si>
  <si>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</si>
  <si>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</si>
  <si>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</si>
  <si>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</si>
  <si>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</si>
  <si>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</si>
  <si>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</si>
  <si>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</si>
  <si>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</si>
  <si>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</si>
  <si>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</si>
  <si>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</si>
  <si>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</si>
  <si>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</si>
  <si>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</si>
  <si>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</si>
  <si>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</si>
  <si>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</si>
  <si>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</si>
  <si>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</si>
  <si>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</si>
  <si>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</si>
  <si>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</si>
  <si>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</si>
  <si>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</si>
  <si>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</si>
  <si>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</si>
  <si>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</si>
  <si>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</si>
  <si>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</si>
  <si>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</si>
  <si>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</si>
  <si>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</si>
  <si>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</si>
  <si>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</si>
  <si>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</si>
  <si>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</si>
  <si>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</si>
  <si>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</si>
  <si>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</si>
  <si>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</si>
  <si>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</si>
  <si>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</si>
  <si>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</si>
  <si>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</si>
  <si>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</si>
  <si>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</si>
  <si>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</si>
  <si>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</si>
  <si>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</si>
  <si>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</si>
  <si>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</si>
  <si>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</si>
  <si>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</si>
  <si>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</si>
  <si>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</si>
  <si>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</si>
  <si>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</si>
  <si>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</si>
  <si>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</si>
  <si>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</si>
  <si>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</si>
  <si>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</si>
  <si>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</si>
  <si>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</si>
  <si>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</si>
  <si>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</si>
  <si>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</si>
  <si>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</si>
  <si>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</si>
  <si>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</si>
  <si>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</si>
  <si>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</si>
  <si>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</si>
  <si>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</si>
  <si>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</si>
  <si>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</si>
  <si>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</si>
  <si>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</si>
  <si>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</si>
  <si>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</si>
  <si>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</si>
  <si>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</si>
  <si>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</si>
  <si>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</si>
  <si>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</si>
  <si>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</si>
  <si>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</si>
  <si>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</si>
  <si>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</si>
  <si>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</si>
  <si>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</si>
  <si>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</si>
  <si>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</si>
  <si>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</si>
  <si>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</si>
  <si>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</si>
  <si>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</si>
  <si>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</si>
  <si>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</si>
  <si>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</si>
  <si>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</si>
  <si>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</si>
  <si>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</si>
  <si>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</si>
  <si>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</si>
  <si>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</si>
  <si>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</si>
  <si>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</si>
  <si>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</si>
  <si>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</si>
  <si>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</si>
  <si>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</si>
  <si>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</si>
  <si>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</si>
  <si>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</si>
  <si>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</si>
  <si>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</si>
  <si>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</si>
  <si>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</si>
  <si>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</si>
  <si>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</si>
  <si>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</si>
  <si>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</si>
  <si>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</si>
  <si>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</si>
  <si>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</si>
  <si>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</si>
  <si>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</si>
  <si>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</si>
  <si>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</si>
  <si>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</si>
  <si>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</si>
  <si>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</si>
  <si>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</si>
  <si>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</si>
  <si>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</si>
  <si>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</si>
  <si>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</si>
  <si>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</si>
  <si>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</si>
  <si>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</si>
  <si>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</si>
  <si>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</si>
  <si>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</si>
  <si>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</si>
  <si>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</si>
  <si>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</si>
  <si>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</si>
  <si>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</si>
  <si>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</si>
  <si>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</si>
  <si>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</si>
  <si>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</si>
  <si>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</si>
  <si>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</si>
  <si>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</si>
  <si>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</si>
  <si>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</si>
  <si>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</si>
  <si>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</si>
  <si>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</si>
  <si>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</si>
  <si>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</si>
  <si>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</si>
  <si>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</si>
  <si>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</si>
  <si>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</si>
  <si>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</si>
  <si>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</si>
  <si>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</si>
  <si>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</si>
  <si>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</si>
  <si>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</si>
  <si>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</si>
  <si>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</si>
  <si>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</si>
  <si>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</si>
  <si>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</si>
  <si>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</si>
  <si>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</si>
  <si>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</si>
  <si>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</si>
  <si>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</si>
  <si>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</si>
  <si>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</si>
  <si>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</si>
  <si>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</si>
  <si>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</si>
  <si>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</si>
  <si>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</si>
  <si>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</si>
  <si>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</si>
  <si>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</si>
  <si>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</si>
  <si>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</si>
  <si>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</si>
  <si>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</si>
  <si>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</si>
  <si>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</si>
  <si>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</si>
  <si>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</si>
  <si>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</si>
  <si>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</si>
  <si>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</si>
  <si>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</si>
  <si>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</si>
  <si>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</si>
  <si>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</si>
  <si>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</si>
  <si>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</si>
  <si>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</si>
  <si>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</si>
  <si>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</si>
  <si>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</si>
  <si>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</si>
  <si>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</si>
  <si>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</si>
  <si>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</si>
  <si>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</si>
  <si>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</si>
  <si>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</si>
  <si>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</si>
  <si>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</si>
  <si>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</si>
  <si>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</si>
  <si>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</si>
  <si>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</si>
  <si>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</si>
  <si>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</si>
  <si>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</si>
  <si>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</si>
  <si>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</si>
  <si>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</si>
  <si>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</si>
  <si>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</si>
  <si>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</si>
  <si>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</si>
  <si>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</si>
  <si>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</si>
  <si>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</si>
  <si>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</si>
  <si>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</si>
  <si>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</si>
  <si>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</si>
  <si>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</si>
  <si>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</si>
  <si>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</si>
  <si>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</si>
  <si>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</si>
  <si>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</si>
  <si>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</si>
  <si>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</si>
  <si>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</si>
  <si>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</si>
  <si>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</si>
  <si>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</si>
  <si>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</si>
  <si>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</si>
  <si>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</si>
  <si>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</si>
  <si>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</si>
  <si>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</si>
  <si>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</si>
  <si>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</si>
  <si>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</si>
  <si>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</si>
  <si>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</si>
  <si>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</si>
  <si>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</si>
  <si>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</si>
  <si>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</si>
  <si>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</si>
  <si>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</si>
  <si>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</si>
  <si>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</si>
  <si>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</si>
  <si>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</si>
  <si>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</si>
  <si>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</si>
  <si>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</si>
  <si>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</si>
  <si>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</si>
  <si>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</si>
  <si>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</si>
  <si>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</si>
  <si>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</si>
  <si>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</si>
  <si>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</si>
  <si>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</si>
  <si>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</si>
  <si>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</si>
  <si>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</si>
  <si>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</si>
  <si>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</si>
  <si>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</si>
  <si>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</si>
  <si>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</si>
  <si>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</si>
  <si>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</si>
  <si>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</si>
  <si>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</si>
  <si>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</si>
  <si>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</si>
  <si>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</si>
  <si>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</si>
  <si>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</si>
  <si>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</si>
  <si>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</si>
  <si>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</si>
  <si>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</si>
  <si>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</si>
  <si>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</si>
  <si>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</si>
  <si>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</si>
  <si>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</si>
  <si>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</si>
  <si>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</si>
  <si>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</si>
  <si>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</si>
  <si>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</si>
  <si>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</si>
  <si>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</si>
  <si>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</si>
  <si>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</si>
  <si>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</si>
  <si>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</si>
  <si>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</si>
  <si>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</si>
  <si>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</si>
  <si>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</si>
  <si>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</si>
  <si>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</si>
  <si>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</si>
  <si>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</si>
  <si>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</si>
  <si>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</si>
  <si>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</si>
  <si>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</si>
  <si>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</si>
  <si>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</si>
  <si>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</si>
  <si>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</si>
  <si>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</si>
  <si>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</si>
  <si>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</si>
  <si>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</si>
  <si>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</si>
  <si>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</si>
  <si>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</si>
  <si>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</si>
  <si>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</si>
  <si>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</si>
  <si>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</si>
  <si>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</si>
  <si>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</si>
  <si>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</si>
  <si>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</si>
  <si>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</si>
  <si>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</si>
  <si>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</si>
  <si>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</si>
  <si>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</si>
  <si>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</si>
  <si>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</si>
  <si>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</si>
  <si>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</si>
  <si>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</si>
  <si>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</si>
  <si>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</si>
  <si>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</si>
  <si>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</si>
  <si>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</si>
  <si>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</si>
  <si>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</si>
  <si>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</si>
  <si>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</si>
  <si>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</si>
  <si>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</si>
  <si>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</si>
  <si>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</si>
  <si>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</si>
  <si>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</si>
  <si>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</si>
  <si>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</si>
  <si>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</si>
  <si>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</si>
  <si>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</si>
  <si>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</si>
  <si>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</si>
  <si>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</si>
  <si>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</si>
  <si>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</si>
  <si>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</si>
  <si>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</si>
  <si>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</si>
  <si>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</si>
  <si>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</si>
  <si>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</si>
  <si>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</si>
  <si>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</si>
  <si>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</si>
  <si>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</si>
  <si>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</si>
  <si>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</si>
  <si>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</si>
  <si>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</si>
  <si>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</si>
  <si>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</si>
  <si>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</si>
  <si>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</si>
  <si>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</si>
  <si>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</si>
  <si>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</si>
  <si>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</si>
  <si>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</si>
  <si>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</si>
  <si>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</si>
  <si>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</si>
  <si>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</si>
  <si>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</si>
  <si>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</si>
  <si>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</si>
  <si>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</si>
  <si>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</si>
  <si>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</si>
  <si>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</si>
  <si>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</si>
  <si>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</si>
  <si>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</si>
  <si>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</si>
  <si>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</si>
  <si>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</si>
  <si>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</si>
  <si>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</si>
  <si>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</si>
  <si>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</si>
  <si>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</si>
  <si>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</si>
  <si>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</si>
  <si>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</si>
  <si>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</si>
  <si>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</si>
  <si>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</si>
  <si>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</si>
  <si>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</si>
  <si>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</si>
  <si>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</si>
  <si>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</si>
  <si>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</si>
  <si>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</si>
  <si>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</si>
  <si>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</si>
  <si>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</si>
  <si>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</si>
  <si>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</si>
  <si>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</si>
  <si>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</si>
  <si>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</si>
  <si>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</si>
  <si>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</si>
  <si>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</si>
  <si>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</si>
  <si>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</si>
  <si>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</si>
  <si>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</si>
  <si>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</si>
  <si>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</si>
  <si>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</si>
  <si>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</si>
  <si>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</si>
  <si>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</si>
  <si>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</si>
  <si>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</si>
  <si>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</si>
  <si>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</si>
  <si>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</si>
  <si>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</si>
  <si>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</si>
  <si>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</si>
  <si>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</si>
  <si>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</si>
  <si>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</si>
  <si>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</si>
  <si>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</si>
  <si>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</si>
  <si>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</si>
  <si>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</si>
  <si>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</si>
  <si>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</si>
  <si>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</si>
  <si>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</si>
  <si>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</si>
  <si>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</si>
  <si>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</si>
  <si>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</si>
  <si>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</si>
  <si>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</si>
  <si>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</si>
  <si>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</si>
  <si>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</si>
  <si>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</si>
  <si>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</si>
  <si>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</si>
  <si>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</si>
  <si>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</si>
  <si>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</si>
  <si>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</si>
  <si>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</si>
  <si>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</si>
  <si>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</si>
  <si>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</si>
  <si>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</si>
  <si>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</si>
  <si>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</si>
  <si>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</si>
  <si>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</si>
  <si>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</si>
  <si>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</si>
  <si>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</si>
  <si>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</si>
  <si>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</si>
  <si>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</si>
  <si>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</si>
  <si>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</si>
  <si>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</si>
  <si>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</si>
  <si>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</si>
  <si>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</si>
  <si>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</si>
  <si>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</si>
  <si>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</si>
  <si>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</si>
  <si>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</si>
  <si>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</si>
  <si>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</si>
  <si>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</si>
  <si>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</si>
  <si>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</si>
  <si>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</si>
  <si>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</si>
  <si>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</si>
  <si>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</si>
  <si>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</si>
  <si>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</si>
  <si>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</si>
  <si>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</si>
  <si>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</si>
  <si>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</si>
  <si>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</si>
  <si>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</si>
  <si>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</si>
  <si>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</si>
  <si>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</si>
  <si>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</si>
  <si>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</si>
  <si>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</si>
  <si>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</si>
  <si>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</si>
  <si>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</si>
  <si>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</si>
  <si>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</si>
  <si>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</si>
  <si>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</si>
  <si>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</si>
  <si>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</si>
  <si>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</si>
  <si>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</si>
  <si>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</si>
  <si>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</si>
  <si>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</si>
  <si>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</si>
  <si>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</si>
  <si>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</si>
  <si>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</si>
  <si>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</si>
  <si>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</si>
  <si>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</si>
  <si>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</si>
  <si>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</si>
  <si>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</si>
  <si>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</si>
  <si>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</si>
  <si>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</si>
  <si>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</si>
  <si>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</si>
  <si>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</si>
  <si>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</si>
  <si>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</si>
  <si>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</si>
  <si>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</si>
  <si>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</si>
  <si>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</si>
  <si>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</si>
  <si>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</si>
  <si>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</si>
  <si>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</si>
  <si>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</si>
  <si>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</si>
  <si>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</si>
  <si>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</si>
  <si>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</si>
  <si>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</si>
  <si>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</si>
  <si>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</si>
  <si>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</si>
  <si>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</si>
  <si>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</si>
  <si>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</si>
  <si>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</si>
  <si>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</si>
  <si>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</si>
  <si>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</si>
  <si>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</si>
  <si>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</si>
  <si>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</si>
  <si>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</si>
  <si>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</si>
  <si>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</si>
  <si>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</si>
  <si>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</si>
  <si>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</si>
  <si>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</si>
  <si>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</si>
  <si>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</si>
  <si>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</si>
  <si>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</si>
  <si>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</si>
  <si>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</si>
  <si>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</si>
  <si>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</si>
  <si>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</si>
  <si>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</si>
  <si>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</si>
  <si>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</si>
  <si>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</si>
  <si>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</si>
  <si>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</si>
  <si>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</si>
  <si>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</si>
  <si>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</si>
  <si>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</si>
  <si>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</si>
  <si>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</si>
  <si>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</si>
  <si>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</si>
  <si>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</si>
  <si>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</si>
  <si>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</si>
  <si>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</si>
  <si>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</si>
  <si>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</si>
  <si>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</si>
  <si>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</si>
  <si>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</si>
  <si>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</si>
  <si>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</si>
  <si>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</si>
  <si>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</si>
  <si>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</si>
  <si>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</si>
  <si>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</si>
  <si>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</si>
  <si>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</si>
  <si>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</si>
  <si>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</si>
  <si>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</si>
  <si>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</si>
  <si>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</si>
  <si>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</si>
  <si>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</si>
  <si>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</si>
  <si>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</si>
  <si>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</si>
  <si>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</si>
  <si>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</si>
  <si>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</si>
  <si>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</si>
  <si>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</si>
  <si>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</si>
  <si>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</si>
  <si>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</si>
  <si>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</si>
  <si>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</si>
  <si>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</si>
  <si>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</si>
  <si>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</si>
  <si>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</si>
  <si>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</si>
  <si>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</si>
  <si>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</si>
  <si>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</si>
  <si>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</si>
  <si>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</si>
  <si>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</si>
  <si>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</si>
  <si>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</si>
  <si>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</si>
  <si>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</si>
  <si>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</si>
  <si>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</si>
  <si>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</si>
  <si>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</si>
  <si>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</si>
  <si>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</si>
  <si>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</si>
  <si>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</si>
  <si>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</si>
  <si>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</si>
  <si>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</si>
  <si>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</si>
  <si>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</si>
  <si>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</si>
  <si>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</si>
  <si>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</si>
  <si>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</si>
  <si>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</si>
  <si>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</si>
  <si>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</si>
  <si>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</si>
  <si>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</si>
  <si>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</si>
  <si>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</si>
  <si>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</si>
  <si>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</si>
  <si>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</si>
  <si>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</si>
  <si>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</si>
  <si>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</si>
  <si>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</si>
  <si>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</si>
  <si>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</si>
  <si>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</si>
  <si>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</si>
  <si>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</si>
  <si>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</si>
  <si>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</si>
  <si>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</si>
  <si>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</si>
  <si>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</si>
  <si>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</si>
  <si>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</si>
  <si>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</si>
  <si>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</si>
  <si>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</si>
  <si>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</si>
  <si>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</si>
  <si>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</si>
  <si>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</si>
  <si>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</si>
  <si>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</si>
  <si>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</si>
  <si>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</si>
  <si>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</si>
  <si>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</si>
  <si>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</si>
  <si>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</si>
  <si>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</si>
  <si>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</si>
  <si>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</si>
  <si>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</si>
  <si>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</si>
  <si>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</si>
  <si>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</si>
  <si>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</si>
  <si>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</si>
  <si>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</si>
  <si>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</si>
  <si>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</si>
  <si>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</si>
  <si>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</si>
  <si>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</si>
  <si>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</si>
  <si>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</si>
  <si>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</si>
  <si>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</si>
  <si>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</si>
  <si>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</si>
  <si>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</si>
  <si>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</si>
  <si>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</si>
  <si>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</si>
  <si>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</si>
  <si>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</si>
  <si>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</si>
  <si>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</si>
  <si>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</si>
  <si>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</si>
  <si>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</si>
  <si>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</si>
  <si>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</si>
  <si>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</si>
  <si>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</si>
  <si>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</si>
  <si>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</si>
  <si>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</si>
  <si>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</si>
  <si>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</si>
  <si>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</si>
  <si>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</si>
  <si>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</si>
  <si>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</si>
  <si>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</si>
  <si>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</si>
  <si>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</si>
  <si>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</si>
  <si>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</si>
  <si>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</si>
  <si>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</si>
  <si>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</si>
  <si>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</si>
  <si>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</si>
  <si>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</si>
  <si>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</si>
  <si>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</si>
  <si>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</si>
  <si>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</si>
  <si>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</si>
  <si>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</si>
  <si>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</si>
  <si>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</si>
  <si>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</si>
  <si>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</si>
  <si>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</si>
  <si>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</si>
  <si>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</si>
  <si>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</si>
  <si>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</si>
  <si>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</si>
  <si>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</si>
  <si>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</si>
  <si>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</si>
  <si>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</si>
  <si>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</si>
  <si>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</si>
  <si>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办公楼</t>
  </si>
  <si>
    <t>地下</t>
  </si>
  <si>
    <t>车库</t>
  </si>
  <si>
    <t>未包含在土地购买价格中</t>
  </si>
  <si>
    <t>已包含在土地取得成本中</t>
  </si>
  <si>
    <t>崔锴</t>
  </si>
  <si>
    <t>郑燚</t>
  </si>
  <si>
    <t>北京海淀科技金融资本控股集团股份有限公司</t>
    <phoneticPr fontId="6" type="noConversion"/>
  </si>
  <si>
    <t>渤海西客站</t>
    <phoneticPr fontId="6" type="noConversion"/>
  </si>
  <si>
    <t>抵押</t>
  </si>
  <si>
    <t>房地产市场价值</t>
  </si>
  <si>
    <t>房地产抵押价值</t>
  </si>
  <si>
    <t>北京市</t>
  </si>
  <si>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</si>
  <si>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</si>
  <si>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</si>
  <si>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</si>
  <si>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</si>
  <si>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</si>
  <si>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</si>
  <si>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</si>
  <si>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</si>
  <si>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</si>
  <si>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</si>
  <si>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</si>
  <si>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</si>
  <si>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</si>
  <si>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</si>
  <si>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平整</t>
  </si>
  <si>
    <t>工业用房</t>
  </si>
  <si>
    <t>工业用房</t>
    <phoneticPr fontId="7" type="noConversion"/>
  </si>
  <si>
    <t>成新度</t>
  </si>
  <si>
    <t>建成</t>
    <phoneticPr fontId="3" type="noConversion"/>
  </si>
  <si>
    <t>直线</t>
    <phoneticPr fontId="3" type="noConversion"/>
  </si>
  <si>
    <t>收益法</t>
  </si>
  <si>
    <t>利息：取LPR加浮动点数</t>
  </si>
  <si>
    <t>较好</t>
    <phoneticPr fontId="41" type="noConversion"/>
  </si>
  <si>
    <t>较好</t>
    <phoneticPr fontId="41" type="noConversion"/>
  </si>
  <si>
    <t>较好</t>
    <phoneticPr fontId="41" type="noConversion"/>
  </si>
  <si>
    <t>七通</t>
    <phoneticPr fontId="25" type="noConversion"/>
  </si>
  <si>
    <t>较好</t>
    <phoneticPr fontId="41" type="noConversion"/>
  </si>
  <si>
    <t>自定义</t>
  </si>
  <si>
    <t>按租金收入计税</t>
  </si>
  <si>
    <t>钢混</t>
  </si>
  <si>
    <t>非生产用房</t>
  </si>
  <si>
    <t>成本法</t>
  </si>
  <si>
    <t>项目全部</t>
  </si>
  <si>
    <t>总价</t>
  </si>
  <si>
    <t>成本比率</t>
  </si>
  <si>
    <t>周边单套办公</t>
    <phoneticPr fontId="8" type="noConversion"/>
  </si>
  <si>
    <r>
      <t>3</t>
    </r>
    <r>
      <rPr>
        <sz val="10"/>
        <color indexed="8"/>
        <rFont val="宋体"/>
        <family val="3"/>
        <charset val="134"/>
      </rPr>
      <t>万出头</t>
    </r>
    <phoneticPr fontId="8" type="noConversion"/>
  </si>
  <si>
    <r>
      <rPr>
        <sz val="10"/>
        <color indexed="8"/>
        <rFont val="宋体"/>
        <family val="3"/>
        <charset val="134"/>
      </rPr>
      <t>博雅</t>
    </r>
    <r>
      <rPr>
        <sz val="10"/>
        <color indexed="8"/>
        <rFont val="Arial"/>
        <family val="2"/>
      </rPr>
      <t>CC</t>
    </r>
    <phoneticPr fontId="8" type="noConversion"/>
  </si>
  <si>
    <r>
      <t>2.5</t>
    </r>
    <r>
      <rPr>
        <sz val="10"/>
        <color indexed="8"/>
        <rFont val="宋体"/>
        <family val="3"/>
        <charset val="134"/>
      </rPr>
      <t>万</t>
    </r>
    <phoneticPr fontId="8" type="noConversion"/>
  </si>
  <si>
    <t>生命园</t>
    <phoneticPr fontId="8" type="noConversion"/>
  </si>
  <si>
    <r>
      <rPr>
        <sz val="10"/>
        <color indexed="8"/>
        <rFont val="宋体"/>
        <family val="3"/>
        <charset val="134"/>
      </rPr>
      <t>综合</t>
    </r>
    <r>
      <rPr>
        <sz val="10"/>
        <color indexed="8"/>
        <rFont val="Arial"/>
        <family val="2"/>
      </rPr>
      <t>1.8</t>
    </r>
    <r>
      <rPr>
        <sz val="10"/>
        <color indexed="8"/>
        <rFont val="宋体"/>
        <family val="3"/>
        <charset val="134"/>
      </rPr>
      <t>万</t>
    </r>
    <phoneticPr fontId="8" type="noConversion"/>
  </si>
  <si>
    <t>观察</t>
    <phoneticPr fontId="3" type="noConversion"/>
  </si>
  <si>
    <t>地上</t>
    <phoneticPr fontId="3" type="noConversion"/>
  </si>
  <si>
    <t>地下</t>
    <phoneticPr fontId="3" type="noConversion"/>
  </si>
  <si>
    <t>面积</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</si>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</sst>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6" fillId="5" borderId="24" xfId="0"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647019</xdr:colOff>
      <xdr:row>12</xdr:row>
      <xdr:rowOff>123552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47619" cy="2180952"/>
        </a:xfrm>
        <a:prstGeom prst="rect">
          <a:avLst/>
        </a:prstGeom>
      </xdr:spPr>
    </xdr:pic>
    <xdr:clientData/>
  </xdr:twoCellAnchor>
  <xdr:twoCellAnchor editAs="oneCell">
    <xdr:from>
      <xdr:col>0</xdr:col>
      <xdr:colOff>0</xdr:colOff>
      <xdr:row>13</xdr:row>
      <xdr:rowOff>0</xdr:rowOff>
    </xdr:from>
    <xdr:to>
      <xdr:col>13</xdr:col>
      <xdr:colOff>456028</xdr:colOff>
      <xdr:row>30</xdr:row>
      <xdr:rowOff>18683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371428" cy="2933333"/>
        </a:xfrm>
        <a:prstGeom prst="rect">
          <a:avLst/>
        </a:prstGeom>
      </xdr:spPr>
    </xdr:pic>
    <xdr:clientData/>
  </xdr:twoCellAnchor>
  <xdr:twoCellAnchor editAs="oneCell">
    <xdr:from>
      <xdr:col>0</xdr:col>
      <xdr:colOff>0</xdr:colOff>
      <xdr:row>30</xdr:row>
      <xdr:rowOff>0</xdr:rowOff>
    </xdr:from>
    <xdr:to>
      <xdr:col>13</xdr:col>
      <xdr:colOff>284600</xdr:colOff>
      <xdr:row>57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0000"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65288;&#20013;&#20851;&#26449;&#29983;&#29289;&#21307;&#33647;&#222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土地级别"/>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v>16452</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北京市海淀区开拓路5号房地产市场价值预评估</v>
      </c>
    </row>
    <row r="3" spans="1:2" s="1318" customFormat="1">
      <c r="A3" s="1316" t="s">
        <v>948</v>
      </c>
      <c r="B3" s="1317" t="str">
        <f>'预评函-封皮'!B40</f>
        <v>北京海淀科技金融资本控股集团股份有限公司</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受贵公司委托，我公司对北京市海淀区开拓路5号房地产市场价值进行了预评估。</v>
      </c>
    </row>
    <row r="7" spans="1:2" s="1318" customFormat="1">
      <c r="A7" s="1316" t="s">
        <v>991</v>
      </c>
      <c r="B7" s="1317" t="str">
        <f>'预评函-1'!A7</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为估价委托人在向渤海西客站办理贷款手续过程中，确定房地产抵押贷款额度提供参考依据而评估房地产抵押价值。</v>
      </c>
    </row>
    <row r="12" spans="1:2" s="1318" customFormat="1">
      <c r="A12" s="1316" t="s">
        <v>953</v>
      </c>
      <c r="B12" s="1317" t="str">
        <f>'预评函-1'!A15</f>
        <v>2022年5月19日（评估专业人员实地查勘之日）</v>
      </c>
    </row>
    <row r="13" spans="1:2" s="1318" customFormat="1">
      <c r="A13" s="1316" t="s">
        <v>954</v>
      </c>
      <c r="B13" s="1317" t="str">
        <f>'预评函-1'!A18</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30705</v>
      </c>
    </row>
    <row r="21" spans="1:2" s="1318" customFormat="1">
      <c r="A21" s="1316" t="s">
        <v>962</v>
      </c>
      <c r="B21" s="1317">
        <f ca="1">'预评函-2'!D7</f>
        <v>11022</v>
      </c>
    </row>
    <row r="22" spans="1:2" s="1318" customFormat="1">
      <c r="A22" s="1316" t="s">
        <v>963</v>
      </c>
      <c r="B22" s="1317" t="str">
        <f ca="1">'预评函-2'!D6</f>
        <v>叁亿零柒佰零伍万元整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30705</v>
      </c>
    </row>
    <row r="31" spans="1:2" s="1318" customFormat="1">
      <c r="A31" s="1316" t="s">
        <v>1001</v>
      </c>
      <c r="B31" s="1317">
        <f ca="1">'预评函-2'!D15</f>
        <v>11022</v>
      </c>
    </row>
    <row r="32" spans="1:2" s="1318" customFormat="1">
      <c r="A32" s="1316" t="s">
        <v>968</v>
      </c>
      <c r="B32" s="1317" t="str">
        <f ca="1">'预评函-2'!D14</f>
        <v>叁亿零柒佰零伍万元整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北京市海淀区开拓路5号房地产</v>
      </c>
    </row>
    <row r="42" spans="1:2" s="1318" customFormat="1">
      <c r="A42" s="1316" t="s">
        <v>1015</v>
      </c>
      <c r="B42" s="1317" t="str">
        <f>'预评函-3'!B2</f>
        <v>建筑面积</v>
      </c>
    </row>
    <row r="43" spans="1:2" s="1318" customFormat="1">
      <c r="A43" s="1316" t="s">
        <v>1016</v>
      </c>
      <c r="B43" s="1317">
        <f>'预评函-3'!B4</f>
        <v>27858.239999999998</v>
      </c>
    </row>
    <row r="44" spans="1:2" s="1318" customFormat="1">
      <c r="A44" s="1316" t="s">
        <v>1000</v>
      </c>
      <c r="B44" s="1317" t="str">
        <f>'预评函-3'!C2</f>
        <v>(分摊)土地面积</v>
      </c>
    </row>
    <row r="45" spans="1:2" s="1318" customFormat="1">
      <c r="A45" s="1316" t="s">
        <v>972</v>
      </c>
      <c r="B45" s="1317">
        <f>'预评函-3'!C4</f>
        <v>9429.73</v>
      </c>
    </row>
    <row r="46" spans="1:2" s="1318" customFormat="1">
      <c r="A46" s="1316" t="s">
        <v>998</v>
      </c>
      <c r="B46" s="1317" t="str">
        <f>'预评函-3'!D2</f>
        <v>出让国有建设用地使用权价值</v>
      </c>
    </row>
    <row r="47" spans="1:2" s="1318" customFormat="1">
      <c r="A47" s="1316" t="s">
        <v>973</v>
      </c>
      <c r="B47" s="1317">
        <f ca="1">'预评函-3'!D4</f>
        <v>21340</v>
      </c>
    </row>
    <row r="48" spans="1:2" s="1318" customFormat="1">
      <c r="A48" s="1316" t="s">
        <v>974</v>
      </c>
      <c r="B48" s="1317">
        <f ca="1">'预评函-3'!E4</f>
        <v>7660</v>
      </c>
    </row>
    <row r="49" spans="1:2" s="1318" customFormat="1">
      <c r="A49" s="1316" t="s">
        <v>975</v>
      </c>
      <c r="B49" s="1317" t="str">
        <f ca="1">'预评函-3'!D5</f>
        <v>贰亿壹仟叁佰肆拾万元整</v>
      </c>
    </row>
    <row r="50" spans="1:2" s="1318" customFormat="1">
      <c r="A50" s="1316" t="s">
        <v>999</v>
      </c>
      <c r="B50" s="1317" t="str">
        <f>'预评函-3'!F2</f>
        <v>在建建筑物价值</v>
      </c>
    </row>
    <row r="51" spans="1:2" s="1318" customFormat="1">
      <c r="A51" s="1316" t="s">
        <v>976</v>
      </c>
      <c r="B51" s="1317">
        <f ca="1">'预评函-3'!F4</f>
        <v>9365</v>
      </c>
    </row>
    <row r="52" spans="1:2" s="1318" customFormat="1">
      <c r="A52" s="1316" t="s">
        <v>977</v>
      </c>
      <c r="B52" s="1317">
        <f ca="1">'预评函-3'!G4</f>
        <v>3362</v>
      </c>
    </row>
    <row r="53" spans="1:2" s="1318" customFormat="1">
      <c r="A53" s="1316" t="s">
        <v>1005</v>
      </c>
      <c r="B53" s="1317" t="str">
        <f ca="1">'预评函-3'!F5</f>
        <v>玖仟叁佰陆拾伍万元整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2787</v>
      </c>
      <c r="C17" s="1683"/>
    </row>
    <row r="18" spans="1:3">
      <c r="A18" s="1682" t="s">
        <v>1491</v>
      </c>
      <c r="B18" s="1682" t="s">
        <v>2931</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6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1690" t="s">
        <v>651</v>
      </c>
      <c r="C54" s="1687" t="s">
        <v>1008</v>
      </c>
    </row>
    <row r="55" spans="1:4">
      <c r="A55" s="3269"/>
      <c r="B55" s="1690" t="s">
        <v>652</v>
      </c>
      <c r="C55" s="1687" t="s">
        <v>1009</v>
      </c>
    </row>
    <row r="56" spans="1:4">
      <c r="A56" s="3269"/>
      <c r="B56" s="1690" t="s">
        <v>653</v>
      </c>
      <c r="C56" s="1687" t="s">
        <v>1013</v>
      </c>
    </row>
    <row r="57" spans="1:4">
      <c r="A57" s="326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1" customWidth="1"/>
    <col min="12" max="13" width="10" style="2802"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70" t="str">
        <f>IF(B10="北京市","北京市",C10)&amp;F10&amp;IF(结果表!G1="在建","出让国有建设用地使用权及在建建筑物",IF(结果表!G1="土地","出让国有建设用地使用权",))&amp;B9&amp;"预评估"</f>
        <v>北京市海淀区开拓路5号房地产市场价值预评估</v>
      </c>
      <c r="C1" s="3271"/>
      <c r="D1" s="3271"/>
      <c r="E1" s="3271"/>
      <c r="F1" s="3271"/>
      <c r="G1" s="3271"/>
      <c r="H1" s="3271"/>
      <c r="I1" s="3272"/>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北京市海淀区开拓路5号房地产市场价值</v>
      </c>
      <c r="T1" s="1882"/>
      <c r="U1" s="1882"/>
      <c r="V1" s="1882"/>
      <c r="W1" s="1882"/>
      <c r="X1" s="1882"/>
      <c r="Y1" s="1882"/>
      <c r="Z1" s="1882"/>
      <c r="AA1" s="1882"/>
      <c r="AB1" s="1882"/>
    </row>
    <row r="2" spans="1:28">
      <c r="A2" s="2541" t="s">
        <v>2669</v>
      </c>
      <c r="B2" s="2545"/>
      <c r="C2" s="2546"/>
      <c r="D2" s="2845"/>
      <c r="E2" s="2835"/>
      <c r="F2" s="2835"/>
      <c r="G2" s="2836"/>
      <c r="H2" s="2836"/>
      <c r="I2" s="2836"/>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北京市海淀区开拓路5号房地产</v>
      </c>
      <c r="T2" s="1882"/>
      <c r="U2" s="1882"/>
      <c r="V2" s="1882"/>
      <c r="W2" s="1882"/>
      <c r="X2" s="1882"/>
      <c r="Y2" s="1882"/>
      <c r="Z2" s="1882"/>
      <c r="AA2" s="1882"/>
      <c r="AB2" s="1882"/>
    </row>
    <row r="3" spans="1:28">
      <c r="A3" s="308" t="s">
        <v>2670</v>
      </c>
      <c r="B3" s="2547">
        <v>44700</v>
      </c>
      <c r="C3" s="2548" t="s">
        <v>2671</v>
      </c>
      <c r="D3" s="2547">
        <f>B3</f>
        <v>44700</v>
      </c>
      <c r="E3" s="2836"/>
      <c r="F3" s="2836"/>
      <c r="G3" s="2836"/>
      <c r="H3" s="2836"/>
      <c r="I3" s="2836"/>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48.75" thickTop="1">
      <c r="A5" s="2553" t="s">
        <v>2673</v>
      </c>
      <c r="B5" s="3574" t="s">
        <v>3176</v>
      </c>
      <c r="C5" s="2554"/>
      <c r="D5" s="2555"/>
      <c r="E5" s="2837"/>
      <c r="F5" s="2837"/>
      <c r="G5" s="2837"/>
      <c r="H5" s="2837"/>
      <c r="I5" s="2837"/>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575" t="s">
        <v>3177</v>
      </c>
      <c r="C6" s="2557"/>
      <c r="D6" s="2558"/>
      <c r="E6" s="2835"/>
      <c r="F6" s="2837"/>
      <c r="G6" s="2837"/>
      <c r="H6" s="2837"/>
      <c r="I6" s="2837"/>
      <c r="J6" s="2613"/>
      <c r="K6" s="2787" t="str">
        <f>IF(COUNTIF(B6,"*上海银行*"),"上海银行","")</f>
        <v/>
      </c>
      <c r="L6" s="2785"/>
      <c r="M6" s="2785"/>
      <c r="N6" s="2613"/>
      <c r="O6" s="2624"/>
      <c r="P6" s="2613"/>
      <c r="Q6" s="2613"/>
      <c r="R6" s="2613"/>
    </row>
    <row r="7" spans="1:28">
      <c r="A7" s="2556" t="s">
        <v>2675</v>
      </c>
      <c r="B7" s="2559" t="str">
        <f>B5</f>
        <v>北京海淀科技金融资本控股集团股份有限公司</v>
      </c>
      <c r="C7" s="2557"/>
      <c r="D7" s="2558"/>
      <c r="E7" s="2835"/>
      <c r="F7" s="2837"/>
      <c r="G7" s="2837"/>
      <c r="H7" s="2837"/>
      <c r="I7" s="2837"/>
      <c r="J7" s="2613"/>
      <c r="K7" s="2788"/>
      <c r="L7" s="2785"/>
      <c r="M7" s="2785"/>
      <c r="N7" s="2613"/>
      <c r="O7" s="2624"/>
      <c r="P7" s="2613"/>
      <c r="Q7" s="2613"/>
      <c r="R7" s="2613"/>
    </row>
    <row r="8" spans="1:28">
      <c r="A8" s="2560" t="s">
        <v>2676</v>
      </c>
      <c r="B8" s="2561" t="s">
        <v>3178</v>
      </c>
      <c r="C8" s="2562"/>
      <c r="D8" s="3273" t="s">
        <v>2677</v>
      </c>
      <c r="E8" s="2563" t="s">
        <v>3180</v>
      </c>
      <c r="F8" s="2564"/>
      <c r="G8" s="2836"/>
      <c r="H8" s="2836"/>
      <c r="I8" s="2836"/>
      <c r="J8" s="2613"/>
      <c r="K8" s="2786"/>
      <c r="L8" s="2785"/>
      <c r="M8" s="2785"/>
      <c r="N8" s="2613"/>
      <c r="O8" s="2624"/>
      <c r="P8" s="2613"/>
      <c r="Q8" s="2613"/>
      <c r="R8" s="2613"/>
    </row>
    <row r="9" spans="1:28" ht="13.5" thickBot="1">
      <c r="A9" s="2565" t="s">
        <v>2678</v>
      </c>
      <c r="B9" s="2566" t="s">
        <v>3179</v>
      </c>
      <c r="C9" s="2567"/>
      <c r="D9" s="3274"/>
      <c r="E9" s="2566" t="s">
        <v>70</v>
      </c>
      <c r="F9" s="2568"/>
      <c r="G9" s="2838"/>
      <c r="H9" s="2838"/>
      <c r="I9" s="2838"/>
      <c r="J9" s="2613"/>
      <c r="K9" s="2788"/>
      <c r="L9" s="2785"/>
      <c r="M9" s="2785"/>
      <c r="N9" s="2613"/>
      <c r="O9" s="2624"/>
      <c r="P9" s="2613"/>
      <c r="Q9" s="2613"/>
      <c r="R9" s="2613"/>
    </row>
    <row r="10" spans="1:28" ht="13.5" thickTop="1">
      <c r="A10" s="2569" t="s">
        <v>2679</v>
      </c>
      <c r="B10" s="2570" t="s">
        <v>3181</v>
      </c>
      <c r="C10" s="2571"/>
      <c r="D10" s="2555"/>
      <c r="E10" s="2572" t="s">
        <v>2680</v>
      </c>
      <c r="F10" s="2839" t="s">
        <v>3182</v>
      </c>
      <c r="G10" s="2840"/>
      <c r="H10" s="2841"/>
      <c r="I10" s="2842"/>
      <c r="J10" s="2613"/>
      <c r="K10" s="2788"/>
      <c r="L10" s="2785"/>
      <c r="M10" s="2785"/>
      <c r="N10" s="2613"/>
      <c r="O10" s="2624"/>
      <c r="P10" s="2613"/>
      <c r="Q10" s="2613"/>
      <c r="R10" s="2613"/>
    </row>
    <row r="11" spans="1:28">
      <c r="A11" s="2573" t="s">
        <v>2681</v>
      </c>
      <c r="B11" s="2574" t="s">
        <v>3183</v>
      </c>
      <c r="C11" s="2575" t="str">
        <f>B5</f>
        <v>北京海淀科技金融资本控股集团股份有限公司</v>
      </c>
      <c r="D11" s="2576"/>
      <c r="E11" s="2544"/>
      <c r="F11" s="2544"/>
      <c r="G11" s="2544"/>
      <c r="H11" s="2544"/>
      <c r="I11" s="2544"/>
      <c r="J11" s="2613"/>
      <c r="K11" s="2788"/>
      <c r="L11" s="2785"/>
      <c r="M11" s="2785"/>
      <c r="N11" s="2613"/>
      <c r="O11" s="2624"/>
      <c r="P11" s="2613"/>
      <c r="Q11" s="2613"/>
      <c r="R11" s="2613"/>
    </row>
    <row r="12" spans="1:28">
      <c r="A12" s="2577" t="s">
        <v>2682</v>
      </c>
      <c r="B12" s="2574" t="s">
        <v>3184</v>
      </c>
      <c r="C12" s="329"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4"/>
      <c r="B13" s="2579"/>
      <c r="C13" s="2580" t="s">
        <v>2690</v>
      </c>
      <c r="D13" s="946"/>
      <c r="E13" s="946"/>
      <c r="F13" s="946"/>
      <c r="G13" s="946">
        <f>I13</f>
        <v>56927</v>
      </c>
      <c r="H13" s="946"/>
      <c r="I13" s="946">
        <v>56927</v>
      </c>
      <c r="J13" s="2613"/>
      <c r="K13" s="2788"/>
      <c r="L13" s="2785"/>
      <c r="M13" s="2785"/>
      <c r="N13" s="2613"/>
      <c r="O13" s="2624"/>
      <c r="P13" s="2613"/>
      <c r="Q13" s="2613"/>
      <c r="R13" s="2613"/>
    </row>
    <row r="14" spans="1:28">
      <c r="A14" s="1194"/>
      <c r="B14" s="2579"/>
      <c r="C14" s="2580" t="s">
        <v>2691</v>
      </c>
      <c r="D14" s="2581"/>
      <c r="E14" s="2581"/>
      <c r="F14" s="2581"/>
      <c r="G14" s="2581">
        <v>50</v>
      </c>
      <c r="H14" s="2581"/>
      <c r="I14" s="2581">
        <v>50</v>
      </c>
      <c r="J14" s="2613"/>
      <c r="K14" s="2789"/>
      <c r="L14" s="2785"/>
      <c r="M14" s="2785"/>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f>IF(B12="出让",IF(G13="","",ROUNDDOWN(MIN((G13-$D$3)/365,G14),2)),G14)</f>
        <v>33.49</v>
      </c>
      <c r="H15" s="2584" t="str">
        <f>IF(B12="出让",IF(H13="","",ROUNDDOWN(MIN((H13-$D$3)/365,H14),2)),H14)</f>
        <v/>
      </c>
      <c r="I15" s="2584">
        <f>IF(B12="出让",IF(I13="","",ROUNDDOWN(MIN((I13-$D$3)/365,I14),2)),I14)</f>
        <v>33.49</v>
      </c>
      <c r="J15" s="2613"/>
      <c r="K15" s="2790"/>
      <c r="L15" s="2625"/>
      <c r="M15" s="2625"/>
      <c r="N15" s="2681"/>
      <c r="O15" s="2625"/>
      <c r="P15" s="2681"/>
      <c r="Q15" s="2613"/>
      <c r="R15" s="2613"/>
    </row>
    <row r="16" spans="1:28">
      <c r="A16" s="2572" t="s">
        <v>2693</v>
      </c>
      <c r="B16" s="3280"/>
      <c r="C16" s="3281"/>
      <c r="D16" s="3282"/>
      <c r="E16" s="2587" t="s">
        <v>2694</v>
      </c>
      <c r="F16" s="3283"/>
      <c r="G16" s="3284"/>
      <c r="H16" s="3284"/>
      <c r="I16" s="3285"/>
      <c r="J16" s="2613"/>
      <c r="K16" s="2790"/>
      <c r="L16" s="2625"/>
      <c r="M16" s="2625"/>
      <c r="N16" s="2681"/>
      <c r="O16" s="2625"/>
      <c r="P16" s="2681"/>
      <c r="Q16" s="2613"/>
      <c r="R16" s="2613"/>
    </row>
    <row r="17" spans="1:28">
      <c r="A17" s="319" t="s">
        <v>2695</v>
      </c>
      <c r="B17" s="308" t="s">
        <v>2696</v>
      </c>
      <c r="C17" s="11">
        <f>'数据-汇总表'!E3</f>
        <v>27858.239999999998</v>
      </c>
      <c r="D17" s="2496" t="s">
        <v>2697</v>
      </c>
      <c r="E17" s="3286" t="s">
        <v>3185</v>
      </c>
      <c r="F17" s="3287"/>
      <c r="G17" s="3287"/>
      <c r="H17" s="3287"/>
      <c r="I17" s="3288"/>
      <c r="J17" s="2613"/>
      <c r="K17" s="2791"/>
      <c r="L17" s="2625"/>
      <c r="M17" s="2625"/>
      <c r="N17" s="2681"/>
      <c r="O17" s="2625"/>
      <c r="P17" s="2681"/>
      <c r="Q17" s="2613"/>
      <c r="R17" s="2613"/>
      <c r="S17" s="2613"/>
      <c r="T17" s="2613"/>
      <c r="U17" s="2613"/>
      <c r="V17" s="2613"/>
    </row>
    <row r="18" spans="1:28" ht="24.75" thickBot="1">
      <c r="A18" s="2588" t="s">
        <v>2698</v>
      </c>
      <c r="B18" s="1203" t="s">
        <v>2699</v>
      </c>
      <c r="C18" s="2589">
        <f>'数据-汇总表'!D3</f>
        <v>9429.73</v>
      </c>
      <c r="D18" s="1205" t="s">
        <v>2700</v>
      </c>
      <c r="E18" s="3289" t="s">
        <v>2701</v>
      </c>
      <c r="F18" s="3290"/>
      <c r="G18" s="3290"/>
      <c r="H18" s="3290"/>
      <c r="I18" s="3291"/>
      <c r="J18" s="2613"/>
      <c r="K18" s="2791"/>
      <c r="L18" s="2625"/>
      <c r="M18" s="2625"/>
      <c r="N18" s="2681"/>
      <c r="O18" s="2625"/>
      <c r="P18" s="2681"/>
      <c r="Q18" s="2613"/>
      <c r="R18" s="2613"/>
      <c r="S18" s="2613"/>
      <c r="T18" s="2613"/>
      <c r="U18" s="2613"/>
      <c r="V18" s="2613"/>
    </row>
    <row r="19" spans="1:28" ht="37.5" thickTop="1" thickBot="1">
      <c r="A19" s="333" t="s">
        <v>1500</v>
      </c>
      <c r="B19" s="313" t="s">
        <v>2702</v>
      </c>
      <c r="C19" s="1699" t="s">
        <v>3186</v>
      </c>
      <c r="D19" s="1700" t="s">
        <v>2703</v>
      </c>
      <c r="E19" s="1701" t="s">
        <v>70</v>
      </c>
      <c r="F19" s="1702" t="str">
        <f>IF(AND(C19="是",E19="否"),"是否提供他项权证或相关说明","")</f>
        <v/>
      </c>
      <c r="G19" s="1703" t="s">
        <v>70</v>
      </c>
      <c r="H19" s="2837"/>
      <c r="I19" s="2837"/>
      <c r="J19" s="2613"/>
      <c r="K19" s="2788"/>
      <c r="L19" s="2785"/>
      <c r="M19" s="2785"/>
      <c r="N19" s="2681"/>
      <c r="O19" s="2625"/>
      <c r="P19" s="2681"/>
      <c r="Q19" s="2613"/>
      <c r="R19" s="2613"/>
      <c r="S19" s="2613"/>
      <c r="T19" s="2613"/>
      <c r="U19" s="2613"/>
      <c r="V19" s="2613"/>
    </row>
    <row r="20" spans="1:28">
      <c r="A20" s="2805" t="s">
        <v>2704</v>
      </c>
      <c r="B20" s="3276" t="s">
        <v>2705</v>
      </c>
      <c r="C20" s="3277"/>
      <c r="D20" s="3278" t="s">
        <v>2706</v>
      </c>
      <c r="E20" s="3279"/>
      <c r="F20" s="2820" t="s">
        <v>1501</v>
      </c>
      <c r="G20" s="2837"/>
      <c r="H20" s="2837"/>
      <c r="I20" s="2837"/>
      <c r="J20" s="2613"/>
      <c r="K20" s="3275" t="s">
        <v>2707</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3"/>
      <c r="N20" s="2586"/>
      <c r="O20" s="2585"/>
      <c r="P20" s="2586"/>
      <c r="Q20" s="2544"/>
      <c r="R20" s="2544"/>
      <c r="S20" s="2544"/>
      <c r="T20" s="2544"/>
      <c r="U20" s="2544"/>
      <c r="V20" s="2544"/>
      <c r="W20" s="1882"/>
      <c r="X20" s="1882"/>
      <c r="Y20" s="1882"/>
      <c r="Z20" s="1882"/>
      <c r="AA20" s="1882"/>
      <c r="AB20" s="1882"/>
    </row>
    <row r="21" spans="1:28" ht="24.75" thickBot="1">
      <c r="A21" s="2805"/>
      <c r="B21" s="2806" t="s">
        <v>2708</v>
      </c>
      <c r="C21" s="2807" t="s">
        <v>3187</v>
      </c>
      <c r="D21" s="1704"/>
      <c r="E21" s="2808" t="s">
        <v>70</v>
      </c>
      <c r="F21" s="2821"/>
      <c r="G21" s="2837"/>
      <c r="H21" s="2837"/>
      <c r="I21" s="2837"/>
      <c r="J21" s="2613"/>
      <c r="K21" s="327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5"/>
      <c r="B22" s="2809" t="s">
        <v>2709</v>
      </c>
      <c r="C22" s="2807" t="s">
        <v>1502</v>
      </c>
      <c r="D22" s="2836"/>
      <c r="E22" s="2836"/>
      <c r="F22" s="2836"/>
      <c r="G22" s="2837"/>
      <c r="H22" s="2837"/>
      <c r="I22" s="2837"/>
      <c r="J22" s="2613"/>
      <c r="K22" s="327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0" t="s">
        <v>2710</v>
      </c>
      <c r="B23" s="2674" t="s">
        <v>2711</v>
      </c>
      <c r="C23" s="2811"/>
      <c r="D23" s="2812" t="s">
        <v>2711</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1503</v>
      </c>
      <c r="C24" s="2814"/>
      <c r="D24" s="2810" t="s">
        <v>1503</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1504</v>
      </c>
      <c r="C25" s="2814"/>
      <c r="D25" s="2810" t="s">
        <v>1504</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1505</v>
      </c>
      <c r="C26" s="2818"/>
      <c r="D26" s="2816" t="s">
        <v>1505</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293" t="s">
        <v>2712</v>
      </c>
      <c r="B27" s="326" t="s">
        <v>2713</v>
      </c>
      <c r="C27" s="2590" t="s">
        <v>3188</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293"/>
      <c r="B28" s="308" t="s">
        <v>2714</v>
      </c>
      <c r="C28" s="2592" t="s">
        <v>3189</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293"/>
      <c r="B29" s="308" t="s">
        <v>2715</v>
      </c>
      <c r="C29" s="2594" t="s">
        <v>3190</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294"/>
      <c r="B30" s="308" t="s">
        <v>2716</v>
      </c>
      <c r="C30" s="3295"/>
      <c r="D30" s="3296"/>
      <c r="E30" s="2837"/>
      <c r="F30" s="2837"/>
      <c r="G30" s="2837"/>
      <c r="H30" s="2837"/>
      <c r="I30" s="2837"/>
      <c r="J30" s="2613"/>
      <c r="K30" s="2788"/>
      <c r="L30" s="2785"/>
      <c r="M30" s="2785"/>
      <c r="N30" s="2613"/>
      <c r="O30" s="2624"/>
      <c r="P30" s="2613"/>
      <c r="Q30" s="2613"/>
      <c r="R30" s="2613"/>
      <c r="S30" s="2613"/>
      <c r="T30" s="2613"/>
      <c r="U30" s="2613"/>
      <c r="V30" s="2613"/>
    </row>
    <row r="31" spans="1:28">
      <c r="A31" s="3297" t="s">
        <v>2717</v>
      </c>
      <c r="B31" s="2596" t="s">
        <v>3191</v>
      </c>
      <c r="C31" s="2497" t="str">
        <f>IF(B31="现房","成新及维护状况正常否",IF(B31="在建","工程状态是否正常",IF(B31="土地","是否闲置","-")))</f>
        <v>成新及维护状况正常否</v>
      </c>
      <c r="D31" s="1508"/>
      <c r="E31" s="2597"/>
      <c r="F31" s="2837"/>
      <c r="G31" s="2837"/>
      <c r="H31" s="2837"/>
      <c r="I31" s="2837"/>
      <c r="J31" s="2613"/>
      <c r="K31" s="2787"/>
      <c r="L31" s="2785"/>
      <c r="M31" s="2785"/>
      <c r="N31" s="2613"/>
      <c r="O31" s="2624"/>
      <c r="P31" s="2613"/>
      <c r="Q31" s="2613"/>
      <c r="R31" s="2613"/>
      <c r="S31" s="2613"/>
      <c r="T31" s="2613"/>
      <c r="U31" s="2613"/>
      <c r="V31" s="2613"/>
    </row>
    <row r="32" spans="1:28">
      <c r="A32" s="3298"/>
      <c r="B32" s="2596"/>
      <c r="C32" s="2497" t="str">
        <f>IF(B32="现房","成新及维护状况是否正常",IF(B32="在建","工程状态是否正常",IF(B32="土地","是否闲置","-")))</f>
        <v>-</v>
      </c>
      <c r="D32" s="1508"/>
      <c r="E32" s="2597"/>
      <c r="F32" s="2837"/>
      <c r="G32" s="2837"/>
      <c r="H32" s="2837"/>
      <c r="I32" s="2837"/>
      <c r="J32" s="2613"/>
      <c r="K32" s="2788"/>
      <c r="L32" s="2785"/>
      <c r="M32" s="2785"/>
      <c r="N32" s="2613"/>
      <c r="O32" s="2624"/>
      <c r="P32" s="2613"/>
      <c r="Q32" s="2613"/>
      <c r="R32" s="2613"/>
      <c r="S32" s="2613"/>
      <c r="T32" s="2613"/>
      <c r="U32" s="2613"/>
      <c r="V32" s="2613"/>
    </row>
    <row r="33" spans="1:30">
      <c r="A33" s="3298"/>
      <c r="B33" s="2599"/>
      <c r="C33" s="1726" t="str">
        <f>IF(B33="现房","成新及维护状况是否正常",IF(B33="在建","工程状态是否正常",IF(B33="土地","是否闲置","-")))</f>
        <v>-</v>
      </c>
      <c r="D33" s="1500"/>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5" t="s">
        <v>3192</v>
      </c>
      <c r="C34" s="2165" t="s">
        <v>3193</v>
      </c>
      <c r="D34" s="2165" t="s">
        <v>3194</v>
      </c>
      <c r="E34" s="2165" t="s">
        <v>3195</v>
      </c>
      <c r="F34" s="2165" t="s">
        <v>3196</v>
      </c>
      <c r="G34" s="2165" t="s">
        <v>3197</v>
      </c>
      <c r="H34" s="2165" t="s">
        <v>70</v>
      </c>
      <c r="I34" s="2837"/>
      <c r="J34" s="2613"/>
      <c r="K34" s="2601">
        <f>COUNTIF(B34:H34,"——")</f>
        <v>1</v>
      </c>
      <c r="L34" s="329" t="s">
        <v>2719</v>
      </c>
      <c r="M34" s="329" t="s">
        <v>2720</v>
      </c>
      <c r="N34" s="329" t="s">
        <v>2721</v>
      </c>
      <c r="O34" s="329" t="s">
        <v>2722</v>
      </c>
      <c r="P34" s="329" t="s">
        <v>2723</v>
      </c>
      <c r="Q34" s="329" t="s">
        <v>2724</v>
      </c>
      <c r="R34" s="329" t="s">
        <v>2725</v>
      </c>
      <c r="S34" s="3292" t="s">
        <v>2726</v>
      </c>
      <c r="T34" s="2602" t="str">
        <f>NUMBERSTRING(7-K34,1)&amp;"通"</f>
        <v>六通</v>
      </c>
      <c r="U34" s="2613"/>
      <c r="V34" s="2613"/>
    </row>
    <row r="35" spans="1:30">
      <c r="A35" s="2603"/>
      <c r="B35" s="3299" t="s">
        <v>2727</v>
      </c>
      <c r="C35" s="3299"/>
      <c r="D35" s="3299"/>
      <c r="E35" s="3299"/>
      <c r="F35" s="673">
        <f>C10</f>
        <v>0</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92"/>
      <c r="T35" s="335" t="str">
        <f>IF(T34="一通",L35,IF(T34="二通",M35,IF(T34="三通",N35,IF(T34="四通",O35,IF(T34="五通",P35,IF(T34="六通",Q35,R35))))))</f>
        <v>通路、通电、通讯、通上水、通下水、平整</v>
      </c>
      <c r="U35" s="2613"/>
      <c r="V35" s="2613"/>
    </row>
    <row r="36" spans="1:30">
      <c r="A36" s="2604"/>
      <c r="B36" s="673" t="s">
        <v>2685</v>
      </c>
      <c r="C36" s="673" t="s">
        <v>2686</v>
      </c>
      <c r="D36" s="673" t="s">
        <v>2684</v>
      </c>
      <c r="E36" s="673" t="s">
        <v>2689</v>
      </c>
      <c r="F36" s="2843"/>
      <c r="G36" s="2837"/>
      <c r="H36" s="2837"/>
      <c r="I36" s="2837"/>
      <c r="J36" s="2613"/>
      <c r="K36" s="2788"/>
      <c r="L36" s="2785"/>
      <c r="M36" s="2785"/>
      <c r="N36" s="2613"/>
      <c r="O36" s="2624"/>
      <c r="P36" s="2613"/>
      <c r="Q36" s="2613"/>
      <c r="R36" s="2613"/>
      <c r="S36" s="2613"/>
      <c r="T36" s="2613"/>
      <c r="U36" s="2613"/>
      <c r="V36" s="2613"/>
    </row>
    <row r="37" spans="1:30">
      <c r="A37" s="2803" t="s">
        <v>2728</v>
      </c>
      <c r="B37" s="2605"/>
      <c r="C37" s="2605"/>
      <c r="D37" s="2605"/>
      <c r="E37" s="2605" t="s">
        <v>522</v>
      </c>
      <c r="F37" s="2843"/>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4"/>
      <c r="B40" s="2544"/>
      <c r="C40" s="2544"/>
      <c r="D40" s="2544"/>
      <c r="E40" s="2544"/>
      <c r="F40" s="2544"/>
      <c r="G40" s="2544"/>
      <c r="H40" s="2544"/>
      <c r="I40" s="1714"/>
      <c r="J40" s="2681"/>
      <c r="K40" s="2787"/>
      <c r="L40" s="2625"/>
      <c r="M40" s="2625"/>
      <c r="N40" s="2681"/>
      <c r="O40" s="2625"/>
      <c r="P40" s="2613"/>
      <c r="Q40" s="2613"/>
      <c r="R40" s="2613"/>
      <c r="S40" s="2613"/>
      <c r="T40" s="2613"/>
      <c r="U40" s="2613"/>
      <c r="V40" s="2613"/>
    </row>
    <row r="41" spans="1:30">
      <c r="A41" s="2610" t="s">
        <v>2731</v>
      </c>
      <c r="B41" s="1894"/>
      <c r="C41" s="1508"/>
      <c r="D41" s="2544"/>
      <c r="E41" s="2544"/>
      <c r="F41" s="2544"/>
      <c r="G41" s="2544"/>
      <c r="H41" s="2544"/>
      <c r="I41" s="1712"/>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9429.73</v>
      </c>
      <c r="B3" s="14">
        <f>IF(C3="否",G5-AT5,G5)</f>
        <v>27858.239999999998</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27858.239999999998</v>
      </c>
      <c r="H5" s="16">
        <f t="shared" ref="H5:AT5" si="0">SUM(H13:H656)</f>
        <v>27858.239999999998</v>
      </c>
      <c r="I5" s="16">
        <f t="shared" si="0"/>
        <v>20397.599999999999</v>
      </c>
      <c r="J5" s="16">
        <f t="shared" si="0"/>
        <v>0</v>
      </c>
      <c r="K5" s="16">
        <f t="shared" si="0"/>
        <v>7460.6399999999994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27858.239999999998</v>
      </c>
      <c r="BA5" s="18">
        <f t="shared" si="1"/>
        <v>27858.239999999998</v>
      </c>
      <c r="BB5" s="18">
        <f t="shared" si="1"/>
        <v>20397.599999999999</v>
      </c>
      <c r="BC5" s="18">
        <f t="shared" si="1"/>
        <v>7460.6399999999994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9429.73</v>
      </c>
      <c r="F6" s="16" t="s">
        <v>1</v>
      </c>
      <c r="G6" s="16" t="s">
        <v>2</v>
      </c>
      <c r="H6" s="20">
        <f>SUMIF(I$12:AB$12,"总值",I6:AB6)</f>
        <v>9429.73</v>
      </c>
      <c r="I6" s="16">
        <f t="shared" ref="I6:AB6" si="2">ROUND($A$3*I5/$B$3,2)</f>
        <v>6904.38</v>
      </c>
      <c r="J6" s="16">
        <f t="shared" si="2"/>
        <v>0</v>
      </c>
      <c r="K6" s="16">
        <f t="shared" si="2"/>
        <v>2525.35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9429.73</v>
      </c>
      <c r="AZ6" s="16" t="s">
        <v>3</v>
      </c>
      <c r="BA6" s="16">
        <f>ROUND($AY$6*BA5/$AZ$5,2)</f>
        <v>9429.73</v>
      </c>
      <c r="BB6" s="16">
        <f>ROUND($AY$6*BB5/$AZ$5,2)</f>
        <v>6904.38</v>
      </c>
      <c r="BC6" s="16">
        <f t="shared" ref="BC6:BH6" si="4">ROUND($AY$6*BC5/$AZ$5,2)</f>
        <v>2525.35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3168</v>
      </c>
      <c r="J9" s="899"/>
      <c r="K9" s="1739" t="s">
        <v>3170</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3171</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3169</v>
      </c>
      <c r="J11" s="1751"/>
      <c r="K11" s="1750" t="s">
        <v>3171</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3186</v>
      </c>
      <c r="E13" s="16">
        <f>IF($C$3="是",ROUND($A$3*G13/$B$3,2),ROUND($A$3*(G13-AT13)/$B$3,2))</f>
        <v>9429.73</v>
      </c>
      <c r="F13" s="32"/>
      <c r="G13" s="33">
        <f>H13+AC13+AT13</f>
        <v>27858.239999999998</v>
      </c>
      <c r="H13" s="20">
        <f>SUMIF(I$12:AB$12,"总值",I13:AB13)</f>
        <v>27858.239999999998</v>
      </c>
      <c r="I13" s="1762">
        <v>20397.599999999999</v>
      </c>
      <c r="J13" s="1762"/>
      <c r="K13" s="1762">
        <f>7003.98+456.66</f>
        <v>7460.6399999999994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9429.73</v>
      </c>
      <c r="AZ13" s="16">
        <f>BA13+BL13</f>
        <v>27858.239999999998</v>
      </c>
      <c r="BA13" s="16">
        <f>SUM(BB13:BK13)</f>
        <v>27858.239999999998</v>
      </c>
      <c r="BB13" s="16">
        <f>IF($D13="是",I13-J13,0)</f>
        <v>20397.599999999999</v>
      </c>
      <c r="BC13" s="16">
        <f>IF($D13="是",K13-L13,0)</f>
        <v>7460.6399999999994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0" t="s">
        <v>0</v>
      </c>
      <c r="B1" s="3300" t="s">
        <v>4</v>
      </c>
      <c r="C1" s="3300" t="s">
        <v>5</v>
      </c>
      <c r="D1" s="3301" t="s">
        <v>53</v>
      </c>
      <c r="E1" s="3301" t="s">
        <v>54</v>
      </c>
      <c r="F1" s="3301"/>
      <c r="G1" s="3301"/>
      <c r="H1" s="3301"/>
      <c r="I1" s="3301"/>
      <c r="J1" s="3301"/>
      <c r="K1" s="3301"/>
      <c r="L1" s="3301"/>
      <c r="M1" s="3301"/>
    </row>
    <row r="2" spans="1:13" ht="27" customHeight="1">
      <c r="A2" s="3300"/>
      <c r="B2" s="3300"/>
      <c r="C2" s="3300"/>
      <c r="D2" s="3301"/>
      <c r="E2" s="3301" t="s">
        <v>37</v>
      </c>
      <c r="F2" s="3301" t="s">
        <v>38</v>
      </c>
      <c r="G2" s="3301"/>
      <c r="H2" s="3301"/>
      <c r="I2" s="3301"/>
      <c r="J2" s="3301" t="s">
        <v>39</v>
      </c>
      <c r="K2" s="3301"/>
      <c r="L2" s="3301"/>
      <c r="M2" s="3301"/>
    </row>
    <row r="3" spans="1:13" ht="28.5">
      <c r="A3" s="3300"/>
      <c r="B3" s="3300"/>
      <c r="C3" s="3300"/>
      <c r="D3" s="3301"/>
      <c r="E3" s="33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1" t="s">
        <v>55</v>
      </c>
      <c r="B9" s="3301"/>
      <c r="C9" s="33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11" t="s">
        <v>1575</v>
      </c>
      <c r="B2" s="3311"/>
      <c r="C2" s="3311"/>
      <c r="D2" s="885" t="s">
        <v>1551</v>
      </c>
      <c r="E2" s="1775" t="s">
        <v>1552</v>
      </c>
      <c r="F2" s="2832"/>
      <c r="G2" s="2823"/>
      <c r="H2" s="2824"/>
      <c r="I2" s="2499" t="s">
        <v>1576</v>
      </c>
      <c r="J2" s="2832"/>
      <c r="K2" s="2832"/>
      <c r="L2" s="2832"/>
      <c r="M2" s="2832"/>
      <c r="N2" s="2834"/>
      <c r="O2" s="2832"/>
      <c r="P2" s="2832"/>
    </row>
    <row r="3" spans="1:16" ht="15.75" thickBot="1">
      <c r="A3" s="3312" t="s">
        <v>1549</v>
      </c>
      <c r="B3" s="3312"/>
      <c r="C3" s="3312"/>
      <c r="D3" s="46">
        <f>'数据-基础表'!AY6</f>
        <v>9429.73</v>
      </c>
      <c r="E3" s="46">
        <f>'数据-基础表'!AZ5</f>
        <v>27858.239999999998</v>
      </c>
      <c r="F3" s="2832"/>
      <c r="G3" s="1260"/>
      <c r="H3" s="1138" t="s">
        <v>1550</v>
      </c>
      <c r="I3" s="945">
        <f>ROUND('数据-基础表'!B3/'数据-基础表'!A3,2)</f>
        <v>2.95</v>
      </c>
      <c r="J3" s="2832"/>
      <c r="K3" s="2832"/>
      <c r="L3" s="2832"/>
      <c r="M3" s="2832"/>
      <c r="N3" s="2834"/>
      <c r="O3" s="2832"/>
      <c r="P3" s="2832"/>
    </row>
    <row r="4" spans="1:16" ht="15">
      <c r="A4" s="3313"/>
      <c r="B4" s="3314"/>
      <c r="C4" s="3315"/>
      <c r="D4" s="1777" t="s">
        <v>1551</v>
      </c>
      <c r="E4" s="1778" t="s">
        <v>1552</v>
      </c>
      <c r="F4" s="2832"/>
      <c r="G4" s="2825" t="s">
        <v>1577</v>
      </c>
      <c r="H4" s="1138" t="s">
        <v>1557</v>
      </c>
      <c r="I4" s="945">
        <f>ROUND(SUMIF('数据-基础表'!I9:AS9,"地上",'数据-基础表'!I5:AS5)/'数据-基础表'!A3,2)</f>
        <v>2.16</v>
      </c>
      <c r="J4" s="2832"/>
      <c r="K4" s="2832"/>
      <c r="L4" s="2832"/>
      <c r="M4" s="2832"/>
      <c r="N4" s="2834"/>
      <c r="O4" s="2832"/>
      <c r="P4" s="2832"/>
    </row>
    <row r="5" spans="1:16">
      <c r="A5" s="47" t="s">
        <v>1553</v>
      </c>
      <c r="B5" s="3316" t="s">
        <v>1554</v>
      </c>
      <c r="C5" s="3316"/>
      <c r="D5" s="48">
        <f>ROUND($D$3*E5/$E$3,2)</f>
        <v>0</v>
      </c>
      <c r="E5" s="49">
        <f>SUMIF('数据-基础表'!$11:$11,"住宅",'数据-基础表'!$5:$5)</f>
        <v>0</v>
      </c>
      <c r="F5" s="2832"/>
      <c r="G5" s="1260"/>
      <c r="H5" s="1138" t="s">
        <v>1550</v>
      </c>
      <c r="I5" s="945">
        <f>ROUND(E31/D31,2)</f>
        <v>2.95</v>
      </c>
      <c r="J5" s="2832"/>
      <c r="K5" s="2832"/>
      <c r="L5" s="2832"/>
      <c r="M5" s="2832"/>
      <c r="N5" s="2832"/>
      <c r="O5" s="2832"/>
      <c r="P5" s="2832"/>
    </row>
    <row r="6" spans="1:16" ht="15" thickBot="1">
      <c r="A6" s="1780"/>
      <c r="B6" s="3316" t="s">
        <v>1555</v>
      </c>
      <c r="C6" s="3316"/>
      <c r="D6" s="48">
        <f>ROUND($D$3*E6/$E$3,2)</f>
        <v>9429.73</v>
      </c>
      <c r="E6" s="49">
        <f>E3-E5</f>
        <v>27858.239999999998</v>
      </c>
      <c r="F6" s="2832"/>
      <c r="G6" s="2826" t="s">
        <v>1556</v>
      </c>
      <c r="H6" s="1261" t="s">
        <v>1557</v>
      </c>
      <c r="I6" s="2827">
        <f>ROUND(F31/D31,2)</f>
        <v>2.16</v>
      </c>
      <c r="J6" s="2832"/>
      <c r="K6" s="2832"/>
      <c r="L6" s="2832"/>
      <c r="M6" s="2832"/>
      <c r="N6" s="2832"/>
      <c r="O6" s="2832"/>
      <c r="P6" s="2832"/>
    </row>
    <row r="7" spans="1:16" ht="15.75" thickBot="1">
      <c r="A7" s="3308"/>
      <c r="B7" s="3309"/>
      <c r="C7" s="3310"/>
      <c r="D7" s="1777" t="s">
        <v>1551</v>
      </c>
      <c r="E7" s="1781" t="s">
        <v>1558</v>
      </c>
      <c r="F7" s="2832"/>
      <c r="G7" s="2828" t="s">
        <v>1559</v>
      </c>
      <c r="H7" s="2829"/>
      <c r="I7" s="2830"/>
      <c r="J7" s="2832"/>
      <c r="K7" s="2832"/>
      <c r="L7" s="2832"/>
      <c r="M7" s="2832"/>
      <c r="N7" s="2832"/>
      <c r="O7" s="2832"/>
      <c r="P7" s="2832"/>
    </row>
    <row r="8" spans="1:16">
      <c r="A8" s="47" t="s">
        <v>1560</v>
      </c>
      <c r="B8" s="50" t="s">
        <v>1561</v>
      </c>
      <c r="C8" s="48" t="s">
        <v>1562</v>
      </c>
      <c r="D8" s="48">
        <f t="shared" ref="D8:D15" si="0">ROUND($D$3*E8/$E$3,2)</f>
        <v>6904.38</v>
      </c>
      <c r="E8" s="51">
        <f>SUMIF('数据-基础表'!BB10:BK10,"地上",'数据-基础表'!BB5:BK5)</f>
        <v>20397.599999999999</v>
      </c>
      <c r="F8" s="2832"/>
      <c r="G8" s="2833"/>
      <c r="H8" s="2833"/>
      <c r="I8" s="2832"/>
      <c r="J8" s="2832"/>
      <c r="K8" s="2832"/>
      <c r="L8" s="2832"/>
      <c r="M8" s="2832"/>
      <c r="N8" s="2832"/>
      <c r="O8" s="2832"/>
      <c r="P8" s="2832"/>
    </row>
    <row r="9" spans="1:16">
      <c r="A9" s="1782"/>
      <c r="B9" s="1783"/>
      <c r="C9" s="48" t="s">
        <v>1563</v>
      </c>
      <c r="D9" s="48">
        <f t="shared" si="0"/>
        <v>0</v>
      </c>
      <c r="E9" s="52">
        <v>0</v>
      </c>
      <c r="F9" s="2832"/>
      <c r="G9" s="2833"/>
      <c r="H9" s="2833"/>
      <c r="I9" s="2832"/>
      <c r="J9" s="2832"/>
      <c r="K9" s="2832"/>
      <c r="L9" s="2832"/>
      <c r="M9" s="2832"/>
      <c r="N9" s="2832"/>
      <c r="O9" s="2832"/>
      <c r="P9" s="2832"/>
    </row>
    <row r="10" spans="1:16">
      <c r="A10" s="1782"/>
      <c r="B10" s="1783"/>
      <c r="C10" s="48" t="s">
        <v>1572</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1564</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1565</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1566</v>
      </c>
      <c r="D13" s="48">
        <f t="shared" si="0"/>
        <v>2525.35</v>
      </c>
      <c r="E13" s="51">
        <f>SUMPRODUCT(('数据-基础表'!BB10:BK10="地下")*('数据-基础表'!BB11:BK11="车库")*('数据-基础表'!BB5:BK5))</f>
        <v>7460.6399999999994</v>
      </c>
      <c r="F13" s="2832"/>
      <c r="G13" s="2833"/>
      <c r="H13" s="2833"/>
      <c r="I13" s="2832"/>
      <c r="J13" s="2832"/>
      <c r="K13" s="2832"/>
      <c r="L13" s="2832"/>
      <c r="M13" s="2832"/>
      <c r="N13" s="2832"/>
      <c r="O13" s="2832"/>
      <c r="P13" s="2832"/>
    </row>
    <row r="14" spans="1:16">
      <c r="A14" s="1782"/>
      <c r="B14" s="1783"/>
      <c r="C14" s="48" t="s">
        <v>1578</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1573</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1567</v>
      </c>
      <c r="D16" s="50">
        <f>SUM(D8:D15)</f>
        <v>9429.73</v>
      </c>
      <c r="E16" s="53">
        <f>SUM(E8:E15)</f>
        <v>27858.239999999998</v>
      </c>
      <c r="F16" s="2832"/>
      <c r="G16" s="2833"/>
      <c r="H16" s="1784" t="s">
        <v>1579</v>
      </c>
      <c r="I16" s="1785"/>
      <c r="J16" s="1254"/>
      <c r="K16" s="3305" t="s">
        <v>1579</v>
      </c>
      <c r="L16" s="3306"/>
      <c r="M16" s="3306"/>
      <c r="N16" s="3306"/>
      <c r="O16" s="3306"/>
      <c r="P16" s="3307"/>
    </row>
    <row r="17" spans="1:19" ht="15">
      <c r="A17" s="1786" t="s">
        <v>1580</v>
      </c>
      <c r="B17" s="1787" t="s">
        <v>1581</v>
      </c>
      <c r="C17" s="1788" t="s">
        <v>1582</v>
      </c>
      <c r="D17" s="1789" t="s">
        <v>1570</v>
      </c>
      <c r="E17" s="1790" t="s">
        <v>1571</v>
      </c>
      <c r="F17" s="1791"/>
      <c r="G17" s="1792"/>
      <c r="H17" s="1793" t="s">
        <v>1583</v>
      </c>
      <c r="I17" s="1794" t="s">
        <v>1568</v>
      </c>
      <c r="J17" s="1254"/>
      <c r="K17" s="3302" t="s">
        <v>1584</v>
      </c>
      <c r="L17" s="3303"/>
      <c r="M17" s="3304"/>
      <c r="N17" s="3302" t="s">
        <v>1585</v>
      </c>
      <c r="O17" s="3303"/>
      <c r="P17" s="3304"/>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576" t="s">
        <v>3199</v>
      </c>
      <c r="D19" s="48">
        <f>ROUND($D$3*E19/$E$3,2)</f>
        <v>9429.73</v>
      </c>
      <c r="E19" s="56">
        <f t="shared" ref="E19:E26" si="1">SUM(F19:G19)</f>
        <v>27858.239999999998</v>
      </c>
      <c r="F19" s="2972">
        <f>'数据-基础表'!I5</f>
        <v>20397.599999999999</v>
      </c>
      <c r="G19" s="2973">
        <f>'数据-基础表'!K5</f>
        <v>7460.6399999999994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9429.73</v>
      </c>
      <c r="S19" s="1139">
        <f t="shared" si="5"/>
        <v>27858.239999999998</v>
      </c>
    </row>
    <row r="20" spans="1:19">
      <c r="A20" s="1807"/>
      <c r="B20" s="50" t="s">
        <v>1597</v>
      </c>
      <c r="C20" s="3576"/>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9429.73</v>
      </c>
      <c r="E27" s="1256">
        <f>IF(SUM(E19:E26)='数据-基础表'!BA5,SUM(E19:E26),IF(F27="地上面积有误","面积有误","地下面积有误"))</f>
        <v>27858.239999999998</v>
      </c>
      <c r="F27" s="1255">
        <f>IF(SUM(F19:F26)=E8,SUM(F19:F26),"地上面积有误")</f>
        <v>20397.599999999999</v>
      </c>
      <c r="G27" s="1257">
        <f>SUM(G19:G26)</f>
        <v>7460.6399999999994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9429.73</v>
      </c>
      <c r="S27" s="1138">
        <f>IF(SUM(S19:S26)=$E$3,SUM(S19:S26),SUM(S19:S26)&amp;"误差"&amp;ROUND(SUM(S19:S26)-E3,2))</f>
        <v>27858.239999999998</v>
      </c>
    </row>
    <row r="28" spans="1:19">
      <c r="A28" s="1807"/>
      <c r="B28" s="50" t="s">
        <v>1599</v>
      </c>
      <c r="C28" s="1150" t="s">
        <v>1600</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1599</v>
      </c>
      <c r="C29" s="1811" t="s">
        <v>1601</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1598</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1602</v>
      </c>
      <c r="D31" s="685">
        <f>D27+D30</f>
        <v>9429.73</v>
      </c>
      <c r="E31" s="685">
        <f>E27+E30</f>
        <v>27858.239999999998</v>
      </c>
      <c r="F31" s="686">
        <f>F27+F30</f>
        <v>20397.599999999999</v>
      </c>
      <c r="G31" s="687">
        <f>G27+G30</f>
        <v>7460.6399999999994</v>
      </c>
      <c r="H31" s="2832"/>
      <c r="I31" s="2832"/>
      <c r="J31" s="2832"/>
      <c r="K31" s="2832"/>
      <c r="L31" s="2832"/>
      <c r="M31" s="2832"/>
      <c r="N31" s="2832"/>
      <c r="O31" s="2832"/>
      <c r="P31" s="2832"/>
    </row>
    <row r="32" spans="1:19">
      <c r="A32" s="1779"/>
      <c r="B32" s="1779" t="s">
        <v>1603</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39" activePane="bottomRight" state="frozen"/>
      <selection activeCell="C50" sqref="C50"/>
      <selection pane="topRight" activeCell="C50" sqref="C50"/>
      <selection pane="bottomLeft" activeCell="C50" sqref="C50"/>
      <selection pane="bottomRight" activeCell="AB6" sqref="AB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3.625" style="1819" customWidth="1"/>
    <col min="22" max="22" width="6.375" style="1819" customWidth="1"/>
    <col min="23" max="23" width="6.75" style="1819" customWidth="1"/>
    <col min="24" max="24" width="9.375" style="1819" customWidth="1"/>
    <col min="25"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75" thickBot="1">
      <c r="A2" s="1820" t="s">
        <v>1605</v>
      </c>
      <c r="B2" s="1157">
        <f>项目基本情况!D3</f>
        <v>44700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1"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3200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工业用房</v>
      </c>
      <c r="B6" s="1850" t="str">
        <f>IF(A6=0,"","经营性")</f>
        <v>经营性</v>
      </c>
      <c r="C6" s="1851" t="s">
        <v>6</v>
      </c>
      <c r="D6" s="948">
        <f>SUMIF(项目基本情况!D$12:I$12,C6,项目基本情况!D$14:I$14)</f>
        <v>50</v>
      </c>
      <c r="E6" s="947">
        <f>IF(B6="","",SUMIF(项目基本情况!D$12:I$12,C6,项目基本情况!D$13:I$13))</f>
        <v>56927</v>
      </c>
      <c r="F6" s="68">
        <f>SUMIF(项目基本情况!D$12:I$12,C6,项目基本情况!D$15:I$15)</f>
        <v>33.49</v>
      </c>
      <c r="G6" s="69">
        <f>IF(ISERROR(ROUND(POWER(1+H6,D6-F6)*(POWER(1+H6,F6)-1)/(POWER(1+H6,D6)-1),3)),0,ROUND(POWER(1+H6,D6-F6)*(POWER(1+H6,F6)-1)/(POWER(1+H6,D6)-1),3))</f>
        <v>0.86699999999999999</v>
      </c>
      <c r="H6" s="741">
        <v>4.4999999999999998E-2</v>
      </c>
      <c r="I6" s="741">
        <v>0.05</v>
      </c>
      <c r="J6" s="70">
        <v>0.08</v>
      </c>
      <c r="K6" s="1142">
        <f>SUMIF('数据-汇总表'!C$19:C$33,A6,'数据-汇总表'!E$19:E$33)</f>
        <v>27858.239999999998</v>
      </c>
      <c r="L6" s="742">
        <v>3500</v>
      </c>
      <c r="M6" s="71">
        <f t="shared" ref="M6:M14" si="0">ROUND(K6*L6/10000,0)</f>
        <v>9750</v>
      </c>
      <c r="N6" s="740">
        <f>ROUND((N20+N21)/2,2)</f>
        <v>0.74</v>
      </c>
      <c r="O6" s="71" t="str">
        <f>IF($N$5="成新度","——",ROUND(M6*N6,0))</f>
        <v>——</v>
      </c>
      <c r="P6" s="72" t="str">
        <f>IF($N$5="成新度","——",M6-O6)</f>
        <v>——</v>
      </c>
      <c r="Q6" s="743">
        <v>0.1</v>
      </c>
      <c r="R6" s="73">
        <f ca="1">SUMIF('数据-汇总表'!C$19:C$33,A6,'数据-汇总表'!R$19:R$27)</f>
        <v>9429.73</v>
      </c>
      <c r="S6" s="54">
        <f>IF('数据-汇总表'!$I$17="按面积比例",SUMIF('数据-汇总表'!C$19:C$33,A6,'数据-汇总表'!K$19:K$33),SUMIF('数据-汇总表'!C$19:C$33,A6,'数据-汇总表'!N$19:N$33))</f>
        <v>0</v>
      </c>
      <c r="T6" s="1287">
        <f>ROUND($L$14*S6/10000,0)</f>
        <v>0</v>
      </c>
      <c r="U6" s="74">
        <v>20000000</v>
      </c>
      <c r="V6" s="75">
        <v>0.02</v>
      </c>
      <c r="W6" s="75">
        <v>0.05</v>
      </c>
      <c r="X6" s="1152"/>
      <c r="Y6" s="76">
        <f>N6</f>
        <v>0.74</v>
      </c>
      <c r="Z6" s="77"/>
      <c r="AA6" s="70"/>
      <c r="AB6" s="70"/>
      <c r="AC6" s="1152"/>
      <c r="AD6" s="78"/>
      <c r="AE6" s="1153">
        <f ca="1">IF(AN6="",0,SUMIF(INDIRECT("'"&amp;AN6&amp;"'"&amp;"!E:E"),$AE$5,INDIRECT("'"&amp;AN6&amp;"'"&amp;"!F:F")))</f>
        <v>33.49</v>
      </c>
      <c r="AF6" s="1483"/>
      <c r="AG6" s="143">
        <f>IF(AF6="",0,AE6-AF6)</f>
        <v>0</v>
      </c>
      <c r="AH6" s="79">
        <v>1</v>
      </c>
      <c r="AI6" s="81">
        <v>1</v>
      </c>
      <c r="AJ6" s="82"/>
      <c r="AK6" s="83">
        <v>0.01</v>
      </c>
      <c r="AL6" s="84">
        <v>1.5E-3</v>
      </c>
      <c r="AM6" s="85">
        <v>0.01</v>
      </c>
      <c r="AN6" s="1852" t="s">
        <v>3203</v>
      </c>
      <c r="AO6" s="55">
        <f ca="1">SUMIF(INDIRECT("'"&amp;AN6&amp;"'"&amp;"!A:A"),"总价",INDIRECT("'"&amp;AN6&amp;"'"&amp;"!B:B"))</f>
        <v>29052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0.86699999999999999</v>
      </c>
      <c r="H16" s="95">
        <f>ROUND(SUMPRODUCT(H6:H13,K6:K13)/SUMPRODUCT((H6:H13&gt;0)*(K6:K13)),3)</f>
        <v>4.4999999999999998E-2</v>
      </c>
      <c r="I16" s="96"/>
      <c r="J16" s="96"/>
      <c r="K16" s="97">
        <f>SUM(K6:K15)</f>
        <v>27858.239999999998</v>
      </c>
      <c r="L16" s="98">
        <f>ROUND(M16*10000/SUM(K6:K14),0)</f>
        <v>3500</v>
      </c>
      <c r="M16" s="98">
        <f>SUM(M6:M14)</f>
        <v>9750</v>
      </c>
      <c r="N16" s="99">
        <f>ROUND(SUMPRODUCT(M6:M14,N6:N14)/M16,3)</f>
        <v>0.74</v>
      </c>
      <c r="O16" s="98">
        <f>SUM(O6:O14)</f>
        <v>0</v>
      </c>
      <c r="P16" s="98">
        <f>SUM(P6:P14)</f>
        <v>0</v>
      </c>
      <c r="Q16" s="100">
        <f>ROUND(SUMPRODUCT(Q6:Q13,K6:K13)/SUMPRODUCT((Q6:Q13&gt;0)*(K6:K13)),2)</f>
        <v>0.1</v>
      </c>
      <c r="R16" s="1146">
        <f ca="1">SUM(R6:R13)</f>
        <v>9429.73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9" t="s">
        <v>1655</v>
      </c>
      <c r="B19" s="108">
        <v>0</v>
      </c>
      <c r="C19" s="2976" t="s">
        <v>2799</v>
      </c>
      <c r="D19" s="2851"/>
      <c r="E19" s="2848"/>
      <c r="F19" s="2848"/>
      <c r="G19" s="2848"/>
      <c r="H19" s="2848"/>
      <c r="I19" s="2848"/>
      <c r="J19" s="2848"/>
      <c r="K19" s="2847"/>
      <c r="L19" s="2847"/>
      <c r="M19" s="3577" t="s">
        <v>3201</v>
      </c>
      <c r="N19" s="2846">
        <v>2003</v>
      </c>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60" t="s">
        <v>1656</v>
      </c>
      <c r="B20" s="109">
        <v>1.5</v>
      </c>
      <c r="C20" s="2977" t="s">
        <v>2797</v>
      </c>
      <c r="D20" s="2851"/>
      <c r="E20" s="2848"/>
      <c r="F20" s="2848"/>
      <c r="G20" s="2848"/>
      <c r="H20" s="2848"/>
      <c r="I20" s="2848"/>
      <c r="J20" s="2848"/>
      <c r="K20" s="2847"/>
      <c r="L20" s="2847"/>
      <c r="M20" s="3577" t="s">
        <v>3202</v>
      </c>
      <c r="N20" s="2846">
        <f>ROUND(1-(1-0%)*(2022-N19)/60,2)</f>
        <v>0.68</v>
      </c>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61" t="s">
        <v>1657</v>
      </c>
      <c r="B21" s="109">
        <v>1.5</v>
      </c>
      <c r="C21" s="2848"/>
      <c r="D21" s="2851"/>
      <c r="E21" s="2848"/>
      <c r="F21" s="2848"/>
      <c r="G21" s="2848"/>
      <c r="H21" s="2848"/>
      <c r="I21" s="2848"/>
      <c r="J21" s="2848"/>
      <c r="K21" s="2847"/>
      <c r="L21" s="2847"/>
      <c r="M21" s="3577" t="s">
        <v>3224</v>
      </c>
      <c r="N21" s="3583">
        <v>0.8</v>
      </c>
      <c r="O21" s="2846"/>
      <c r="P21" s="2846"/>
      <c r="Q21" s="2846"/>
      <c r="R21" s="2846"/>
      <c r="S21" s="2846"/>
      <c r="T21" s="2846"/>
      <c r="U21" s="2846"/>
      <c r="V21" s="3577" t="s">
        <v>3227</v>
      </c>
      <c r="W21" s="3577" t="s">
        <v>3228</v>
      </c>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60" t="s">
        <v>1658</v>
      </c>
      <c r="B22" s="110">
        <f>B19+B20</f>
        <v>1.5</v>
      </c>
      <c r="C22" s="2848"/>
      <c r="D22" s="2851"/>
      <c r="E22" s="2848"/>
      <c r="F22" s="2848"/>
      <c r="G22" s="2848"/>
      <c r="H22" s="2848"/>
      <c r="I22" s="2848"/>
      <c r="J22" s="2848"/>
      <c r="K22" s="2847"/>
      <c r="L22" s="2847"/>
      <c r="M22" s="2846"/>
      <c r="N22" s="2846"/>
      <c r="O22" s="2846"/>
      <c r="P22" s="2846"/>
      <c r="Q22" s="2846"/>
      <c r="R22" s="2846"/>
      <c r="S22" s="2846"/>
      <c r="T22" s="2846"/>
      <c r="U22" s="3577" t="s">
        <v>3225</v>
      </c>
      <c r="V22" s="2846">
        <f>'数据-汇总表'!F19</f>
        <v>20397.599999999999</v>
      </c>
      <c r="W22" s="2846">
        <f>ROUND(X22/V22/365,1)</f>
        <v>2.2000000000000002</v>
      </c>
      <c r="X22" s="2846">
        <f>U6-X23</f>
        <v>16459926</v>
      </c>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61" t="s">
        <v>1659</v>
      </c>
      <c r="B23" s="110">
        <f>B19+B21</f>
        <v>1.5</v>
      </c>
      <c r="C23" s="2848"/>
      <c r="D23" s="2851"/>
      <c r="E23" s="2848"/>
      <c r="F23" s="2848"/>
      <c r="G23" s="2848"/>
      <c r="H23" s="2848"/>
      <c r="I23" s="2848"/>
      <c r="J23" s="2848"/>
      <c r="K23" s="2847"/>
      <c r="L23" s="2847"/>
      <c r="M23" s="2846"/>
      <c r="N23" s="2846"/>
      <c r="O23" s="2846"/>
      <c r="P23" s="2846"/>
      <c r="Q23" s="2846"/>
      <c r="R23" s="2846"/>
      <c r="S23" s="2846"/>
      <c r="T23" s="2846"/>
      <c r="U23" s="3577" t="s">
        <v>3226</v>
      </c>
      <c r="V23" s="2846">
        <f>'数据-汇总表'!G19</f>
        <v>7460.6399999999994</v>
      </c>
      <c r="W23" s="2846">
        <v>1.3</v>
      </c>
      <c r="X23" s="2846">
        <f>ROUND(V23*W23*365,0)</f>
        <v>3540074</v>
      </c>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7.75">
      <c r="A27" s="1864" t="s">
        <v>1664</v>
      </c>
      <c r="B27" s="112">
        <v>160</v>
      </c>
      <c r="C27" s="2978" t="s">
        <v>2801</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557</v>
      </c>
      <c r="C29" s="2979" t="s">
        <v>2788</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180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180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0" t="s">
        <v>2789</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0" t="s">
        <v>2790</v>
      </c>
      <c r="D34" s="2859" t="s">
        <v>2798</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f>B30</f>
        <v>180</v>
      </c>
      <c r="C35" s="2980" t="s">
        <v>2791</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0" t="s">
        <v>2792</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8" t="s">
        <v>1674</v>
      </c>
      <c r="B37" s="120">
        <v>0.02</v>
      </c>
      <c r="C37" s="2980" t="s">
        <v>2793</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6" t="s">
        <v>1675</v>
      </c>
      <c r="B38" s="118">
        <v>0.02</v>
      </c>
      <c r="C38" s="2980" t="s">
        <v>2793</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3204</v>
      </c>
      <c r="B40" s="1191">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4" t="s">
        <v>1677</v>
      </c>
      <c r="B41" s="121">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70" t="s">
        <v>1679</v>
      </c>
      <c r="B43" s="123">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71" t="s">
        <v>1680</v>
      </c>
      <c r="B44" s="124">
        <v>7.0000000000000007E-2</v>
      </c>
      <c r="C44" s="2980" t="s">
        <v>2802</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71" t="s">
        <v>1681</v>
      </c>
      <c r="B45" s="122">
        <v>0.03</v>
      </c>
      <c r="C45" s="2979" t="s">
        <v>2794</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71" t="s">
        <v>1682</v>
      </c>
      <c r="B46" s="122">
        <v>0.02</v>
      </c>
      <c r="C46" s="2979" t="s">
        <v>2795</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2" t="s">
        <v>1683</v>
      </c>
      <c r="B47" s="125">
        <v>0</v>
      </c>
      <c r="C47" s="2982" t="s">
        <v>2803</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3" t="s">
        <v>1684</v>
      </c>
      <c r="B48" s="126">
        <v>0.03</v>
      </c>
      <c r="C48" s="2979" t="s">
        <v>2794</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9" t="s">
        <v>1685</v>
      </c>
      <c r="B49" s="122">
        <v>5.0000000000000001E-4</v>
      </c>
      <c r="C49" s="2979" t="s">
        <v>2796</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4" t="s">
        <v>1686</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4" t="s">
        <v>1688</v>
      </c>
      <c r="B52" s="129">
        <f>SUMIF(A54:A63,B53,B54:B63)</f>
        <v>12</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6" t="s">
        <v>1689</v>
      </c>
      <c r="B53" s="1875" t="s">
        <v>137</v>
      </c>
      <c r="C53" s="2834" t="s">
        <v>1690</v>
      </c>
      <c r="D53" s="2981" t="s">
        <v>2800</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6" t="s">
        <v>1691</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6" t="s">
        <v>1692</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6" t="s">
        <v>1693</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6" t="s">
        <v>1694</v>
      </c>
      <c r="B57" s="3578">
        <v>12</v>
      </c>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6" t="s">
        <v>1695</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6" t="s">
        <v>1696</v>
      </c>
      <c r="B59" s="80"/>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1" customFormat="1" ht="18.75" thickBot="1">
      <c r="A1" s="3317" t="s">
        <v>2780</v>
      </c>
      <c r="B1" s="3318"/>
      <c r="C1" s="3318"/>
      <c r="D1" s="3318"/>
      <c r="E1" s="3318"/>
      <c r="F1" s="3318"/>
      <c r="G1" s="331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2777</v>
      </c>
      <c r="D2" s="2635"/>
      <c r="E2" s="2632"/>
      <c r="F2" s="2636"/>
      <c r="G2" s="2634" t="s">
        <v>2778</v>
      </c>
      <c r="H2" s="888"/>
      <c r="I2" s="888"/>
      <c r="J2" s="888"/>
      <c r="K2" s="888"/>
      <c r="L2" s="888"/>
      <c r="M2" s="888"/>
      <c r="N2" s="888"/>
      <c r="O2" s="888"/>
      <c r="P2" s="888"/>
      <c r="Q2" s="888"/>
      <c r="R2" s="888"/>
    </row>
    <row r="3" spans="1:29" ht="24">
      <c r="A3" s="2615" t="s">
        <v>2779</v>
      </c>
      <c r="B3" s="2637" t="s">
        <v>2750</v>
      </c>
      <c r="C3" s="2638"/>
      <c r="D3" s="2639"/>
      <c r="E3" s="2616" t="s">
        <v>2779</v>
      </c>
      <c r="F3" s="2640" t="s">
        <v>2751</v>
      </c>
      <c r="G3" s="3579" t="s">
        <v>3205</v>
      </c>
      <c r="H3" s="888"/>
      <c r="I3" s="888"/>
      <c r="J3" s="888"/>
      <c r="K3" s="888"/>
      <c r="L3" s="888"/>
      <c r="M3" s="888"/>
      <c r="N3" s="888"/>
      <c r="O3" s="888"/>
      <c r="P3" s="888"/>
      <c r="Q3" s="888"/>
      <c r="R3" s="888"/>
    </row>
    <row r="4" spans="1:29">
      <c r="A4" s="2616"/>
      <c r="B4" s="329" t="s">
        <v>2752</v>
      </c>
      <c r="C4" s="2641"/>
      <c r="D4" s="2639"/>
      <c r="E4" s="2642"/>
      <c r="F4" s="1508" t="s">
        <v>2753</v>
      </c>
      <c r="G4" s="3580" t="s">
        <v>3206</v>
      </c>
      <c r="H4" s="888"/>
      <c r="I4" s="888"/>
      <c r="J4" s="888"/>
      <c r="K4" s="888"/>
      <c r="L4" s="888"/>
      <c r="M4" s="888"/>
      <c r="N4" s="888"/>
      <c r="O4" s="888"/>
      <c r="P4" s="888"/>
      <c r="Q4" s="888"/>
      <c r="R4" s="888"/>
    </row>
    <row r="5" spans="1:29" ht="36.75">
      <c r="A5" s="2616"/>
      <c r="B5" s="329" t="s">
        <v>2755</v>
      </c>
      <c r="C5" s="2641" t="s">
        <v>2756</v>
      </c>
      <c r="D5" s="2639"/>
      <c r="E5" s="2642"/>
      <c r="F5" s="329" t="s">
        <v>2757</v>
      </c>
      <c r="G5" s="3580" t="s">
        <v>3207</v>
      </c>
      <c r="H5" s="888"/>
      <c r="I5" s="888"/>
      <c r="J5" s="888"/>
      <c r="K5" s="888"/>
      <c r="L5" s="888"/>
      <c r="M5" s="888"/>
      <c r="N5" s="888"/>
      <c r="O5" s="888"/>
      <c r="P5" s="888"/>
      <c r="Q5" s="888"/>
      <c r="R5" s="888"/>
    </row>
    <row r="6" spans="1:29" ht="36">
      <c r="A6" s="2616"/>
      <c r="B6" s="329" t="s">
        <v>2759</v>
      </c>
      <c r="C6" s="2643" t="s">
        <v>2754</v>
      </c>
      <c r="D6" s="2639"/>
      <c r="E6" s="2642"/>
      <c r="F6" s="329" t="s">
        <v>2760</v>
      </c>
      <c r="G6" s="3580" t="s">
        <v>3208</v>
      </c>
      <c r="H6" s="888"/>
      <c r="I6" s="888"/>
      <c r="J6" s="888"/>
      <c r="K6" s="888"/>
      <c r="L6" s="888"/>
      <c r="M6" s="888"/>
      <c r="N6" s="888"/>
      <c r="O6" s="888"/>
      <c r="P6" s="888"/>
      <c r="Q6" s="888"/>
      <c r="R6" s="888"/>
    </row>
    <row r="7" spans="1:29" ht="24.75" thickBot="1">
      <c r="A7" s="2616"/>
      <c r="B7" s="329" t="s">
        <v>2757</v>
      </c>
      <c r="C7" s="2643" t="s">
        <v>2758</v>
      </c>
      <c r="D7" s="2644"/>
      <c r="E7" s="2645"/>
      <c r="F7" s="2646" t="s">
        <v>2762</v>
      </c>
      <c r="G7" s="3581" t="s">
        <v>3209</v>
      </c>
      <c r="H7" s="888"/>
      <c r="I7" s="888"/>
      <c r="J7" s="888"/>
      <c r="K7" s="888"/>
      <c r="L7" s="888"/>
      <c r="M7" s="888"/>
      <c r="N7" s="888"/>
      <c r="O7" s="888"/>
      <c r="P7" s="888"/>
      <c r="Q7" s="888"/>
      <c r="R7" s="888"/>
    </row>
    <row r="8" spans="1:29">
      <c r="A8" s="2616"/>
      <c r="B8" s="329" t="s">
        <v>2760</v>
      </c>
      <c r="C8" s="2643" t="s">
        <v>2761</v>
      </c>
      <c r="D8" s="2644"/>
      <c r="E8" s="2644"/>
      <c r="F8" s="2647"/>
      <c r="G8" s="2647"/>
      <c r="H8" s="888"/>
      <c r="I8" s="888"/>
      <c r="J8" s="888"/>
      <c r="K8" s="888"/>
      <c r="L8" s="888"/>
      <c r="M8" s="888"/>
      <c r="N8" s="888"/>
      <c r="O8" s="888"/>
      <c r="P8" s="888"/>
      <c r="Q8" s="888"/>
      <c r="R8" s="888"/>
    </row>
    <row r="9" spans="1:29" ht="24">
      <c r="A9" s="2616"/>
      <c r="B9" s="329" t="s">
        <v>2763</v>
      </c>
      <c r="C9" s="2641" t="s">
        <v>2764</v>
      </c>
      <c r="D9" s="2639"/>
      <c r="E9" s="2644"/>
      <c r="F9" s="2647"/>
      <c r="G9" s="2647"/>
      <c r="H9" s="888"/>
      <c r="I9" s="888"/>
      <c r="J9" s="888"/>
      <c r="K9" s="888"/>
      <c r="L9" s="888"/>
      <c r="M9" s="888"/>
      <c r="N9" s="888"/>
      <c r="O9" s="888"/>
      <c r="P9" s="888"/>
      <c r="Q9" s="888"/>
      <c r="R9" s="888"/>
    </row>
    <row r="10" spans="1:29" s="2653" customFormat="1" ht="15" thickBot="1">
      <c r="A10" s="2617"/>
      <c r="B10" s="2648" t="s">
        <v>2765</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2781</v>
      </c>
      <c r="B13" s="2656"/>
      <c r="C13" s="2656"/>
      <c r="D13" s="2654"/>
      <c r="E13" s="2656"/>
      <c r="F13" s="2656"/>
      <c r="G13" s="2656"/>
    </row>
    <row r="14" spans="1:29" ht="15" thickBot="1">
      <c r="A14" s="2666"/>
      <c r="B14" s="2666"/>
      <c r="C14" s="2667" t="s">
        <v>2766</v>
      </c>
      <c r="D14" s="2639"/>
      <c r="E14" s="2668"/>
      <c r="F14" s="2668"/>
      <c r="G14" s="2634" t="s">
        <v>2767</v>
      </c>
    </row>
    <row r="15" spans="1:29" ht="51">
      <c r="A15" s="2618" t="s">
        <v>2768</v>
      </c>
      <c r="B15" s="2669" t="s">
        <v>2750</v>
      </c>
      <c r="C15" s="2670">
        <f>C3</f>
        <v>0</v>
      </c>
      <c r="D15" s="2639"/>
      <c r="E15" s="2619" t="s">
        <v>2769</v>
      </c>
      <c r="F15" s="2669" t="s">
        <v>2770</v>
      </c>
      <c r="G15" s="2671" t="str">
        <f>G3</f>
        <v>较好</v>
      </c>
    </row>
    <row r="16" spans="1:29" ht="38.25">
      <c r="A16" s="2620"/>
      <c r="B16" s="2672" t="s">
        <v>2752</v>
      </c>
      <c r="C16" s="2673">
        <f>C4</f>
        <v>0</v>
      </c>
      <c r="D16" s="2639"/>
      <c r="E16" s="2621"/>
      <c r="F16" s="2674" t="s">
        <v>2753</v>
      </c>
      <c r="G16" s="2675" t="str">
        <f>G4</f>
        <v>较好</v>
      </c>
    </row>
    <row r="17" spans="1:18" ht="38.25">
      <c r="A17" s="2620"/>
      <c r="B17" s="2672" t="s">
        <v>2755</v>
      </c>
      <c r="C17" s="2673" t="str">
        <f>C5</f>
        <v>估价对象位于XX商圈，周边办公楼项目较多，入驻率高，办公集聚程度较好</v>
      </c>
      <c r="D17" s="2644"/>
      <c r="E17" s="2621"/>
      <c r="F17" s="2674" t="s">
        <v>2771</v>
      </c>
      <c r="G17" s="2676"/>
    </row>
    <row r="18" spans="1:18" ht="38.25">
      <c r="A18" s="2620"/>
      <c r="B18" s="2674" t="s">
        <v>2759</v>
      </c>
      <c r="C18" s="2675" t="str">
        <f>C6</f>
        <v>估价对象周边道路状况、公共交通通达情况、停车便捷程度，综合评价交通便捷度较好</v>
      </c>
      <c r="D18" s="2644"/>
      <c r="E18" s="2621"/>
      <c r="F18" s="2674" t="s">
        <v>2762</v>
      </c>
      <c r="G18" s="2675" t="str">
        <f>G7</f>
        <v>较好</v>
      </c>
    </row>
    <row r="19" spans="1:18" ht="25.5">
      <c r="A19" s="2620"/>
      <c r="B19" s="2674" t="s">
        <v>2772</v>
      </c>
      <c r="C19" s="2676"/>
      <c r="D19" s="2639"/>
      <c r="E19" s="2621"/>
      <c r="F19" s="329" t="s">
        <v>2757</v>
      </c>
      <c r="G19" s="2675" t="str">
        <f>G5</f>
        <v>较好</v>
      </c>
    </row>
    <row r="20" spans="1:18" ht="25.5">
      <c r="A20" s="2620"/>
      <c r="B20" s="2674" t="s">
        <v>2773</v>
      </c>
      <c r="C20" s="2673" t="str">
        <f>C9</f>
        <v>区域自然环境：；人文环境；综合评价环境状况一般</v>
      </c>
      <c r="D20" s="2644"/>
      <c r="E20" s="2621"/>
      <c r="F20" s="329" t="s">
        <v>2760</v>
      </c>
      <c r="G20" s="2675" t="str">
        <f>G6</f>
        <v>七通</v>
      </c>
    </row>
    <row r="21" spans="1:18" ht="25.5">
      <c r="A21" s="2620"/>
      <c r="B21" s="329" t="s">
        <v>2757</v>
      </c>
      <c r="C21" s="2675" t="str">
        <f>C7</f>
        <v>估价对象所在区域公共配套设施齐备情况</v>
      </c>
      <c r="D21" s="2639"/>
      <c r="E21" s="2621"/>
      <c r="F21" s="2674" t="s">
        <v>2774</v>
      </c>
      <c r="G21" s="2677"/>
    </row>
    <row r="22" spans="1:18" ht="13.5" customHeight="1">
      <c r="A22" s="2620"/>
      <c r="B22" s="329" t="s">
        <v>2760</v>
      </c>
      <c r="C22" s="2675" t="str">
        <f>C8</f>
        <v>估价对象所在区域基础设施水平</v>
      </c>
      <c r="D22" s="2639"/>
      <c r="E22" s="2621"/>
      <c r="F22" s="2674" t="s">
        <v>2765</v>
      </c>
      <c r="G22" s="2676"/>
    </row>
    <row r="23" spans="1:18" s="888" customFormat="1" ht="15" thickBot="1">
      <c r="A23" s="2620"/>
      <c r="B23" s="2674" t="s">
        <v>2774</v>
      </c>
      <c r="C23" s="2677"/>
      <c r="D23" s="1878"/>
      <c r="E23" s="2622"/>
      <c r="F23" s="2678" t="s">
        <v>2775</v>
      </c>
      <c r="G23" s="2679"/>
      <c r="H23" s="2663"/>
      <c r="I23" s="2664"/>
      <c r="J23" s="2663"/>
      <c r="K23" s="2663"/>
      <c r="L23" s="2664"/>
      <c r="M23" s="2663"/>
      <c r="N23" s="2663"/>
      <c r="O23" s="2664"/>
      <c r="P23" s="2663"/>
      <c r="Q23" s="2663"/>
      <c r="R23" s="2665"/>
    </row>
    <row r="24" spans="1:18" s="888" customFormat="1" ht="15" thickBot="1">
      <c r="A24" s="2623"/>
      <c r="B24" s="2678" t="s">
        <v>2776</v>
      </c>
      <c r="C24" s="2680">
        <f>C10</f>
        <v>0</v>
      </c>
      <c r="D24" s="1878"/>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27858.239999999998</v>
      </c>
      <c r="C1" s="2861"/>
      <c r="D1" s="2861"/>
      <c r="E1" s="2861"/>
      <c r="F1" s="2861"/>
      <c r="G1" s="2862"/>
      <c r="H1" s="2863"/>
      <c r="I1" s="2863"/>
      <c r="J1" s="2863"/>
      <c r="K1" s="2863"/>
    </row>
    <row r="2" spans="1:11" ht="16.5">
      <c r="A2" s="2684" t="s">
        <v>1078</v>
      </c>
      <c r="B2" s="2684">
        <f>SUM(C14:C23)</f>
        <v>9429.73</v>
      </c>
      <c r="C2" s="2861"/>
      <c r="D2" s="2861"/>
      <c r="E2" s="2861"/>
      <c r="F2" s="2861"/>
      <c r="G2" s="2862"/>
      <c r="H2" s="2863"/>
      <c r="I2" s="2863"/>
      <c r="J2" s="2863"/>
      <c r="K2" s="2863"/>
    </row>
    <row r="3" spans="1:11" ht="16.5">
      <c r="A3" s="2684" t="s">
        <v>1087</v>
      </c>
      <c r="B3" s="2686">
        <f>项目基本情况!D3</f>
        <v>44700</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30705</v>
      </c>
      <c r="C5" s="2684">
        <f ca="1">ROUND(B5*10000/$B$1,0)</f>
        <v>11022</v>
      </c>
      <c r="D5" s="2684">
        <f ca="1">ROUND(B5*10000/$B$2,0)</f>
        <v>32562</v>
      </c>
      <c r="E5" s="2861"/>
      <c r="F5" s="2862"/>
      <c r="G5" s="2862"/>
      <c r="H5" s="2863"/>
      <c r="I5" s="2863"/>
      <c r="J5" s="2863"/>
      <c r="K5" s="2863"/>
    </row>
    <row r="6" spans="1:11" ht="16.5">
      <c r="A6" s="2684" t="s">
        <v>1081</v>
      </c>
      <c r="B6" s="2684">
        <f ca="1">SUM(G14:G23)</f>
        <v>30705</v>
      </c>
      <c r="C6" s="2684">
        <f ca="1">ROUND(B6*10000/$B$1,0)</f>
        <v>11022</v>
      </c>
      <c r="D6" s="2684">
        <f ca="1">ROUND(B6*10000/$B$2,0)</f>
        <v>32562</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27858.239999999998</v>
      </c>
      <c r="C14" s="2690">
        <f>结果表!C118</f>
        <v>9429.73</v>
      </c>
      <c r="D14" s="2690">
        <f ca="1">结果表!H118</f>
        <v>30705</v>
      </c>
      <c r="E14" s="2690">
        <f ca="1">ROUND(D14*10000/B14,0)</f>
        <v>11022</v>
      </c>
      <c r="F14" s="2690">
        <f ca="1">ROUND(D14*10000/C14,0)</f>
        <v>32562</v>
      </c>
      <c r="G14" s="2690">
        <f ca="1">结果表!D122</f>
        <v>30705</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2"/>
      <c r="H15" s="1452"/>
      <c r="I15" s="2691"/>
      <c r="J15" s="2862"/>
      <c r="K15" s="2863"/>
    </row>
    <row r="16" spans="1:11" ht="16.5">
      <c r="A16" s="2689" t="s">
        <v>1073</v>
      </c>
      <c r="B16" s="2691"/>
      <c r="C16" s="2691"/>
      <c r="D16" s="2691"/>
      <c r="E16" s="2690" t="e">
        <f t="shared" si="0"/>
        <v>#DIV/0!</v>
      </c>
      <c r="F16" s="2690" t="e">
        <f t="shared" si="1"/>
        <v>#DIV/0!</v>
      </c>
      <c r="G16" s="1452"/>
      <c r="H16" s="1452"/>
      <c r="I16" s="2691"/>
      <c r="J16" s="2863"/>
      <c r="K16" s="2863"/>
    </row>
    <row r="17" spans="1:11" ht="16.5">
      <c r="A17" s="2689" t="s">
        <v>1072</v>
      </c>
      <c r="B17" s="2691"/>
      <c r="C17" s="2691"/>
      <c r="D17" s="2691"/>
      <c r="E17" s="2690" t="e">
        <f t="shared" si="0"/>
        <v>#DIV/0!</v>
      </c>
      <c r="F17" s="2690" t="e">
        <f t="shared" si="1"/>
        <v>#DIV/0!</v>
      </c>
      <c r="G17" s="1452"/>
      <c r="H17" s="1452"/>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4" sqref="H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3198</v>
      </c>
      <c r="D1" s="1884"/>
      <c r="E1" s="1884"/>
      <c r="F1" s="1886" t="s">
        <v>1707</v>
      </c>
      <c r="G1" s="1697" t="s">
        <v>3191</v>
      </c>
      <c r="H1" s="1887" t="str">
        <f>IF(G1="现房","——","估价对象范围")</f>
        <v>——</v>
      </c>
      <c r="I1" s="1888" t="s">
        <v>3215</v>
      </c>
    </row>
    <row r="2" spans="1:12" ht="21.75" customHeight="1" thickBot="1">
      <c r="A2" s="3389" t="str">
        <f>项目基本情况!S2</f>
        <v>北京市海淀区开拓路5号房地产</v>
      </c>
      <c r="B2" s="3390"/>
      <c r="C2" s="3390"/>
      <c r="D2" s="3390"/>
      <c r="E2" s="3390"/>
      <c r="F2" s="3390"/>
      <c r="G2" s="3390"/>
      <c r="H2" s="3390"/>
      <c r="I2" s="3391"/>
    </row>
    <row r="3" spans="1:12" ht="12.75">
      <c r="A3" s="3393" t="s">
        <v>1708</v>
      </c>
      <c r="B3" s="3394"/>
      <c r="C3" s="3394"/>
      <c r="D3" s="3394"/>
      <c r="E3" s="3394"/>
      <c r="F3" s="3394"/>
      <c r="G3" s="3394"/>
      <c r="H3" s="3394"/>
      <c r="I3" s="3394"/>
    </row>
    <row r="4" spans="1:12" ht="14.25">
      <c r="A4" s="1891" t="s">
        <v>1709</v>
      </c>
      <c r="B4" s="1892" t="s">
        <v>1710</v>
      </c>
      <c r="C4" s="1893" t="s">
        <v>3214</v>
      </c>
      <c r="D4" s="1893" t="s">
        <v>3203</v>
      </c>
      <c r="E4" s="3398" t="s">
        <v>1711</v>
      </c>
      <c r="F4" s="3399"/>
      <c r="G4" s="3399"/>
      <c r="H4" s="3399"/>
      <c r="I4" s="340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4" t="s">
        <v>1712</v>
      </c>
      <c r="B5" s="3392">
        <v>25</v>
      </c>
      <c r="C5" s="3395"/>
      <c r="D5" s="3383"/>
      <c r="E5" s="136" t="s">
        <v>1713</v>
      </c>
      <c r="F5" s="1894"/>
      <c r="G5" s="1894"/>
      <c r="H5" s="1894"/>
      <c r="I5" s="1508"/>
    </row>
    <row r="6" spans="1:12" ht="12.75">
      <c r="A6" s="3334"/>
      <c r="B6" s="3392"/>
      <c r="C6" s="3397"/>
      <c r="D6" s="3383"/>
      <c r="E6" s="136" t="s">
        <v>1714</v>
      </c>
      <c r="F6" s="1894"/>
      <c r="G6" s="1894"/>
      <c r="H6" s="1894"/>
      <c r="I6" s="1508"/>
    </row>
    <row r="7" spans="1:12" ht="12.75">
      <c r="A7" s="3334"/>
      <c r="B7" s="3392"/>
      <c r="C7" s="3396"/>
      <c r="D7" s="3383"/>
      <c r="E7" s="136" t="s">
        <v>1715</v>
      </c>
      <c r="F7" s="1894"/>
      <c r="G7" s="1894"/>
      <c r="H7" s="1894"/>
      <c r="I7" s="1508"/>
    </row>
    <row r="8" spans="1:12" ht="12.75">
      <c r="A8" s="3334" t="s">
        <v>1716</v>
      </c>
      <c r="B8" s="3392">
        <v>15</v>
      </c>
      <c r="C8" s="3395"/>
      <c r="D8" s="3383"/>
      <c r="E8" s="136" t="s">
        <v>1717</v>
      </c>
      <c r="F8" s="1894"/>
      <c r="G8" s="1894"/>
      <c r="H8" s="1894"/>
      <c r="I8" s="1508"/>
    </row>
    <row r="9" spans="1:12" ht="12.75">
      <c r="A9" s="3334"/>
      <c r="B9" s="3392"/>
      <c r="C9" s="3396"/>
      <c r="D9" s="3383"/>
      <c r="E9" s="136" t="s">
        <v>1718</v>
      </c>
      <c r="F9" s="1894"/>
      <c r="G9" s="1894"/>
      <c r="H9" s="1894"/>
      <c r="I9" s="1508"/>
    </row>
    <row r="10" spans="1:12" ht="12.75">
      <c r="A10" s="3334" t="s">
        <v>1719</v>
      </c>
      <c r="B10" s="3392">
        <v>15</v>
      </c>
      <c r="C10" s="3395"/>
      <c r="D10" s="3383"/>
      <c r="E10" s="136" t="s">
        <v>1720</v>
      </c>
      <c r="F10" s="1894"/>
      <c r="G10" s="1894"/>
      <c r="H10" s="1894"/>
      <c r="I10" s="1508"/>
    </row>
    <row r="11" spans="1:12" ht="12.75">
      <c r="A11" s="3334"/>
      <c r="B11" s="3392"/>
      <c r="C11" s="3396"/>
      <c r="D11" s="3383"/>
      <c r="E11" s="136" t="s">
        <v>1721</v>
      </c>
      <c r="F11" s="1894"/>
      <c r="G11" s="1894"/>
      <c r="H11" s="1894"/>
      <c r="I11" s="1508"/>
    </row>
    <row r="12" spans="1:12" ht="12.75">
      <c r="A12" s="3334" t="s">
        <v>1722</v>
      </c>
      <c r="B12" s="3392">
        <v>15</v>
      </c>
      <c r="C12" s="3395"/>
      <c r="D12" s="3383"/>
      <c r="E12" s="136" t="s">
        <v>1723</v>
      </c>
      <c r="F12" s="1894"/>
      <c r="G12" s="1894"/>
      <c r="H12" s="1894"/>
      <c r="I12" s="1508"/>
    </row>
    <row r="13" spans="1:12" ht="12.75">
      <c r="A13" s="3334"/>
      <c r="B13" s="3392"/>
      <c r="C13" s="3396"/>
      <c r="D13" s="3383"/>
      <c r="E13" s="136" t="s">
        <v>1724</v>
      </c>
      <c r="F13" s="1894"/>
      <c r="G13" s="1894"/>
      <c r="H13" s="1894"/>
      <c r="I13" s="1508"/>
    </row>
    <row r="14" spans="1:12" ht="12.75">
      <c r="A14" s="3334" t="s">
        <v>1725</v>
      </c>
      <c r="B14" s="3392">
        <v>30</v>
      </c>
      <c r="C14" s="3395">
        <v>5</v>
      </c>
      <c r="D14" s="3383">
        <v>5</v>
      </c>
      <c r="E14" s="136" t="s">
        <v>1726</v>
      </c>
      <c r="F14" s="1894"/>
      <c r="G14" s="1894"/>
      <c r="H14" s="1894"/>
      <c r="I14" s="1508"/>
    </row>
    <row r="15" spans="1:12" ht="12.75">
      <c r="A15" s="3334"/>
      <c r="B15" s="3392"/>
      <c r="C15" s="3397"/>
      <c r="D15" s="3383"/>
      <c r="E15" s="136" t="s">
        <v>1727</v>
      </c>
      <c r="F15" s="1894"/>
      <c r="G15" s="1894"/>
      <c r="H15" s="1894"/>
      <c r="I15" s="1508"/>
    </row>
    <row r="16" spans="1:12" ht="12.75">
      <c r="A16" s="3334"/>
      <c r="B16" s="3392"/>
      <c r="C16" s="3396"/>
      <c r="D16" s="3383"/>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14" t="s">
        <v>2631</v>
      </c>
      <c r="F18" s="3415"/>
      <c r="G18" s="3415"/>
      <c r="H18" s="3415"/>
      <c r="I18" s="3415"/>
      <c r="K18" s="308" t="s">
        <v>1733</v>
      </c>
      <c r="L18" s="308">
        <f>IF(C1="",'数据-汇总表'!E3,SUMIF(项目类型,C1,'数据-汇总表'!E17:E26)+SUMIF(项目类型,C1,'数据-汇总表'!I17:I26))</f>
        <v>27858.239999999998</v>
      </c>
      <c r="M18" s="308">
        <f>IF(C1="",'数据-汇总表'!E3,SUMIF(项目类型,C1,'数据-汇总表'!E17:E26))</f>
        <v>27858.239999999998</v>
      </c>
    </row>
    <row r="19" spans="1:36" ht="15">
      <c r="A19" s="1898" t="s">
        <v>1734</v>
      </c>
      <c r="B19" s="1899" t="s">
        <v>1735</v>
      </c>
      <c r="C19" s="139">
        <f ca="1">SUMIF(INDIRECT("'"&amp;C4&amp;"'"&amp;"!A:A"),结果表!B19,INDIRECT("'"&amp;C4&amp;"'"&amp;"!B:B"))</f>
        <v>32357</v>
      </c>
      <c r="D19" s="140">
        <f ca="1">SUMIF(INDIRECT("'"&amp;D4&amp;"'"&amp;"!A:A"),结果表!B19,INDIRECT("'"&amp;D4&amp;"'"&amp;"!B:B"))</f>
        <v>29052</v>
      </c>
      <c r="E19" s="1898" t="s">
        <v>1736</v>
      </c>
      <c r="F19" s="1899" t="s">
        <v>1735</v>
      </c>
      <c r="G19" s="141">
        <f ca="1">ROUND(C19*$C$18+D19*$D$18,0)</f>
        <v>30705</v>
      </c>
      <c r="H19" s="1900" t="s">
        <v>1737</v>
      </c>
      <c r="I19" s="134"/>
      <c r="K19" s="308" t="s">
        <v>1738</v>
      </c>
      <c r="L19" s="308">
        <f>IF(C1="",'数据-汇总表'!D3,SUMIF(项目类型,C1,'数据-汇总表'!D17:D26)+SUMIF(项目类型,C1,'数据-汇总表'!H17:H27))</f>
        <v>9429.73</v>
      </c>
      <c r="M19" s="308">
        <f>IF(C1="",'数据-汇总表'!D3,SUMIF(项目类型,C1,'数据-汇总表'!D17:D26))</f>
        <v>9429.73</v>
      </c>
    </row>
    <row r="20" spans="1:36" ht="15">
      <c r="A20" s="1901"/>
      <c r="B20" s="1138" t="s">
        <v>1739</v>
      </c>
      <c r="C20" s="142">
        <f ca="1">SUMIF(INDIRECT("'"&amp;C4&amp;"'"&amp;"!A:A"),结果表!B20,INDIRECT("'"&amp;C4&amp;"'"&amp;"!B:B"))</f>
        <v>11615</v>
      </c>
      <c r="D20" s="143">
        <f ca="1">SUMIF(INDIRECT("'"&amp;D4&amp;"'"&amp;"!A:A"),结果表!B20,INDIRECT("'"&amp;D4&amp;"'"&amp;"!B:B"))</f>
        <v>10429</v>
      </c>
      <c r="E20" s="1901"/>
      <c r="F20" s="1138" t="s">
        <v>1739</v>
      </c>
      <c r="G20" s="144">
        <f ca="1">ROUND(C20*$C$18+D20*$D$18,0)</f>
        <v>11022</v>
      </c>
      <c r="H20" s="898" t="s">
        <v>1740</v>
      </c>
      <c r="I20" s="134"/>
    </row>
    <row r="21" spans="1:36" ht="15" customHeight="1" thickBot="1">
      <c r="A21" s="918"/>
      <c r="B21" s="1902" t="s">
        <v>1741</v>
      </c>
      <c r="C21" s="728">
        <f ca="1">ROUND(C19*10000/L19,0)</f>
        <v>34314</v>
      </c>
      <c r="D21" s="729">
        <f ca="1">ROUND(D19*10000/L19,0)</f>
        <v>30809</v>
      </c>
      <c r="E21" s="918"/>
      <c r="F21" s="1902" t="s">
        <v>1741</v>
      </c>
      <c r="G21" s="145">
        <f ca="1">ROUND(G19*10000/L19,0)</f>
        <v>32562</v>
      </c>
      <c r="H21" s="1903" t="s">
        <v>1740</v>
      </c>
      <c r="I21" s="134"/>
      <c r="K21" s="3582" t="s">
        <v>3218</v>
      </c>
      <c r="L21" s="734" t="s">
        <v>3219</v>
      </c>
    </row>
    <row r="22" spans="1:36" ht="15" thickBot="1">
      <c r="A22" s="1825" t="s">
        <v>1742</v>
      </c>
      <c r="B22" s="1904"/>
      <c r="C22" s="1905"/>
      <c r="D22" s="730">
        <f ca="1">IF(C19&lt;D19,D19/C19-1,C19/D19-1)</f>
        <v>0.11376153104777642</v>
      </c>
      <c r="E22" s="134"/>
      <c r="F22" s="134"/>
      <c r="G22" s="134"/>
      <c r="H22" s="134"/>
      <c r="I22" s="134"/>
      <c r="K22" s="734" t="s">
        <v>3220</v>
      </c>
      <c r="L22" s="734" t="s">
        <v>3221</v>
      </c>
    </row>
    <row r="23" spans="1:36" ht="13.5" thickBot="1">
      <c r="A23" s="1884"/>
      <c r="B23" s="1884"/>
      <c r="C23" s="1884"/>
      <c r="D23" s="1884"/>
      <c r="E23" s="134"/>
      <c r="F23" s="134"/>
      <c r="G23" s="134"/>
      <c r="H23" s="134"/>
      <c r="I23" s="134"/>
      <c r="K23" s="3582" t="s">
        <v>3222</v>
      </c>
      <c r="L23" s="734" t="str">
        <f>L22</f>
        <v>2.5万</v>
      </c>
      <c r="M23" s="734" t="s">
        <v>3223</v>
      </c>
    </row>
    <row r="24" spans="1:36" ht="14.25">
      <c r="A24" s="3407" t="s">
        <v>1743</v>
      </c>
      <c r="B24" s="1899" t="s">
        <v>1735</v>
      </c>
      <c r="C24" s="141">
        <f>IF(B30=0,0,D30)</f>
        <v>0</v>
      </c>
      <c r="D24" s="1906"/>
      <c r="E24" s="134"/>
      <c r="F24" s="134"/>
      <c r="G24" s="134"/>
      <c r="H24" s="134"/>
      <c r="I24" s="134"/>
    </row>
    <row r="25" spans="1:36" ht="14.25">
      <c r="A25" s="3408"/>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f ca="1">ROUND(G19*10000/'数据-汇总表'!F31,0)</f>
        <v>15053</v>
      </c>
      <c r="D27" s="148">
        <f ca="1">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30705</v>
      </c>
      <c r="D32" s="1912" t="s">
        <v>3216</v>
      </c>
      <c r="E32" s="134"/>
      <c r="F32" s="134"/>
      <c r="G32" s="134"/>
      <c r="H32" s="134"/>
      <c r="I32" s="134"/>
    </row>
    <row r="33" spans="1:15" ht="15">
      <c r="A33" s="875" t="s">
        <v>1750</v>
      </c>
      <c r="B33" s="1913"/>
      <c r="C33" s="1914" t="s">
        <v>3217</v>
      </c>
      <c r="D33" s="1915" t="s">
        <v>3214</v>
      </c>
      <c r="E33" s="1916" t="s">
        <v>1751</v>
      </c>
      <c r="F33" s="1917" t="str">
        <f>IF(D32="楼面单价","取值（单价）","取值（总价）")</f>
        <v>取值（总价）</v>
      </c>
      <c r="G33" s="134"/>
      <c r="H33" s="134"/>
      <c r="I33" s="134"/>
    </row>
    <row r="34" spans="1:15" ht="15">
      <c r="A34" s="1918"/>
      <c r="B34" s="1919" t="s">
        <v>1752</v>
      </c>
      <c r="C34" s="153">
        <f ca="1">IF(C33="自定义",F34,C32-C35)</f>
        <v>21340</v>
      </c>
      <c r="D34" s="951">
        <f ca="1">IF(C33="自定义",ROUND(C34/C32,3),IF(C33="收益比率",SUMIF(INDIRECT("'"&amp;D33&amp;"'"&amp;"!b:b"),"土地收益比率",INDIRECT("'"&amp;D33&amp;"'"&amp;"!c:c")),SUMIF(INDIRECT("'"&amp;D33&amp;"'"&amp;"!b:b"),"土地成本比率",INDIRECT("'"&amp;D33&amp;"'"&amp;"!c:c"))))</f>
        <v>0.69500000000000006</v>
      </c>
      <c r="E34" s="1920" t="s">
        <v>1753</v>
      </c>
      <c r="F34" s="1451"/>
      <c r="G34" s="134"/>
      <c r="H34" s="134"/>
      <c r="I34" s="134"/>
    </row>
    <row r="35" spans="1:15" ht="15.75" thickBot="1">
      <c r="A35" s="1921"/>
      <c r="B35" s="1922" t="s">
        <v>1754</v>
      </c>
      <c r="C35" s="1285">
        <f ca="1">IF(C33="自定义",F35,ROUND(C32*D35,0))</f>
        <v>9365</v>
      </c>
      <c r="D35" s="1286">
        <f ca="1">IF(C33="自定义",ROUND(C35/C32,3),IF(C33="收益比率",SUMIF(INDIRECT("'"&amp;D33&amp;"'"&amp;"!b:b"),"建筑物收益比率",INDIRECT("'"&amp;D33&amp;"'"&amp;"!c:c")),SUMIF(INDIRECT("'"&amp;D33&amp;"'"&amp;"!b:b"),"建筑物成本比率",INDIRECT("'"&amp;D33&amp;"'"&amp;"!c:c"))))</f>
        <v>0.30499999999999999</v>
      </c>
      <c r="E35" s="1923" t="s">
        <v>1755</v>
      </c>
      <c r="F35" s="159"/>
      <c r="G35" s="134"/>
      <c r="H35" s="134"/>
      <c r="I35" s="134"/>
    </row>
    <row r="36" spans="1:15" ht="15.75" thickBot="1">
      <c r="A36" s="3384" t="s">
        <v>1756</v>
      </c>
      <c r="B36" s="1924" t="s">
        <v>1757</v>
      </c>
      <c r="C36" s="150"/>
      <c r="D36" s="1925"/>
      <c r="E36" s="1926"/>
      <c r="F36" s="1927"/>
      <c r="G36" s="134"/>
      <c r="H36" s="134"/>
      <c r="I36" s="134"/>
    </row>
    <row r="37" spans="1:15" ht="15.75" thickBot="1">
      <c r="A37" s="3385"/>
      <c r="B37" s="1811" t="s">
        <v>1758</v>
      </c>
      <c r="C37" s="152"/>
      <c r="D37" s="1254"/>
      <c r="E37" s="1254"/>
      <c r="F37" s="1927"/>
      <c r="G37" s="134"/>
      <c r="H37" s="134"/>
      <c r="I37" s="134"/>
    </row>
    <row r="38" spans="1:15" ht="15.75" thickBot="1">
      <c r="A38" s="3386"/>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04" t="s">
        <v>1770</v>
      </c>
      <c r="B45" s="3405"/>
      <c r="C45" s="3406"/>
      <c r="D45" s="160">
        <f ca="1">ROUND(H101*F45,0)</f>
        <v>30705</v>
      </c>
      <c r="E45" s="161" t="s">
        <v>1771</v>
      </c>
      <c r="F45" s="162">
        <v>1</v>
      </c>
      <c r="G45" s="163" t="s">
        <v>1772</v>
      </c>
      <c r="H45" s="134"/>
      <c r="I45" s="134"/>
      <c r="J45" s="3321" t="s">
        <v>1773</v>
      </c>
      <c r="K45" s="3321"/>
      <c r="L45" s="3321"/>
      <c r="M45" s="3321"/>
      <c r="N45" s="3321"/>
      <c r="O45" s="3321"/>
    </row>
    <row r="46" spans="1:15" ht="14.25" customHeight="1">
      <c r="A46" s="3401" t="s">
        <v>1774</v>
      </c>
      <c r="B46" s="3402"/>
      <c r="C46" s="3402"/>
      <c r="D46" s="3402"/>
      <c r="E46" s="3402"/>
      <c r="F46" s="3402"/>
      <c r="G46" s="3403"/>
      <c r="H46" s="1943"/>
      <c r="I46" s="164"/>
      <c r="J46" s="2695">
        <v>1</v>
      </c>
      <c r="K46" s="3322" t="s">
        <v>1775</v>
      </c>
      <c r="L46" s="3322"/>
      <c r="M46" s="3323"/>
      <c r="N46" s="3323"/>
      <c r="O46" s="3323"/>
    </row>
    <row r="47" spans="1:15" ht="12" customHeight="1">
      <c r="A47" s="165" t="s">
        <v>1776</v>
      </c>
      <c r="B47" s="166"/>
      <c r="C47" s="167"/>
      <c r="D47" s="1200" t="s">
        <v>1777</v>
      </c>
      <c r="E47" s="308" t="s">
        <v>1778</v>
      </c>
      <c r="F47" s="168" t="s">
        <v>1779</v>
      </c>
      <c r="G47" s="2718" t="s">
        <v>1780</v>
      </c>
      <c r="H47" s="2719"/>
      <c r="I47" s="164"/>
      <c r="J47" s="2695">
        <v>2</v>
      </c>
      <c r="K47" s="3322" t="s">
        <v>1781</v>
      </c>
      <c r="L47" s="3322"/>
      <c r="M47" s="3324">
        <f>'数据-取费表'!B2</f>
        <v>44700</v>
      </c>
      <c r="N47" s="3324"/>
      <c r="O47" s="3324"/>
    </row>
    <row r="48" spans="1:15" ht="25.5">
      <c r="A48" s="3387" t="s">
        <v>1782</v>
      </c>
      <c r="B48" s="3388"/>
      <c r="C48" s="3388"/>
      <c r="D48" s="2498" t="b">
        <f>IF(H48="情况1",0,IF(H48="情况2",D52,IF(H48="情况3",D53,IF(H48="情况4",D54))))</f>
        <v>0</v>
      </c>
      <c r="E48" s="2508" t="str">
        <f>IF(H48="情况4","(销售额-原购置价)×税（费）率","销售额×税（费）率")</f>
        <v>销售额×税（费）率</v>
      </c>
      <c r="F48" s="2720">
        <f>IF(H48="情况1","免征",'数据-取费表'!B41)</f>
        <v>5.6000000000000001E-2</v>
      </c>
      <c r="G48" s="2721" t="s">
        <v>1783</v>
      </c>
      <c r="H48" s="2722"/>
      <c r="I48" s="1943"/>
      <c r="J48" s="2695">
        <v>3</v>
      </c>
      <c r="K48" s="3322" t="s">
        <v>1784</v>
      </c>
      <c r="L48" s="3322"/>
      <c r="M48" s="3325">
        <f ca="1">H101</f>
        <v>30705</v>
      </c>
      <c r="N48" s="3325"/>
      <c r="O48" s="3325"/>
    </row>
    <row r="49" spans="1:35" ht="25.5" customHeight="1">
      <c r="A49" s="2507" t="s">
        <v>1785</v>
      </c>
      <c r="B49" s="3370" t="s">
        <v>1786</v>
      </c>
      <c r="C49" s="3370"/>
      <c r="D49" s="1726">
        <v>0</v>
      </c>
      <c r="E49" s="330" t="s">
        <v>1787</v>
      </c>
      <c r="F49" s="2598" t="s">
        <v>34</v>
      </c>
      <c r="G49" s="3353"/>
      <c r="H49" s="2479" t="s">
        <v>2634</v>
      </c>
      <c r="I49" s="2480"/>
      <c r="J49" s="2695">
        <v>4</v>
      </c>
      <c r="K49" s="3322" t="str">
        <f>IF(项目基本情况!E8="房地产抵押价值","房地产抵押价值","抵押担保权已注销时的房地产抵押价值")</f>
        <v>房地产抵押价值</v>
      </c>
      <c r="L49" s="3322"/>
      <c r="M49" s="3325">
        <f ca="1">IF(项目基本情况!E8="房地产抵押价值",H107,H109)</f>
        <v>30705</v>
      </c>
      <c r="N49" s="3325"/>
      <c r="O49" s="3325"/>
    </row>
    <row r="50" spans="1:35" ht="25.5" customHeight="1">
      <c r="A50" s="2723"/>
      <c r="B50" s="3370" t="s">
        <v>1788</v>
      </c>
      <c r="C50" s="3370"/>
      <c r="D50" s="2724"/>
      <c r="E50" s="338"/>
      <c r="F50" s="2598"/>
      <c r="G50" s="3354"/>
      <c r="H50" s="2481" t="s">
        <v>2635</v>
      </c>
      <c r="I50" s="2480"/>
      <c r="J50" s="3321" t="s">
        <v>1789</v>
      </c>
      <c r="K50" s="3321"/>
      <c r="L50" s="3321"/>
      <c r="M50" s="3321"/>
      <c r="N50" s="3321"/>
      <c r="O50" s="3321"/>
    </row>
    <row r="51" spans="1:35" ht="20.45" customHeight="1">
      <c r="A51" s="2725"/>
      <c r="B51" s="3370" t="s">
        <v>1790</v>
      </c>
      <c r="C51" s="3370"/>
      <c r="D51" s="1200"/>
      <c r="E51" s="333"/>
      <c r="F51" s="2598"/>
      <c r="G51" s="3355"/>
      <c r="H51" s="2481" t="s">
        <v>2636</v>
      </c>
      <c r="I51" s="2480"/>
      <c r="J51" s="2696" t="s">
        <v>1791</v>
      </c>
      <c r="K51" s="3322" t="s">
        <v>1792</v>
      </c>
      <c r="L51" s="3322"/>
      <c r="M51" s="2696" t="s">
        <v>1793</v>
      </c>
      <c r="N51" s="2696" t="s">
        <v>1794</v>
      </c>
      <c r="O51" s="2696" t="s">
        <v>1795</v>
      </c>
    </row>
    <row r="52" spans="1:35" ht="24" customHeight="1">
      <c r="A52" s="2509" t="s">
        <v>1796</v>
      </c>
      <c r="B52" s="3370" t="s">
        <v>1797</v>
      </c>
      <c r="C52" s="3370"/>
      <c r="D52" s="1200">
        <f ca="1">ROUND(D45*'数据-取费表'!B41/(1+'数据-取费表'!C42),0)</f>
        <v>1638</v>
      </c>
      <c r="E52" s="2508" t="s">
        <v>1798</v>
      </c>
      <c r="F52" s="2726">
        <f>'数据-取费表'!B41</f>
        <v>5.6000000000000001E-2</v>
      </c>
      <c r="G52" s="2727"/>
      <c r="H52" s="2716"/>
      <c r="I52" s="1944"/>
      <c r="J52" s="2695">
        <v>1</v>
      </c>
      <c r="K52" s="3347" t="s">
        <v>1799</v>
      </c>
      <c r="L52" s="3347"/>
      <c r="M52" s="2697" t="b">
        <f>D48</f>
        <v>0</v>
      </c>
      <c r="N52" s="2695" t="str">
        <f>E48</f>
        <v>销售额×税（费）率</v>
      </c>
      <c r="O52" s="2698">
        <f>F48</f>
        <v>5.6000000000000001E-2</v>
      </c>
    </row>
    <row r="53" spans="1:35" ht="12" customHeight="1">
      <c r="A53" s="2509" t="s">
        <v>1800</v>
      </c>
      <c r="B53" s="3371" t="s">
        <v>2785</v>
      </c>
      <c r="C53" s="3372"/>
      <c r="D53" s="1200">
        <f ca="1">ROUND(D45*'数据-取费表'!B41/(1+'数据-取费表'!C42),0)</f>
        <v>1638</v>
      </c>
      <c r="E53" s="2508" t="s">
        <v>1798</v>
      </c>
      <c r="F53" s="2726">
        <f>'数据-取费表'!B41</f>
        <v>5.6000000000000001E-2</v>
      </c>
      <c r="G53" s="2727"/>
      <c r="H53" s="2716"/>
      <c r="I53" s="1944"/>
      <c r="J53" s="2695">
        <v>2</v>
      </c>
      <c r="K53" s="3347" t="s">
        <v>1801</v>
      </c>
      <c r="L53" s="3347"/>
      <c r="M53" s="2697">
        <f t="shared" ref="M53:O54" ca="1" si="0">D55</f>
        <v>15</v>
      </c>
      <c r="N53" s="2695" t="str">
        <f t="shared" si="0"/>
        <v>销售额×税（费）率</v>
      </c>
      <c r="O53" s="2698" t="str">
        <f t="shared" si="0"/>
        <v>免征</v>
      </c>
    </row>
    <row r="54" spans="1:35" ht="12" customHeight="1">
      <c r="A54" s="2509" t="s">
        <v>1802</v>
      </c>
      <c r="B54" s="3371" t="s">
        <v>2786</v>
      </c>
      <c r="C54" s="3372"/>
      <c r="D54" s="1200">
        <f ca="1">C68</f>
        <v>1638</v>
      </c>
      <c r="E54" s="333" t="s">
        <v>1803</v>
      </c>
      <c r="F54" s="2726">
        <f>'数据-取费表'!B41</f>
        <v>5.6000000000000001E-2</v>
      </c>
      <c r="G54" s="2727"/>
      <c r="H54" s="2728"/>
      <c r="I54" s="1944"/>
      <c r="J54" s="2695">
        <v>3</v>
      </c>
      <c r="K54" s="3347" t="s">
        <v>1804</v>
      </c>
      <c r="L54" s="3347"/>
      <c r="M54" s="2697">
        <f t="shared" ca="1" si="0"/>
        <v>17380</v>
      </c>
      <c r="N54" s="2695" t="str">
        <f t="shared" si="0"/>
        <v>增值额×税（费）率</v>
      </c>
      <c r="O54" s="2699" t="str">
        <f t="shared" si="0"/>
        <v>免征</v>
      </c>
    </row>
    <row r="55" spans="1:35" ht="24" customHeight="1">
      <c r="A55" s="3410" t="s">
        <v>1805</v>
      </c>
      <c r="B55" s="3388"/>
      <c r="C55" s="3388"/>
      <c r="D55" s="2498">
        <f ca="1">IF(H55="个人住宅",0,ROUND(D45*I55,0))</f>
        <v>15</v>
      </c>
      <c r="E55" s="2508" t="s">
        <v>1806</v>
      </c>
      <c r="F55" s="2726" t="str">
        <f>IF(H55="正常",I55,"免征")</f>
        <v>免征</v>
      </c>
      <c r="G55" s="2727"/>
      <c r="H55" s="2722"/>
      <c r="I55" s="170">
        <f>'数据-取费表'!B49</f>
        <v>5.0000000000000001E-4</v>
      </c>
      <c r="J55" s="2695">
        <f>IF(H59="非个人房产","",4)</f>
        <v>4</v>
      </c>
      <c r="K55" s="3347" t="str">
        <f>IF(H59="非个人房产","——","个人所得税")</f>
        <v>个人所得税</v>
      </c>
      <c r="L55" s="3347"/>
      <c r="M55" s="2700">
        <f ca="1">D59</f>
        <v>292</v>
      </c>
      <c r="N55" s="2179" t="str">
        <f>E59</f>
        <v>差额计税</v>
      </c>
      <c r="O55" s="2701">
        <f>F59</f>
        <v>0.01</v>
      </c>
    </row>
    <row r="56" spans="1:35" ht="24.75">
      <c r="A56" s="3410" t="s">
        <v>1807</v>
      </c>
      <c r="B56" s="3388"/>
      <c r="C56" s="3388"/>
      <c r="D56" s="2498">
        <f ca="1">IF(H56="个人住宅",D57,D58)</f>
        <v>17380</v>
      </c>
      <c r="E56" s="2508" t="s">
        <v>1808</v>
      </c>
      <c r="F56" s="2726" t="str">
        <f>IF(H56="正常",F58,"免征")</f>
        <v>免征</v>
      </c>
      <c r="G56" s="2729" t="s">
        <v>1809</v>
      </c>
      <c r="H56" s="2730"/>
      <c r="I56" s="1945"/>
      <c r="J56" s="2695" t="str">
        <f>IF(项目基本情况!K6="上海银行",IF(J55="",4,J55+1),"")</f>
        <v/>
      </c>
      <c r="K56" s="3328" t="str">
        <f>IF(项目基本情况!K6="上海银行","其他处置费用","")</f>
        <v/>
      </c>
      <c r="L56" s="3329"/>
      <c r="M56" s="2697" t="str">
        <f>IF(项目基本情况!K6="上海银行",M69,"")</f>
        <v/>
      </c>
      <c r="N56" s="3328" t="str">
        <f>IF(项目基本情况!K6="上海银行","包含处置中涉及的律师、诉讼、拍卖、评估等费用","")</f>
        <v/>
      </c>
      <c r="O56" s="3331"/>
    </row>
    <row r="57" spans="1:35" ht="12.75">
      <c r="A57" s="2509" t="s">
        <v>1785</v>
      </c>
      <c r="B57" s="3371" t="s">
        <v>1810</v>
      </c>
      <c r="C57" s="3372"/>
      <c r="D57" s="1726">
        <v>0</v>
      </c>
      <c r="E57" s="330" t="s">
        <v>1787</v>
      </c>
      <c r="F57" s="308"/>
      <c r="G57" s="2727"/>
      <c r="H57" s="2731"/>
      <c r="I57" s="1945"/>
      <c r="J57" s="3347">
        <f>IF(AND(J55="",J56=""),4,IF(项目基本情况!K6="上海银行",结果表!J56+1,结果表!J55+1))</f>
        <v>5</v>
      </c>
      <c r="K57" s="3347" t="s">
        <v>1811</v>
      </c>
      <c r="L57" s="2702" t="s">
        <v>1812</v>
      </c>
      <c r="M57" s="2703"/>
      <c r="N57" s="2704">
        <f ca="1">SUMIF(M52:M56,"&lt;9e307")</f>
        <v>17687</v>
      </c>
      <c r="O57" s="2705"/>
      <c r="P57" s="2865">
        <f ca="1">N57/M49</f>
        <v>0.57602996254681649</v>
      </c>
    </row>
    <row r="58" spans="1:35" ht="24.75">
      <c r="A58" s="2509" t="s">
        <v>1796</v>
      </c>
      <c r="B58" s="3371" t="s">
        <v>1813</v>
      </c>
      <c r="C58" s="3370"/>
      <c r="D58" s="2498">
        <f ca="1">IF(H58="转让取得",C81,C97)</f>
        <v>17380</v>
      </c>
      <c r="E58" s="2508" t="s">
        <v>1808</v>
      </c>
      <c r="F58" s="308" t="s">
        <v>34</v>
      </c>
      <c r="G58" s="2727"/>
      <c r="H58" s="2730"/>
      <c r="I58" s="1945"/>
      <c r="J58" s="3347"/>
      <c r="K58" s="3347"/>
      <c r="L58" s="2702" t="s">
        <v>1814</v>
      </c>
      <c r="M58" s="2706"/>
      <c r="N58" s="2707" t="str">
        <f ca="1">NUMBERSTRING(INT(N57*10000),2)&amp;"元整"</f>
        <v>壹亿柒仟陆佰捌拾柒万元整</v>
      </c>
      <c r="O58" s="2708"/>
    </row>
    <row r="59" spans="1:35" ht="24.75" thickBot="1">
      <c r="A59" s="3351" t="s">
        <v>1815</v>
      </c>
      <c r="B59" s="3352"/>
      <c r="C59" s="3352"/>
      <c r="D59" s="2732">
        <f ca="1">IF(H59="非个人房产","——",IF(H59="个人住宅（满五唯一有凭证）",0,IF(H59="个人其他（无凭证）",ROUND(D45*F59,0),ROUND(C67*F59,0))))</f>
        <v>292</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83"/>
      <c r="I59" s="2482" t="s">
        <v>2637</v>
      </c>
      <c r="J59" s="3349">
        <f>J57+1</f>
        <v>6</v>
      </c>
      <c r="K59" s="3347" t="s">
        <v>1816</v>
      </c>
      <c r="L59" s="2695" t="s">
        <v>1812</v>
      </c>
      <c r="M59" s="2709"/>
      <c r="N59" s="2710">
        <f ca="1">M49-N57</f>
        <v>13018</v>
      </c>
      <c r="O59" s="2711"/>
    </row>
    <row r="60" spans="1:35" ht="12" customHeight="1">
      <c r="A60" s="1946"/>
      <c r="B60" s="1884"/>
      <c r="C60" s="1884"/>
      <c r="D60" s="1884"/>
      <c r="E60" s="1714"/>
      <c r="F60" s="1945"/>
      <c r="G60" s="1945"/>
      <c r="H60" s="1947"/>
      <c r="I60" s="134"/>
      <c r="J60" s="3350"/>
      <c r="K60" s="3347"/>
      <c r="L60" s="2702" t="s">
        <v>1814</v>
      </c>
      <c r="M60" s="2706"/>
      <c r="N60" s="2707" t="str">
        <f ca="1">NUMBERSTRING(INT(N59*10000),2)&amp;"元整"</f>
        <v>壹亿叁仟零壹拾捌万元整</v>
      </c>
      <c r="O60" s="2708"/>
    </row>
    <row r="61" spans="1:35" ht="13.5" thickBot="1">
      <c r="A61" s="3409" t="s">
        <v>1817</v>
      </c>
      <c r="B61" s="3409"/>
      <c r="C61" s="3409"/>
      <c r="D61" s="3409"/>
      <c r="E61" s="3409"/>
      <c r="F61" s="1945"/>
      <c r="G61" s="1945"/>
      <c r="H61" s="1947"/>
      <c r="I61" s="134"/>
      <c r="J61" s="2695">
        <f>J59+1</f>
        <v>7</v>
      </c>
      <c r="K61" s="3347" t="s">
        <v>1818</v>
      </c>
      <c r="L61" s="3347"/>
      <c r="M61" s="2712"/>
      <c r="N61" s="2713">
        <f ca="1">ROUND(N59*10000/'数据-汇总表'!E3,0)</f>
        <v>4673</v>
      </c>
      <c r="O61" s="2714"/>
    </row>
    <row r="62" spans="1:35" ht="12.75">
      <c r="A62" s="3366" t="s">
        <v>1819</v>
      </c>
      <c r="B62" s="3367"/>
      <c r="C62" s="2160"/>
      <c r="D62" s="2160" t="s">
        <v>1820</v>
      </c>
      <c r="E62" s="171" t="s">
        <v>1821</v>
      </c>
      <c r="F62" s="1945"/>
      <c r="G62" s="1945"/>
      <c r="H62" s="1947"/>
      <c r="I62" s="134"/>
    </row>
    <row r="63" spans="1:35" ht="12.75">
      <c r="A63" s="178" t="s">
        <v>594</v>
      </c>
      <c r="B63" s="172" t="s">
        <v>1822</v>
      </c>
      <c r="C63" s="2736">
        <f ca="1">ROUND((C64+C65)/(1+'数据-取费表'!C42),0)</f>
        <v>29243</v>
      </c>
      <c r="D63" s="172"/>
      <c r="E63" s="173"/>
      <c r="F63" s="1945"/>
      <c r="G63" s="1945"/>
      <c r="H63" s="1947"/>
      <c r="I63" s="134"/>
      <c r="J63" s="3330" t="s">
        <v>1823</v>
      </c>
      <c r="K63" s="1453" t="s">
        <v>1824</v>
      </c>
      <c r="L63" s="1453">
        <f ca="1">IF(M49&gt;10000,M49*0.5%,IF(AND(M49&gt;1000,M49&lt;=10000),M49*1%,IF(AND(M49&gt;100,M49&lt;=1000),M49*3%,IF(AND(M49&gt;10,M49&lt;=100),M49*5%,M49*8%))))</f>
        <v>153.52500000000001</v>
      </c>
      <c r="M63" s="308">
        <f ca="1">ROUND(L63,1)</f>
        <v>153.5</v>
      </c>
      <c r="N63" s="2715"/>
      <c r="Z63" s="1889"/>
      <c r="AI63" s="1890"/>
    </row>
    <row r="64" spans="1:35" ht="14.25" customHeight="1">
      <c r="A64" s="174" t="s">
        <v>589</v>
      </c>
      <c r="B64" s="175" t="s">
        <v>1825</v>
      </c>
      <c r="C64" s="2737">
        <f ca="1">D45</f>
        <v>30705</v>
      </c>
      <c r="D64" s="175" t="s">
        <v>32</v>
      </c>
      <c r="E64" s="177"/>
      <c r="F64" s="1945"/>
      <c r="G64" s="1945"/>
      <c r="H64" s="1947"/>
      <c r="I64" s="134"/>
      <c r="J64" s="3330"/>
      <c r="K64" s="1453" t="s">
        <v>1826</v>
      </c>
      <c r="L64" s="1453">
        <f ca="1">IF(M49&gt;2000,M49*0.5%,IF(AND(M49&gt;1000,M49&lt;=2000),M49*0.6%,IF(AND(M49&gt;500,M49&lt;=1000),M49*0.7%,IF(AND(M49&gt;200,M49&lt;=500),M49*0.8%,IF(AND(M49&gt;100,M49&lt;=200),M49*0.9%,IF(AND(M49&gt;50,M49&lt;=100),M49*1%,IF(AND(M49&gt;20,M49&lt;=50),M49*1.5%,IF(AND(M49&gt;10,M49&lt;=20),M49*2%,IF(AND(M49&gt;1,M49&lt;=10),M49*2.5%)))))))))</f>
        <v>153.52500000000001</v>
      </c>
      <c r="M64" s="308">
        <f t="shared" ref="M64:M65" ca="1" si="1">ROUND(L64,1)</f>
        <v>153.5</v>
      </c>
      <c r="N64" s="2716" t="s">
        <v>1827</v>
      </c>
      <c r="Z64" s="1889"/>
      <c r="AI64" s="1890"/>
    </row>
    <row r="65" spans="1:35" ht="14.25" customHeight="1">
      <c r="A65" s="174" t="s">
        <v>590</v>
      </c>
      <c r="B65" s="175" t="s">
        <v>1828</v>
      </c>
      <c r="C65" s="2738"/>
      <c r="D65" s="175"/>
      <c r="E65" s="177"/>
      <c r="F65" s="1945"/>
      <c r="G65" s="1945"/>
      <c r="H65" s="1947"/>
      <c r="I65" s="134"/>
      <c r="J65" s="3330"/>
      <c r="K65" s="1453" t="s">
        <v>1829</v>
      </c>
      <c r="L65" s="1453">
        <f ca="1">IF(M49&gt;1000,M49*0.1%,IF(AND(M49&gt;500,M49&lt;=1000),M49*0.5%,IF(AND(M49&gt;50,M49&lt;=500),M49*1%,IF(AND(M49&gt;1,M49&lt;=50),M49*1.5%))))</f>
        <v>30.705000000000002</v>
      </c>
      <c r="M65" s="308">
        <f t="shared" ca="1" si="1"/>
        <v>30.7</v>
      </c>
      <c r="N65" s="2716" t="s">
        <v>1827</v>
      </c>
      <c r="Z65" s="1889"/>
      <c r="AI65" s="1890"/>
    </row>
    <row r="66" spans="1:35" ht="14.25" customHeight="1">
      <c r="A66" s="178" t="s">
        <v>591</v>
      </c>
      <c r="B66" s="179" t="s">
        <v>1830</v>
      </c>
      <c r="C66" s="2739"/>
      <c r="D66" s="179" t="s">
        <v>32</v>
      </c>
      <c r="E66" s="1460" t="s">
        <v>1096</v>
      </c>
      <c r="F66" s="1945"/>
      <c r="G66" s="1945"/>
      <c r="H66" s="1947"/>
      <c r="I66" s="134"/>
      <c r="J66" s="3330"/>
      <c r="K66" s="1453" t="s">
        <v>1831</v>
      </c>
      <c r="L66" s="1453">
        <f ca="1">M49*0.5%</f>
        <v>153.52500000000001</v>
      </c>
      <c r="M66" s="308">
        <f ca="1">IF(L66&gt;0.5,0.5,ROUND(L66,0))</f>
        <v>0.5</v>
      </c>
      <c r="N66" s="2716" t="s">
        <v>1832</v>
      </c>
      <c r="Z66" s="1889"/>
      <c r="AI66" s="1890"/>
    </row>
    <row r="67" spans="1:35" ht="14.25" customHeight="1">
      <c r="A67" s="178" t="s">
        <v>592</v>
      </c>
      <c r="B67" s="179" t="s">
        <v>1833</v>
      </c>
      <c r="C67" s="2740">
        <f ca="1">C63-C66</f>
        <v>29243</v>
      </c>
      <c r="D67" s="175" t="s">
        <v>32</v>
      </c>
      <c r="E67" s="177"/>
      <c r="F67" s="1945"/>
      <c r="G67" s="1945"/>
      <c r="H67" s="1947"/>
      <c r="I67" s="134"/>
      <c r="J67" s="3330"/>
      <c r="K67" s="1453" t="s">
        <v>1834</v>
      </c>
      <c r="L67" s="1453">
        <f ca="1">IF(M49&gt;=10000,(8.25+(M49-10000)*0.01%),IF(AND(M49&gt;=8000,M49&lt;10000),(7.85+(M49-8000)*0.02%),IF(AND(M49&gt;=5000,M49&lt;8000),(6.65+(M49-5000)*0.04%),IF(AND(M49&gt;=2000,M49&lt;5000),(4.25+(PM49-2000)*0.08%),IF(AND(M49&gt;=1000,M49&lt;2000),(2.75+(M49-1000)*0.15%),IF(AND(M49&gt;=100,M49&lt;1000),(0.5+(M49-100)*0.25%),IF(AND(M49&gt;0,M49&lt;100),M49*0.5%)))))))</f>
        <v>10.320499999999999</v>
      </c>
      <c r="M67" s="308">
        <f ca="1">ROUND(L67*0.9,1)</f>
        <v>9.3000000000000007</v>
      </c>
      <c r="N67" s="2715"/>
      <c r="Z67" s="1889"/>
      <c r="AI67" s="1890"/>
    </row>
    <row r="68" spans="1:35" ht="14.25" customHeight="1" thickBot="1">
      <c r="A68" s="181" t="s">
        <v>593</v>
      </c>
      <c r="B68" s="182" t="s">
        <v>1835</v>
      </c>
      <c r="C68" s="2741">
        <f ca="1">IF(C67&lt;=0,0,ROUND(C67*D68,0))</f>
        <v>1638</v>
      </c>
      <c r="D68" s="2742">
        <f>'数据-取费表'!B41</f>
        <v>5.6000000000000001E-2</v>
      </c>
      <c r="E68" s="184"/>
      <c r="F68" s="1945"/>
      <c r="G68" s="1945"/>
      <c r="H68" s="1947"/>
      <c r="I68" s="134"/>
      <c r="J68" s="3330"/>
      <c r="K68" s="1453" t="s">
        <v>1836</v>
      </c>
      <c r="L68" s="1453">
        <f ca="1">IF(M49&gt;10000,M49*0.5%,IF(AND(M49&gt;5000,M49&lt;=10000),M49*1%,IF(AND(M49&gt;1000,M49&lt;=5000),M49*2%,IF(AND(M49&gt;200,M49&lt;=1000),M49*3%,M49*5%))))</f>
        <v>153.52500000000001</v>
      </c>
      <c r="M68" s="308">
        <f ca="1">ROUND(L68,1)</f>
        <v>153.5</v>
      </c>
      <c r="N68" s="2715"/>
      <c r="Z68" s="1889"/>
      <c r="AI68" s="1890"/>
    </row>
    <row r="69" spans="1:35" s="1909" customFormat="1" ht="16.5" customHeight="1">
      <c r="A69" s="1948"/>
      <c r="B69" s="1949"/>
      <c r="C69" s="1950"/>
      <c r="D69" s="1951"/>
      <c r="E69" s="1952"/>
      <c r="F69" s="1714"/>
      <c r="G69" s="1714"/>
      <c r="H69" s="1713"/>
      <c r="I69" s="1884"/>
      <c r="J69" s="3330"/>
      <c r="K69" s="1453" t="s">
        <v>1837</v>
      </c>
      <c r="L69" s="1453"/>
      <c r="M69" s="308">
        <f ca="1">ROUND(SUM(M63:M68),0)</f>
        <v>501</v>
      </c>
      <c r="N69" s="2717">
        <f ca="1">M69/M49</f>
        <v>1.6316560820713238E-2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4" t="s">
        <v>1838</v>
      </c>
      <c r="B70" s="3375"/>
      <c r="C70" s="3375"/>
      <c r="D70" s="3375"/>
      <c r="E70" s="3375"/>
      <c r="F70" s="3375"/>
      <c r="G70" s="3375"/>
      <c r="H70" s="3375"/>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6" t="s">
        <v>1819</v>
      </c>
      <c r="B71" s="3367"/>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0">
        <f ca="1">ROUND(D45/(1+'数据-取费表'!C42),0)</f>
        <v>29243</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0">
        <f ca="1">C74+C78</f>
        <v>175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3"/>
      <c r="D75" s="175" t="s">
        <v>32</v>
      </c>
      <c r="E75" s="190" t="s">
        <v>1843</v>
      </c>
      <c r="F75" s="2744"/>
      <c r="G75" s="190" t="s">
        <v>1844</v>
      </c>
      <c r="H75" s="2745"/>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6">
        <v>0.05</v>
      </c>
      <c r="E76" s="3371" t="s">
        <v>1846</v>
      </c>
      <c r="F76" s="3370"/>
      <c r="G76" s="3370"/>
      <c r="H76" s="337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7">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8">
        <f ca="1">ROUND(D45*D78/(1+'数据-取费表'!C42),0)</f>
        <v>175</v>
      </c>
      <c r="D78" s="2749">
        <f>'数据-取费表'!B43</f>
        <v>6.000000000000001E-3</v>
      </c>
      <c r="E78" s="3363" t="s">
        <v>1850</v>
      </c>
      <c r="F78" s="3364"/>
      <c r="G78" s="3364"/>
      <c r="H78" s="336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0">
        <f ca="1">C72-C73</f>
        <v>29068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0">
        <f ca="1">IF(C79&lt;=0,0,C79/C73)</f>
        <v>166.10285714285715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1">
        <f ca="1">ROUND(IF(C79&lt;=0,0,IF(C80&gt;=200%,C79*60%-C73*35%,IF(C80&gt;=100%,C79*50%-C73*15%,IF(C80&gt;=50%,C79*40%-C73*5%,IF(C80&lt;50%,C79*30%,0))))),0)</f>
        <v>17380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4" t="s">
        <v>1854</v>
      </c>
      <c r="B83" s="3375"/>
      <c r="C83" s="3375"/>
      <c r="D83" s="3375"/>
      <c r="E83" s="3375"/>
      <c r="F83" s="3375"/>
      <c r="G83" s="3375"/>
      <c r="H83" s="337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6" t="s">
        <v>1819</v>
      </c>
      <c r="B84" s="3367"/>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0">
        <f ca="1">ROUND(D45/(1+'数据-取费表'!C42),0)</f>
        <v>29243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0">
        <f ca="1">IF(H88="仅含出让金",C87+C90+C91+C92+C93+C94,C87+C91+C92+C93+C94)</f>
        <v>175</v>
      </c>
      <c r="D86" s="2753"/>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48">
        <f>C88+C89</f>
        <v>0</v>
      </c>
      <c r="D87" s="2749"/>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4"/>
      <c r="D88" s="2749"/>
      <c r="E88" s="199" t="s">
        <v>1857</v>
      </c>
      <c r="F88" s="2501"/>
      <c r="G88" s="200" t="s">
        <v>1858</v>
      </c>
      <c r="H88" s="1961"/>
      <c r="I88" s="1958"/>
      <c r="J88" s="2693" t="s">
        <v>2782</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48">
        <f>ROUND(C88*D89,0)</f>
        <v>0</v>
      </c>
      <c r="D89" s="2749">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4"/>
      <c r="D90" s="2749"/>
      <c r="E90" s="199" t="str">
        <f>IF(H88="-","土地取得成本中已包含该笔费用"," ")</f>
        <v xml:space="preserve"> </v>
      </c>
      <c r="F90" s="2501"/>
      <c r="G90" s="3332" t="s">
        <v>2629</v>
      </c>
      <c r="H90" s="3333"/>
      <c r="I90" s="1958"/>
      <c r="J90" s="2693" t="s">
        <v>2783</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8">
        <f>IF(H91="——",成本法!C33,I91)</f>
        <v>0</v>
      </c>
      <c r="D91" s="2749"/>
      <c r="E91" s="3363" t="s">
        <v>1863</v>
      </c>
      <c r="F91" s="3364"/>
      <c r="G91" s="336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8">
        <f>ROUND((C87+C90+C91)*D92,0)</f>
        <v>0</v>
      </c>
      <c r="D92" s="2755"/>
      <c r="E92" s="3363" t="s">
        <v>1866</v>
      </c>
      <c r="F92" s="3364"/>
      <c r="G92" s="3364"/>
      <c r="H92" s="3365"/>
      <c r="I92" s="1958"/>
      <c r="J92" s="2694" t="s">
        <v>2784</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8">
        <f ca="1">ROUND(D45*D93/(1+'数据-取费表'!C42),0)</f>
        <v>175</v>
      </c>
      <c r="D93" s="2749">
        <f>'数据-取费表'!B43</f>
        <v>6.000000000000001E-3</v>
      </c>
      <c r="E93" s="3363" t="s">
        <v>1850</v>
      </c>
      <c r="F93" s="3364"/>
      <c r="G93" s="3364"/>
      <c r="H93" s="336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4">
        <f>ROUND((C87+C90+C91)*D94,0)</f>
        <v>0</v>
      </c>
      <c r="D94" s="2749">
        <v>0.2</v>
      </c>
      <c r="E94" s="3411" t="s">
        <v>1870</v>
      </c>
      <c r="F94" s="3412"/>
      <c r="G94" s="3412"/>
      <c r="H94" s="341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0">
        <f ca="1">ROUND(C85-C86,0)</f>
        <v>29068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0">
        <f ca="1">IF(C95&lt;=0,0,C95/C86)</f>
        <v>166.10285714285715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1">
        <f ca="1">ROUND(IF(C95&lt;=0,0,IF(C96&gt;=200%,C95*60%-C86*35%,IF(C96&gt;=100%,C95*50%-C86*15%,IF(C96&gt;=50%,C95*40%-C86*5%,IF(C96&lt;50%,C95*30%,0))))),0)</f>
        <v>17380</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13" t="s">
        <v>1872</v>
      </c>
      <c r="B100" s="3314"/>
      <c r="C100" s="3314"/>
      <c r="D100" s="3348"/>
      <c r="E100" s="3314" t="s">
        <v>1873</v>
      </c>
      <c r="F100" s="3314"/>
      <c r="G100" s="3314"/>
      <c r="H100" s="3348"/>
      <c r="I100" s="134"/>
    </row>
    <row r="101" spans="1:35" ht="18.75" customHeight="1">
      <c r="A101" s="3356" t="s">
        <v>1874</v>
      </c>
      <c r="B101" s="3357"/>
      <c r="C101" s="2757" t="str">
        <f>C4</f>
        <v>成本法</v>
      </c>
      <c r="D101" s="2758" t="str">
        <f>D4</f>
        <v>收益法</v>
      </c>
      <c r="E101" s="3326" t="s">
        <v>1875</v>
      </c>
      <c r="F101" s="3327"/>
      <c r="G101" s="1964" t="s">
        <v>1876</v>
      </c>
      <c r="H101" s="2767">
        <f ca="1">H118</f>
        <v>30705</v>
      </c>
      <c r="I101" s="134"/>
    </row>
    <row r="102" spans="1:35" ht="18.75" customHeight="1">
      <c r="A102" s="3358" t="s">
        <v>1877</v>
      </c>
      <c r="B102" s="2756" t="s">
        <v>1876</v>
      </c>
      <c r="C102" s="2757">
        <f ca="1">C19</f>
        <v>32357</v>
      </c>
      <c r="D102" s="2758">
        <f ca="1">D19</f>
        <v>29052</v>
      </c>
      <c r="E102" s="3326"/>
      <c r="F102" s="3327"/>
      <c r="G102" s="1964" t="s">
        <v>1878</v>
      </c>
      <c r="H102" s="2727">
        <f ca="1">I118</f>
        <v>11022</v>
      </c>
      <c r="I102" s="134"/>
    </row>
    <row r="103" spans="1:35" ht="42.75" customHeight="1">
      <c r="A103" s="3358"/>
      <c r="B103" s="2756" t="s">
        <v>1878</v>
      </c>
      <c r="C103" s="2759">
        <f ca="1">C20</f>
        <v>11615</v>
      </c>
      <c r="D103" s="2760">
        <f ca="1">D20</f>
        <v>10429</v>
      </c>
      <c r="E103" s="3319" t="s">
        <v>1879</v>
      </c>
      <c r="F103" s="3320"/>
      <c r="G103" s="1965" t="s">
        <v>1880</v>
      </c>
      <c r="H103" s="2767">
        <f>IF(D36="正常操作",H104+H105+H106,H105+H106)</f>
        <v>0</v>
      </c>
      <c r="I103" s="134"/>
    </row>
    <row r="104" spans="1:35" ht="18.75" customHeight="1">
      <c r="A104" s="3358" t="s">
        <v>1881</v>
      </c>
      <c r="B104" s="2761" t="s">
        <v>1876</v>
      </c>
      <c r="C104" s="2762">
        <f ca="1">H118</f>
        <v>30705</v>
      </c>
      <c r="D104" s="2763"/>
      <c r="E104" s="1811" t="s">
        <v>1882</v>
      </c>
      <c r="F104" s="1802"/>
      <c r="G104" s="1965" t="s">
        <v>1880</v>
      </c>
      <c r="H104" s="2768">
        <f>IF(D36="同一抵押权人同一抵押物续贷",C36&amp;"（续贷，未扣减，详见特别提示）",C36)</f>
        <v>0</v>
      </c>
      <c r="I104" s="134"/>
    </row>
    <row r="105" spans="1:35" ht="18.75" customHeight="1" thickBot="1">
      <c r="A105" s="3368"/>
      <c r="B105" s="2764" t="s">
        <v>1878</v>
      </c>
      <c r="C105" s="2765">
        <f ca="1">I118</f>
        <v>11022</v>
      </c>
      <c r="D105" s="2766"/>
      <c r="E105" s="1811" t="s">
        <v>1883</v>
      </c>
      <c r="F105" s="1802"/>
      <c r="G105" s="1965" t="s">
        <v>1880</v>
      </c>
      <c r="H105" s="2769">
        <f>C37</f>
        <v>0</v>
      </c>
      <c r="I105" s="134"/>
    </row>
    <row r="106" spans="1:35" ht="18.75" customHeight="1">
      <c r="A106" s="1884" t="s">
        <v>1884</v>
      </c>
      <c r="B106" s="1884"/>
      <c r="C106" s="1884"/>
      <c r="D106" s="1884"/>
      <c r="E106" s="1966" t="s">
        <v>1885</v>
      </c>
      <c r="F106" s="1802"/>
      <c r="G106" s="1965" t="s">
        <v>1880</v>
      </c>
      <c r="H106" s="2769">
        <f>C38</f>
        <v>0</v>
      </c>
      <c r="I106" s="134"/>
    </row>
    <row r="107" spans="1:35" ht="18.75" customHeight="1">
      <c r="A107" s="134"/>
      <c r="B107" s="134"/>
      <c r="C107" s="134"/>
      <c r="D107" s="134"/>
      <c r="E107" s="3359" t="str">
        <f>IF(项目基本情况!E8="已注销","——","3.房地产抵押价值")</f>
        <v>3.房地产抵押价值</v>
      </c>
      <c r="F107" s="3327"/>
      <c r="G107" s="1964" t="s">
        <v>1876</v>
      </c>
      <c r="H107" s="2767">
        <f ca="1">IF(E107="——","——",H101-H103)</f>
        <v>30705</v>
      </c>
      <c r="I107" s="134"/>
    </row>
    <row r="108" spans="1:35" ht="18.75" customHeight="1">
      <c r="A108" s="134"/>
      <c r="B108" s="134"/>
      <c r="C108" s="134"/>
      <c r="D108" s="134"/>
      <c r="E108" s="3359"/>
      <c r="F108" s="3327"/>
      <c r="G108" s="1964" t="s">
        <v>1878</v>
      </c>
      <c r="H108" s="2727">
        <f ca="1">ROUND(H107*10000/'数据-汇总表'!E3,0)</f>
        <v>11022</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27"/>
      <c r="G109" s="1964" t="s">
        <v>1876</v>
      </c>
      <c r="H109" s="2770" t="str">
        <f>IF(E109="——","——",H101-H105-H106)</f>
        <v>——</v>
      </c>
      <c r="I109" s="134"/>
    </row>
    <row r="110" spans="1:35" ht="18.75" customHeight="1">
      <c r="A110" s="134"/>
      <c r="B110" s="134"/>
      <c r="C110" s="134"/>
      <c r="D110" s="134"/>
      <c r="E110" s="3359"/>
      <c r="F110" s="3327"/>
      <c r="G110" s="1964" t="s">
        <v>1878</v>
      </c>
      <c r="H110" s="2727" t="str">
        <f>IF(H109="——","——",ROUND(H109*10000/'数据-汇总表'!E3,0))</f>
        <v>——</v>
      </c>
      <c r="I110" s="134"/>
    </row>
    <row r="111" spans="1:35" ht="18.75" customHeight="1">
      <c r="A111" s="134"/>
      <c r="B111" s="134"/>
      <c r="C111" s="134"/>
      <c r="D111" s="134"/>
      <c r="E111" s="3360" t="str">
        <f>IF(项目基本情况!E9="抵押净值",IF(OR(项目基本情况!E8="已注销",项目基本情况!E8="房地产抵押价值"),"4.抵押净值","5.抵押净值"),"——")</f>
        <v>——</v>
      </c>
      <c r="F111" s="3346"/>
      <c r="G111" s="1964" t="s">
        <v>1876</v>
      </c>
      <c r="H111" s="2767" t="str">
        <f>IF(E111="——","——",N59)</f>
        <v>——</v>
      </c>
      <c r="I111" s="134"/>
    </row>
    <row r="112" spans="1:35" ht="18.75" customHeight="1" thickBot="1">
      <c r="A112" s="134"/>
      <c r="B112" s="134"/>
      <c r="C112" s="134"/>
      <c r="D112" s="134"/>
      <c r="E112" s="3361"/>
      <c r="F112" s="3362"/>
      <c r="G112" s="1967" t="s">
        <v>1878</v>
      </c>
      <c r="H112" s="2771" t="str">
        <f>IF(E111="——","——",N61)</f>
        <v>——</v>
      </c>
      <c r="I112" s="134"/>
    </row>
    <row r="113" spans="1:27" ht="18.75" customHeight="1">
      <c r="A113" s="134"/>
      <c r="B113" s="134"/>
      <c r="C113" s="134"/>
      <c r="D113" s="134"/>
      <c r="E113" s="3369" t="s">
        <v>1884</v>
      </c>
      <c r="F113" s="3369"/>
      <c r="G113" s="3369"/>
      <c r="H113" s="3369"/>
      <c r="I113" s="134"/>
    </row>
    <row r="114" spans="1:27" ht="3.75" customHeight="1">
      <c r="A114" s="1884"/>
      <c r="B114" s="1884"/>
      <c r="C114" s="1884"/>
      <c r="D114" s="1884"/>
      <c r="E114" s="1946"/>
      <c r="F114" s="1946"/>
      <c r="G114" s="1946"/>
      <c r="H114" s="1946"/>
      <c r="I114" s="1884"/>
    </row>
    <row r="115" spans="1:27" ht="18.75" customHeight="1">
      <c r="A115" s="3380" t="s">
        <v>1886</v>
      </c>
      <c r="B115" s="3381"/>
      <c r="C115" s="3381"/>
      <c r="D115" s="3381"/>
      <c r="E115" s="3381"/>
      <c r="F115" s="3381"/>
      <c r="G115" s="3381"/>
      <c r="H115" s="3381"/>
      <c r="I115" s="3382"/>
    </row>
    <row r="116" spans="1:27" ht="27" customHeight="1">
      <c r="A116" s="3334" t="s">
        <v>1887</v>
      </c>
      <c r="B116" s="3338" t="s">
        <v>1888</v>
      </c>
      <c r="C116" s="3338" t="s">
        <v>1889</v>
      </c>
      <c r="D116" s="3344" t="s">
        <v>1890</v>
      </c>
      <c r="E116" s="3345"/>
      <c r="F116" s="3376" t="s">
        <v>1891</v>
      </c>
      <c r="G116" s="3376"/>
      <c r="H116" s="3334" t="s">
        <v>1892</v>
      </c>
      <c r="I116" s="3334"/>
    </row>
    <row r="117" spans="1:27" ht="18.75" customHeight="1">
      <c r="A117" s="3334"/>
      <c r="B117" s="3339"/>
      <c r="C117" s="3339"/>
      <c r="D117" s="2503" t="s">
        <v>1893</v>
      </c>
      <c r="E117" s="2503" t="s">
        <v>1894</v>
      </c>
      <c r="F117" s="2503" t="s">
        <v>1893</v>
      </c>
      <c r="G117" s="2503" t="s">
        <v>1895</v>
      </c>
      <c r="H117" s="2503" t="s">
        <v>1893</v>
      </c>
      <c r="I117" s="2503" t="s">
        <v>1895</v>
      </c>
    </row>
    <row r="118" spans="1:27" ht="24.75" customHeight="1">
      <c r="A118" s="2772" t="str">
        <f>项目基本情况!S2</f>
        <v>北京市海淀区开拓路5号房地产</v>
      </c>
      <c r="B118" s="2503">
        <f>M18</f>
        <v>27858.239999999998</v>
      </c>
      <c r="C118" s="2503">
        <f>M19</f>
        <v>9429.73</v>
      </c>
      <c r="D118" s="2503">
        <f ca="1">ROUND(IF(D32="总价",C34,E118*B118/10000),0)</f>
        <v>21340</v>
      </c>
      <c r="E118" s="2503">
        <f ca="1">ROUND(IF(C33="自定义",IF(D32="楼面单价",C34,D118*10000/B118),I118-G118),0)</f>
        <v>7660</v>
      </c>
      <c r="F118" s="2503">
        <f ca="1">ROUND(IF(D32="总价",C35,G118*B118/10000),0)</f>
        <v>9365</v>
      </c>
      <c r="G118" s="2503">
        <f ca="1">ROUND(IF(D32="楼面单价",C35,F118*10000/B118),0)</f>
        <v>3362</v>
      </c>
      <c r="H118" s="2503">
        <f ca="1">ROUND(IF(D32="总价",C32,I118*B118/10000),0)</f>
        <v>30705</v>
      </c>
      <c r="I118" s="2503">
        <f ca="1">ROUND(IF(D32="楼面单价",C32,H118*10000/B118),0)</f>
        <v>11022</v>
      </c>
    </row>
    <row r="119" spans="1:27" ht="18.75" customHeight="1">
      <c r="A119" s="3334" t="s">
        <v>1896</v>
      </c>
      <c r="B119" s="3334"/>
      <c r="C119" s="3334"/>
      <c r="D119" s="3340" t="str">
        <f ca="1">NUMBERSTRING(INT(D118*10000),2)&amp;"元整"</f>
        <v>贰亿壹仟叁佰肆拾万元整</v>
      </c>
      <c r="E119" s="3341"/>
      <c r="F119" s="3340" t="str">
        <f ca="1">NUMBERSTRING(INT(F118*10000),2)&amp;"元整"</f>
        <v>玖仟叁佰陆拾伍万元整</v>
      </c>
      <c r="G119" s="3341"/>
      <c r="H119" s="3340" t="str">
        <f ca="1">NUMBERSTRING(INT(H118*10000),2)&amp;"元整"</f>
        <v>叁亿零柒佰零伍万元整</v>
      </c>
      <c r="I119" s="3341"/>
    </row>
    <row r="120" spans="1:27" ht="18.75" customHeight="1">
      <c r="A120" s="3335" t="str">
        <f>IF(项目基本情况!B9="房地产市场价值","",MID(E103,3,LEN(E103)-2))</f>
        <v/>
      </c>
      <c r="B120" s="3336"/>
      <c r="C120" s="3337"/>
      <c r="D120" s="3335">
        <f>H103</f>
        <v>0</v>
      </c>
      <c r="E120" s="3336"/>
      <c r="F120" s="3336"/>
      <c r="G120" s="3336"/>
      <c r="H120" s="3336"/>
      <c r="I120" s="3337"/>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77" t="s">
        <v>1896</v>
      </c>
      <c r="B121" s="3378"/>
      <c r="C121" s="3379"/>
      <c r="D121" s="3340" t="str">
        <f>IF(D120=0,"零元整",NUMBERSTRING(INT(D120*10000),2)&amp;"元整")</f>
        <v>零元整</v>
      </c>
      <c r="E121" s="3342"/>
      <c r="F121" s="3342"/>
      <c r="G121" s="3342"/>
      <c r="H121" s="3342"/>
      <c r="I121" s="3341"/>
      <c r="AA121" s="734"/>
    </row>
    <row r="122" spans="1:27" ht="18.75" customHeight="1">
      <c r="A122" s="3346" t="str">
        <f>IF(项目基本情况!B9="房地产市场价值","",MID(E107,3,LEN(E107)-2))</f>
        <v/>
      </c>
      <c r="B122" s="3346"/>
      <c r="C122" s="3346"/>
      <c r="D122" s="3335">
        <f ca="1">H107</f>
        <v>30705</v>
      </c>
      <c r="E122" s="3336"/>
      <c r="F122" s="3336"/>
      <c r="G122" s="3336"/>
      <c r="H122" s="3336"/>
      <c r="I122" s="3337"/>
      <c r="AA122" s="734"/>
    </row>
    <row r="123" spans="1:27" ht="18.75" customHeight="1">
      <c r="A123" s="3334" t="s">
        <v>1896</v>
      </c>
      <c r="B123" s="3334"/>
      <c r="C123" s="3334"/>
      <c r="D123" s="3340" t="str">
        <f ca="1">NUMBERSTRING(INT(D122*10000),2)&amp;"元整"</f>
        <v>叁亿零柒佰零伍万元整</v>
      </c>
      <c r="E123" s="3342"/>
      <c r="F123" s="3342"/>
      <c r="G123" s="3342"/>
      <c r="H123" s="3342"/>
      <c r="I123" s="3341"/>
      <c r="AA123" s="734"/>
    </row>
    <row r="124" spans="1:27" ht="18.75" customHeight="1">
      <c r="A124" s="3346" t="str">
        <f>IF(项目基本情况!B9="房地产市场价值","",MID(E109,3,LEN(E109)-2))</f>
        <v/>
      </c>
      <c r="B124" s="3346"/>
      <c r="C124" s="3346"/>
      <c r="D124" s="3335" t="str">
        <f>H109</f>
        <v>——</v>
      </c>
      <c r="E124" s="3336"/>
      <c r="F124" s="3336"/>
      <c r="G124" s="3336"/>
      <c r="H124" s="3336"/>
      <c r="I124" s="3337"/>
      <c r="AA124" s="734"/>
    </row>
    <row r="125" spans="1:27" ht="18.75" customHeight="1">
      <c r="A125" s="3334" t="s">
        <v>1896</v>
      </c>
      <c r="B125" s="3334"/>
      <c r="C125" s="3334"/>
      <c r="D125" s="3340" t="e">
        <f>NUMBERSTRING(INT(D124*10000),2)&amp;"元整"</f>
        <v>#VALUE!</v>
      </c>
      <c r="E125" s="3342"/>
      <c r="F125" s="3342"/>
      <c r="G125" s="3342"/>
      <c r="H125" s="3342"/>
      <c r="I125" s="3341"/>
      <c r="AA125" s="734"/>
    </row>
    <row r="126" spans="1:27" ht="18.75" customHeight="1">
      <c r="A126" s="3346" t="str">
        <f>IF(项目基本情况!B9="房地产市场价值","",MID(E111,3,LEN(E111)-2))</f>
        <v/>
      </c>
      <c r="B126" s="3346"/>
      <c r="C126" s="3346"/>
      <c r="D126" s="3335" t="str">
        <f>H111</f>
        <v>——</v>
      </c>
      <c r="E126" s="3336"/>
      <c r="F126" s="3336"/>
      <c r="G126" s="3336"/>
      <c r="H126" s="3336"/>
      <c r="I126" s="3337"/>
      <c r="AA126" s="734"/>
    </row>
    <row r="127" spans="1:27" ht="18.75" customHeight="1">
      <c r="A127" s="3334" t="s">
        <v>1896</v>
      </c>
      <c r="B127" s="3334"/>
      <c r="C127" s="3334"/>
      <c r="D127" s="3340" t="e">
        <f>NUMBERSTRING(INT(D126*10000),2)&amp;"元整"</f>
        <v>#VALUE!</v>
      </c>
      <c r="E127" s="3342"/>
      <c r="F127" s="3342"/>
      <c r="G127" s="3342"/>
      <c r="H127" s="3342"/>
      <c r="I127" s="3341"/>
      <c r="AA127" s="734"/>
    </row>
    <row r="128" spans="1:27" ht="21.75" customHeight="1">
      <c r="A128" s="3343" t="s">
        <v>1897</v>
      </c>
      <c r="B128" s="3343"/>
      <c r="C128" s="3343"/>
      <c r="D128" s="3343"/>
      <c r="E128" s="3343"/>
      <c r="F128" s="3343"/>
      <c r="G128" s="3343"/>
      <c r="H128" s="3343"/>
      <c r="I128" s="3343"/>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90" zoomScaleSheetLayoutView="80" workbookViewId="0">
      <selection activeCell="J44" sqref="J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32357</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11615</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17511</v>
      </c>
      <c r="D5" s="217" t="s">
        <v>1913</v>
      </c>
      <c r="E5" s="218" t="s">
        <v>1914</v>
      </c>
      <c r="F5" s="218" t="s">
        <v>1915</v>
      </c>
      <c r="G5" s="219"/>
    </row>
    <row r="6" spans="1:9" s="220" customFormat="1" ht="13.5" customHeight="1">
      <c r="A6" s="867" t="s">
        <v>1916</v>
      </c>
      <c r="B6" s="221" t="s">
        <v>1917</v>
      </c>
      <c r="C6" s="222">
        <f>[2]基准地价修正!$B$2</f>
        <v>16452</v>
      </c>
      <c r="D6" s="223"/>
      <c r="E6" s="224"/>
      <c r="F6" s="224"/>
      <c r="G6" s="225"/>
    </row>
    <row r="7" spans="1:9" s="220" customFormat="1" ht="13.5" customHeight="1">
      <c r="A7" s="867" t="s">
        <v>1918</v>
      </c>
      <c r="B7" s="221" t="s">
        <v>1919</v>
      </c>
      <c r="C7" s="226">
        <f>ROUND(C6*F7,0)</f>
        <v>502</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557</v>
      </c>
      <c r="D8" s="228"/>
      <c r="E8" s="226"/>
      <c r="F8" s="227"/>
      <c r="G8" s="1993" t="s">
        <v>3172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c r="H9" s="1252"/>
      <c r="I9" s="1995" t="s">
        <v>1923</v>
      </c>
    </row>
    <row r="10" spans="1:9" s="220" customFormat="1" ht="13.5" customHeight="1">
      <c r="A10" s="868" t="s">
        <v>620</v>
      </c>
      <c r="B10" s="230" t="s">
        <v>1924</v>
      </c>
      <c r="C10" s="231">
        <f ca="1">ROUND(D10*E10/10000,0)</f>
        <v>557</v>
      </c>
      <c r="D10" s="935">
        <f ca="1">IF(B1="",'数据-汇总表'!E6,IF(INDIRECT("'数据-取费表'!c"&amp;$G$1)="住宅",INDIRECT("'数据-取费表'!s"&amp;$G$1),INDIRECT("'数据-取费表'!k"&amp;$G$1)+INDIRECT("'数据-取费表'!s"&amp;$G$1)))</f>
        <v>27858.239999999998</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27858.239999999998</v>
      </c>
      <c r="E19" s="217">
        <f>'数据-取费表'!B31</f>
        <v>180</v>
      </c>
      <c r="F19" s="237"/>
      <c r="G19" s="1993" t="s">
        <v>3173</v>
      </c>
    </row>
    <row r="20" spans="1:7" s="220" customFormat="1" ht="13.5" customHeight="1">
      <c r="A20" s="261" t="s">
        <v>1937</v>
      </c>
      <c r="B20" s="216" t="s">
        <v>1938</v>
      </c>
      <c r="C20" s="238">
        <f ca="1">ROUND((C5+C19)*F20,0)</f>
        <v>350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1126</v>
      </c>
      <c r="D22" s="241">
        <f ca="1">C26</f>
        <v>5.9999999999999995E-4</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1115</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11</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1786</v>
      </c>
      <c r="D27" s="241">
        <f ca="1">C29</f>
        <v>2E-3</v>
      </c>
      <c r="E27" s="242" t="s">
        <v>1958</v>
      </c>
      <c r="F27" s="252">
        <f ca="1">IF(B1="",'数据-取费表'!Q16,INDIRECT("'数据-取费表'!q"&amp;$G$1))</f>
        <v>0.1</v>
      </c>
      <c r="G27" s="253" t="s">
        <v>1959</v>
      </c>
    </row>
    <row r="28" spans="1:7" s="220" customFormat="1" ht="13.5" customHeight="1">
      <c r="A28" s="869" t="s">
        <v>610</v>
      </c>
      <c r="B28" s="254" t="s">
        <v>1960</v>
      </c>
      <c r="C28" s="255">
        <f ca="1">ROUND((C5+C19+C20)*F27*'数据-取费表'!B21/'数据-取费表'!B20,0)</f>
        <v>1786</v>
      </c>
      <c r="D28" s="241"/>
      <c r="E28" s="242"/>
      <c r="F28" s="252"/>
      <c r="G28" s="253"/>
    </row>
    <row r="29" spans="1:7" s="220" customFormat="1" ht="13.5" customHeight="1">
      <c r="A29" s="869" t="s">
        <v>611</v>
      </c>
      <c r="B29" s="254" t="s">
        <v>1961</v>
      </c>
      <c r="C29" s="244">
        <f ca="1">ROUND(C21*F27*'数据-取费表'!B21/'数据-取费表'!B20,4)</f>
        <v>2E-3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22479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10690</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9750</v>
      </c>
      <c r="D34" s="223"/>
      <c r="E34" s="226"/>
      <c r="F34" s="263">
        <f ca="1">IF('数据-取费表'!B24=0,1,IF(B1="",'数据-取费表'!N16,INDIRECT("'数据-取费表'!n"&amp;$G$1)))</f>
        <v>1</v>
      </c>
      <c r="G34" s="225" t="s">
        <v>1970</v>
      </c>
    </row>
    <row r="35" spans="1:7" ht="13.5" customHeight="1">
      <c r="A35" s="869" t="s">
        <v>615</v>
      </c>
      <c r="B35" s="221" t="s">
        <v>1971</v>
      </c>
      <c r="C35" s="226">
        <f ca="1">ROUND(C34*F35,0)</f>
        <v>293</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501</v>
      </c>
      <c r="D37" s="223">
        <f ca="1">D19</f>
        <v>27858.239999999998</v>
      </c>
      <c r="E37" s="255">
        <f>'数据-取费表'!B35</f>
        <v>180</v>
      </c>
      <c r="F37" s="265"/>
      <c r="G37" s="267" t="s">
        <v>1976</v>
      </c>
    </row>
    <row r="38" spans="1:7" ht="13.5" customHeight="1">
      <c r="A38" s="869" t="s">
        <v>618</v>
      </c>
      <c r="B38" s="221" t="s">
        <v>1977</v>
      </c>
      <c r="C38" s="226">
        <f ca="1">ROUND(C34*F38,0)</f>
        <v>146</v>
      </c>
      <c r="D38" s="226"/>
      <c r="E38" s="226"/>
      <c r="F38" s="265">
        <f>'数据-取费表'!B36</f>
        <v>1.4999999999999999E-2</v>
      </c>
      <c r="G38" s="225" t="s">
        <v>1972</v>
      </c>
    </row>
    <row r="39" spans="1:7" s="220" customFormat="1" ht="13.5" customHeight="1">
      <c r="A39" s="261" t="s">
        <v>1978</v>
      </c>
      <c r="B39" s="216" t="s">
        <v>1979</v>
      </c>
      <c r="C39" s="238">
        <f ca="1">ROUND(C33*F20,0)</f>
        <v>214</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342</v>
      </c>
      <c r="D41" s="241">
        <f ca="1">C44</f>
        <v>5.9999999999999995E-4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335</v>
      </c>
      <c r="D42" s="244"/>
      <c r="E42" s="244"/>
      <c r="F42" s="245"/>
      <c r="G42" s="3416" t="s">
        <v>1988</v>
      </c>
    </row>
    <row r="43" spans="1:7" ht="13.5" customHeight="1">
      <c r="A43" s="869" t="s">
        <v>611</v>
      </c>
      <c r="B43" s="221" t="s">
        <v>1989</v>
      </c>
      <c r="C43" s="244">
        <f ca="1">ROUND(IF('数据-取费表'!B22&lt;=1,C39*F22*'数据-取费表'!B21/2,C39*(POWER((1+F22),'数据-取费表'!B21/2)-1)),0)</f>
        <v>7</v>
      </c>
      <c r="D43" s="244"/>
      <c r="E43" s="244"/>
      <c r="F43" s="245"/>
      <c r="G43" s="3417"/>
    </row>
    <row r="44" spans="1:7" ht="13.5" customHeight="1">
      <c r="A44" s="869" t="s">
        <v>612</v>
      </c>
      <c r="B44" s="221" t="s">
        <v>1990</v>
      </c>
      <c r="C44" s="244">
        <f ca="1">ROUND(IF('数据-取费表'!B22&lt;=1,C40*F22*'数据-取费表'!B21/2,C40*(POWER((1+F22),'数据-取费表'!B21/2)-1)),4)</f>
        <v>5.9999999999999995E-4</v>
      </c>
      <c r="D44" s="244"/>
      <c r="E44" s="244"/>
      <c r="F44" s="245"/>
      <c r="G44" s="3418"/>
    </row>
    <row r="45" spans="1:7" s="220" customFormat="1" ht="13.5" customHeight="1">
      <c r="A45" s="261" t="s">
        <v>1991</v>
      </c>
      <c r="B45" s="250" t="s">
        <v>1957</v>
      </c>
      <c r="C45" s="251">
        <f ca="1">C46</f>
        <v>1090</v>
      </c>
      <c r="D45" s="241">
        <f ca="1">C47</f>
        <v>2E-3</v>
      </c>
      <c r="E45" s="242" t="s">
        <v>1983</v>
      </c>
      <c r="F45" s="2488">
        <f ca="1">F27</f>
        <v>0.1</v>
      </c>
      <c r="G45" s="253" t="s">
        <v>1992</v>
      </c>
    </row>
    <row r="46" spans="1:7" s="220" customFormat="1" ht="13.5" customHeight="1">
      <c r="A46" s="869" t="s">
        <v>610</v>
      </c>
      <c r="B46" s="254" t="s">
        <v>1993</v>
      </c>
      <c r="C46" s="255">
        <f ca="1">ROUND((C33+C39)*F27,0)</f>
        <v>1090</v>
      </c>
      <c r="D46" s="269"/>
      <c r="E46" s="242"/>
      <c r="F46" s="252"/>
      <c r="G46" s="253"/>
    </row>
    <row r="47" spans="1:7" s="220" customFormat="1" ht="13.5" customHeight="1">
      <c r="A47" s="869" t="s">
        <v>611</v>
      </c>
      <c r="B47" s="254" t="s">
        <v>1994</v>
      </c>
      <c r="C47" s="244">
        <f ca="1">ROUND(C40*F27,4)</f>
        <v>2E-3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13349</v>
      </c>
      <c r="D49" s="238"/>
      <c r="E49" s="238"/>
      <c r="F49" s="270"/>
      <c r="G49" s="240" t="s">
        <v>1998</v>
      </c>
    </row>
    <row r="50" spans="1:7" s="264" customFormat="1" ht="24">
      <c r="A50" s="261" t="s">
        <v>1999</v>
      </c>
      <c r="B50" s="216" t="s">
        <v>2000</v>
      </c>
      <c r="C50" s="238"/>
      <c r="D50" s="238"/>
      <c r="E50" s="238"/>
      <c r="F50" s="270">
        <f>IF('数据-取费表'!B24=0,'数据-取费表'!N16,1)</f>
        <v>0.74</v>
      </c>
      <c r="G50" s="253" t="s">
        <v>2001</v>
      </c>
    </row>
    <row r="51" spans="1:7" ht="16.5" customHeight="1">
      <c r="A51" s="261" t="s">
        <v>2002</v>
      </c>
      <c r="B51" s="216" t="s">
        <v>2003</v>
      </c>
      <c r="C51" s="238">
        <f ca="1">ROUND(C49*F50,0)</f>
        <v>9878</v>
      </c>
      <c r="D51" s="238"/>
      <c r="E51" s="238"/>
      <c r="F51" s="270"/>
      <c r="G51" s="240" t="s">
        <v>2004</v>
      </c>
    </row>
    <row r="52" spans="1:7" s="214" customFormat="1" ht="16.5" thickBot="1">
      <c r="A52" s="271" t="s">
        <v>2005</v>
      </c>
      <c r="B52" s="272"/>
      <c r="C52" s="273">
        <f ca="1">C31+C51</f>
        <v>32357</v>
      </c>
      <c r="D52" s="272"/>
      <c r="E52" s="272"/>
      <c r="F52" s="272"/>
      <c r="G52" s="274"/>
    </row>
    <row r="55" spans="1:7" ht="15">
      <c r="B55" s="276" t="s">
        <v>2006</v>
      </c>
      <c r="C55" s="277"/>
    </row>
    <row r="56" spans="1:7">
      <c r="B56" s="279" t="s">
        <v>1237</v>
      </c>
      <c r="C56" s="281">
        <f ca="1">1-C57</f>
        <v>0.69500000000000006</v>
      </c>
    </row>
    <row r="57" spans="1:7">
      <c r="B57" s="279" t="s">
        <v>1238</v>
      </c>
      <c r="C57" s="280">
        <f ca="1">ROUND(C51/C52,3)</f>
        <v>0.30499999999999999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27" t="str">
        <f>项目基本情况!B1</f>
        <v>北京市海淀区开拓路5号房地产市场价值预评估</v>
      </c>
      <c r="C37" s="3227"/>
      <c r="D37" s="3227"/>
      <c r="E37" s="3227"/>
      <c r="F37" s="3227"/>
      <c r="G37" s="3227"/>
      <c r="H37" s="3227"/>
      <c r="I37" s="3227"/>
    </row>
    <row r="38" spans="1:9">
      <c r="A38" s="934"/>
      <c r="B38" s="934"/>
    </row>
    <row r="39" spans="1:9">
      <c r="A39" s="932" t="s">
        <v>637</v>
      </c>
      <c r="B39" s="932" t="s">
        <v>639</v>
      </c>
    </row>
    <row r="40" spans="1:9">
      <c r="A40" s="932"/>
      <c r="B40" s="1610" t="str">
        <f>项目基本情况!B5</f>
        <v>北京海淀科技金融资本控股集团股份有限公司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11238</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4034</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5571648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5571648</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5571648</v>
      </c>
      <c r="D10" s="935">
        <f ca="1">IF(B1="",'数据-汇总表'!E6,IF(INDIRECT("'数据-取费表'!c"&amp;$G$1)="住宅",INDIRECT("'数据-取费表'!s"&amp;$G$1),INDIRECT("'数据-取费表'!k"&amp;$G$1)+INDIRECT("'数据-取费表'!s"&amp;$G$1)))</f>
        <v>27858.239999999998</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5014483</v>
      </c>
      <c r="D19" s="939">
        <f ca="1">D9+D10</f>
        <v>27858.239999999998</v>
      </c>
      <c r="E19" s="217">
        <f>'数据-取费表'!B31</f>
        <v>180</v>
      </c>
      <c r="F19" s="237"/>
      <c r="G19" s="1993"/>
    </row>
    <row r="20" spans="1:7" s="220" customFormat="1" ht="13.5" customHeight="1">
      <c r="A20" s="261" t="s">
        <v>2018</v>
      </c>
      <c r="B20" s="216" t="s">
        <v>2019</v>
      </c>
      <c r="C20" s="238">
        <f ca="1">ROUND((C5+C19)*F20,0)</f>
        <v>211723</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680516</v>
      </c>
      <c r="D22" s="241">
        <f ca="1">C26</f>
        <v>5.9999999999999995E-4</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354674</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319207</v>
      </c>
      <c r="D24" s="244"/>
      <c r="E24" s="244"/>
      <c r="F24" s="245"/>
      <c r="G24" s="246" t="s">
        <v>2030</v>
      </c>
    </row>
    <row r="25" spans="1:7" s="220" customFormat="1" ht="24">
      <c r="A25" s="869" t="s">
        <v>1920</v>
      </c>
      <c r="B25" s="221" t="s">
        <v>2031</v>
      </c>
      <c r="C25" s="1243">
        <f ca="1">ROUND(IF('数据-取费表'!B22&lt;=1,C20*F22*'数据-取费表'!B22/2,C20*(POWER((1+F22),'数据-取费表'!B22/2)-1)),0)</f>
        <v>6635</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1079785</v>
      </c>
      <c r="D27" s="241">
        <f ca="1">C29</f>
        <v>2E-3</v>
      </c>
      <c r="E27" s="242" t="s">
        <v>1958</v>
      </c>
      <c r="F27" s="252">
        <f ca="1">IF(B1="",'数据-取费表'!Q16,INDIRECT("'数据-取费表'!q"&amp;$G$1))</f>
        <v>0.1</v>
      </c>
      <c r="G27" s="253" t="s">
        <v>1959</v>
      </c>
    </row>
    <row r="28" spans="1:7" s="220" customFormat="1" ht="13.5" customHeight="1">
      <c r="A28" s="869" t="s">
        <v>610</v>
      </c>
      <c r="B28" s="254" t="s">
        <v>1960</v>
      </c>
      <c r="C28" s="255">
        <f ca="1">ROUND((C5+C19+C20)*F27,0)</f>
        <v>1079785</v>
      </c>
      <c r="D28" s="241"/>
      <c r="E28" s="242"/>
      <c r="F28" s="252"/>
      <c r="G28" s="253"/>
    </row>
    <row r="29" spans="1:7" s="220" customFormat="1" ht="13.5" customHeight="1">
      <c r="A29" s="869" t="s">
        <v>611</v>
      </c>
      <c r="B29" s="254" t="s">
        <v>1961</v>
      </c>
      <c r="C29" s="244">
        <f ca="1">ROUND(C21*F27,4)</f>
        <v>2E-3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13589606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106905996</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97503840</v>
      </c>
      <c r="D34" s="223"/>
      <c r="E34" s="226"/>
      <c r="F34" s="263"/>
      <c r="G34" s="225"/>
    </row>
    <row r="35" spans="1:7" ht="13.5" customHeight="1">
      <c r="A35" s="869" t="s">
        <v>615</v>
      </c>
      <c r="B35" s="221" t="s">
        <v>1971</v>
      </c>
      <c r="C35" s="226">
        <f ca="1">ROUND(C34*F35,0)</f>
        <v>2925115</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5014483</v>
      </c>
      <c r="D37" s="223">
        <f ca="1">D19</f>
        <v>27858.239999999998</v>
      </c>
      <c r="E37" s="255">
        <f>'数据-取费表'!B35</f>
        <v>180</v>
      </c>
      <c r="F37" s="265"/>
      <c r="G37" s="267"/>
    </row>
    <row r="38" spans="1:7" ht="13.5" customHeight="1">
      <c r="A38" s="869" t="s">
        <v>618</v>
      </c>
      <c r="B38" s="221" t="s">
        <v>1977</v>
      </c>
      <c r="C38" s="226">
        <f ca="1">ROUND(C34*F38,0)</f>
        <v>1462558</v>
      </c>
      <c r="D38" s="226"/>
      <c r="E38" s="226"/>
      <c r="F38" s="265">
        <f>'数据-取费表'!B36</f>
        <v>1.4999999999999999E-2</v>
      </c>
      <c r="G38" s="225" t="s">
        <v>1972</v>
      </c>
    </row>
    <row r="39" spans="1:7" s="220" customFormat="1" ht="13.5" customHeight="1">
      <c r="A39" s="261" t="s">
        <v>1978</v>
      </c>
      <c r="B39" s="216" t="s">
        <v>1979</v>
      </c>
      <c r="C39" s="238">
        <f ca="1">ROUND(C33*F20,0)</f>
        <v>2138120</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3417165</v>
      </c>
      <c r="D41" s="241">
        <f ca="1">C44</f>
        <v>5.9999999999999995E-4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3350162</v>
      </c>
      <c r="D42" s="244"/>
      <c r="E42" s="244"/>
      <c r="F42" s="245"/>
      <c r="G42" s="3416" t="s">
        <v>2035</v>
      </c>
    </row>
    <row r="43" spans="1:7" ht="13.5" customHeight="1">
      <c r="A43" s="869" t="s">
        <v>611</v>
      </c>
      <c r="B43" s="221" t="s">
        <v>1989</v>
      </c>
      <c r="C43" s="244">
        <f ca="1">ROUND(IF('数据-取费表'!B22&lt;=1,C39*F22*'数据-取费表'!B20/2,C39*(POWER((1+F22),'数据-取费表'!B20/2)-1)),0)</f>
        <v>67003</v>
      </c>
      <c r="D43" s="244"/>
      <c r="E43" s="244"/>
      <c r="F43" s="245"/>
      <c r="G43" s="3417"/>
    </row>
    <row r="44" spans="1:7" ht="13.5" customHeight="1">
      <c r="A44" s="869" t="s">
        <v>612</v>
      </c>
      <c r="B44" s="221" t="s">
        <v>1990</v>
      </c>
      <c r="C44" s="244">
        <f ca="1">ROUND(IF('数据-取费表'!B22&lt;=1,C40*F22*'数据-取费表'!B20/2,C40*(POWER((1+F22),'数据-取费表'!B20/2)-1)),4)</f>
        <v>5.9999999999999995E-4</v>
      </c>
      <c r="D44" s="244"/>
      <c r="E44" s="244"/>
      <c r="F44" s="245"/>
      <c r="G44" s="3418"/>
    </row>
    <row r="45" spans="1:7" s="220" customFormat="1" ht="13.5" customHeight="1">
      <c r="A45" s="261" t="s">
        <v>1991</v>
      </c>
      <c r="B45" s="250" t="s">
        <v>1957</v>
      </c>
      <c r="C45" s="251">
        <f ca="1">C46</f>
        <v>10904412</v>
      </c>
      <c r="D45" s="241">
        <f ca="1">C47</f>
        <v>2E-3</v>
      </c>
      <c r="E45" s="242" t="s">
        <v>1983</v>
      </c>
      <c r="F45" s="2488">
        <f ca="1">F27</f>
        <v>0.1</v>
      </c>
      <c r="G45" s="253" t="s">
        <v>1992</v>
      </c>
    </row>
    <row r="46" spans="1:7" s="220" customFormat="1" ht="13.5" customHeight="1">
      <c r="A46" s="869" t="s">
        <v>610</v>
      </c>
      <c r="B46" s="254" t="s">
        <v>1993</v>
      </c>
      <c r="C46" s="255">
        <f ca="1">ROUND((C33+C39)*F27,0)</f>
        <v>10904412</v>
      </c>
      <c r="D46" s="269"/>
      <c r="E46" s="242"/>
      <c r="F46" s="252"/>
      <c r="G46" s="253"/>
    </row>
    <row r="47" spans="1:7" s="220" customFormat="1" ht="13.5" customHeight="1">
      <c r="A47" s="869" t="s">
        <v>611</v>
      </c>
      <c r="B47" s="254" t="s">
        <v>1994</v>
      </c>
      <c r="C47" s="244">
        <f ca="1">ROUND(C40*F27,4)</f>
        <v>2E-3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133498207</v>
      </c>
      <c r="D49" s="238"/>
      <c r="E49" s="238"/>
      <c r="F49" s="270"/>
      <c r="G49" s="240" t="s">
        <v>1998</v>
      </c>
    </row>
    <row r="50" spans="1:7" s="264" customFormat="1">
      <c r="A50" s="261" t="s">
        <v>1999</v>
      </c>
      <c r="B50" s="216" t="s">
        <v>2000</v>
      </c>
      <c r="C50" s="238"/>
      <c r="D50" s="238"/>
      <c r="E50" s="238"/>
      <c r="F50" s="270">
        <f>IF('数据-取费表'!B24=0,'数据-取费表'!N16,1)</f>
        <v>0.74</v>
      </c>
      <c r="G50" s="253"/>
    </row>
    <row r="51" spans="1:7" ht="16.5" customHeight="1">
      <c r="A51" s="261" t="s">
        <v>2002</v>
      </c>
      <c r="B51" s="216" t="s">
        <v>2037</v>
      </c>
      <c r="C51" s="238">
        <f ca="1">ROUND(C49*F50,0)</f>
        <v>98788673</v>
      </c>
      <c r="D51" s="238"/>
      <c r="E51" s="238"/>
      <c r="F51" s="270"/>
      <c r="G51" s="240" t="s">
        <v>2004</v>
      </c>
    </row>
    <row r="52" spans="1:7" s="214" customFormat="1" ht="16.5" thickBot="1">
      <c r="A52" s="271" t="s">
        <v>2005</v>
      </c>
      <c r="B52" s="272"/>
      <c r="C52" s="273">
        <f ca="1">C31+C51</f>
        <v>112378279</v>
      </c>
      <c r="D52" s="272"/>
      <c r="E52" s="272"/>
      <c r="F52" s="272"/>
      <c r="G52" s="274"/>
    </row>
    <row r="55" spans="1:7" ht="15">
      <c r="B55" s="276" t="s">
        <v>2006</v>
      </c>
      <c r="C55" s="277"/>
    </row>
    <row r="56" spans="1:7">
      <c r="B56" s="279" t="s">
        <v>1237</v>
      </c>
      <c r="C56" s="281">
        <f ca="1">1-C57</f>
        <v>0.121</v>
      </c>
    </row>
    <row r="57" spans="1:7">
      <c r="B57" s="279" t="s">
        <v>1238</v>
      </c>
      <c r="C57" s="280">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27858.239999999998</v>
      </c>
      <c r="E14" s="24">
        <f>'数据-取费表'!B35</f>
        <v>180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27858.239999999998</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557</v>
      </c>
      <c r="D20" s="936">
        <f ca="1">IF(C1="",'数据-汇总表'!E6,IF(INDIRECT("'数据-取费表'!c"&amp;$K$1)="住宅",INDIRECT("'数据-取费表'!s"&amp;$K$1),INDIRECT("'数据-取费表'!k"&amp;$K$1)+INDIRECT("'数据-取费表'!s"&amp;$K$1)))</f>
        <v>27858.239999999998</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3198</v>
      </c>
      <c r="D1" s="1497" t="s">
        <v>70</v>
      </c>
      <c r="E1" s="1498" t="s">
        <v>1111</v>
      </c>
      <c r="F1" s="1174">
        <f ca="1">J53</f>
        <v>33.49</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29052</v>
      </c>
      <c r="C2" s="1522" t="s">
        <v>1240</v>
      </c>
      <c r="D2" s="1522"/>
      <c r="E2" s="1523"/>
      <c r="F2" s="1524"/>
      <c r="G2" s="2881"/>
      <c r="H2" s="2870"/>
      <c r="I2" s="2870"/>
      <c r="J2" s="2870"/>
      <c r="K2" s="2871"/>
      <c r="L2" s="2870"/>
      <c r="M2" s="2870"/>
    </row>
    <row r="3" spans="1:37" ht="18" customHeight="1" thickBot="1">
      <c r="A3" s="1525" t="s">
        <v>1241</v>
      </c>
      <c r="B3" s="1526">
        <f ca="1">IF(ISERROR(B2*10000/F43),0,ROUND(B2*10000/F43,0))</f>
        <v>10429</v>
      </c>
      <c r="C3" s="1522" t="s">
        <v>1242</v>
      </c>
      <c r="D3" s="1522"/>
      <c r="E3" s="1523"/>
      <c r="F3" s="1524"/>
      <c r="G3" s="2881"/>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1900</v>
      </c>
      <c r="D5" s="1499" t="s">
        <v>1126</v>
      </c>
      <c r="E5" s="1184"/>
      <c r="F5" s="1185"/>
      <c r="G5" s="1519"/>
      <c r="H5" s="305">
        <v>1</v>
      </c>
      <c r="I5" s="306" t="s">
        <v>1125</v>
      </c>
      <c r="J5" s="1183">
        <f ca="1">J6+J10+J12</f>
        <v>0</v>
      </c>
      <c r="K5" s="1499" t="s">
        <v>1126</v>
      </c>
      <c r="L5" s="1184"/>
      <c r="M5" s="1185"/>
    </row>
    <row r="6" spans="1:37" ht="18" customHeight="1">
      <c r="A6" s="1182" t="s">
        <v>822</v>
      </c>
      <c r="B6" s="3421" t="s">
        <v>1127</v>
      </c>
      <c r="C6" s="1187">
        <f ca="1">ROUND(F6*F8*F7*(1-F9)/10000,0)</f>
        <v>1900</v>
      </c>
      <c r="D6" s="160" t="s">
        <v>2608</v>
      </c>
      <c r="E6" s="308" t="s">
        <v>1129</v>
      </c>
      <c r="F6" s="309">
        <f ca="1">INDIRECT("'数据-取费表'!u"&amp;$G$1)</f>
        <v>20000000</v>
      </c>
      <c r="G6" s="1519"/>
      <c r="H6" s="1182" t="s">
        <v>822</v>
      </c>
      <c r="I6" s="3421" t="s">
        <v>1127</v>
      </c>
      <c r="J6" s="307">
        <f ca="1">ROUND(M6*M8*M7*(1-M9)/10000,0)</f>
        <v>0</v>
      </c>
      <c r="K6" s="160" t="s">
        <v>2607</v>
      </c>
      <c r="L6" s="308" t="s">
        <v>1129</v>
      </c>
      <c r="M6" s="309">
        <f ca="1">INDIRECT("'数据-取费表'!z"&amp;$G$1)</f>
        <v>0</v>
      </c>
    </row>
    <row r="7" spans="1:37" ht="18" customHeight="1">
      <c r="A7" s="1186"/>
      <c r="B7" s="3422"/>
      <c r="C7" s="1188"/>
      <c r="D7" s="313"/>
      <c r="E7" s="1189" t="s">
        <v>1130</v>
      </c>
      <c r="F7" s="309">
        <f ca="1">IF(INDIRECT("'数据-取费表'!ah"&amp;$G$1)="",INDIRECT("'数据-取费表'!k"&amp;$G$1),INDIRECT("'数据-取费表'!ah"&amp;$G$1))</f>
        <v>1</v>
      </c>
      <c r="G7" s="1519"/>
      <c r="H7" s="310"/>
      <c r="I7" s="3422"/>
      <c r="J7" s="312"/>
      <c r="K7" s="313"/>
      <c r="L7" s="308" t="s">
        <v>1130</v>
      </c>
      <c r="M7" s="309">
        <f ca="1">F7</f>
        <v>1</v>
      </c>
    </row>
    <row r="8" spans="1:37" ht="18" customHeight="1">
      <c r="A8" s="310"/>
      <c r="B8" s="3422"/>
      <c r="C8" s="312"/>
      <c r="D8" s="313"/>
      <c r="E8" s="308" t="s">
        <v>1131</v>
      </c>
      <c r="F8" s="309">
        <f ca="1">INDIRECT("'数据-取费表'!ai"&amp;$G$1)</f>
        <v>1</v>
      </c>
      <c r="G8" s="1519"/>
      <c r="H8" s="310"/>
      <c r="I8" s="3422"/>
      <c r="J8" s="312"/>
      <c r="K8" s="313"/>
      <c r="L8" s="308" t="s">
        <v>1131</v>
      </c>
      <c r="M8" s="309">
        <f ca="1">INDIRECT("'数据-取费表'!ai"&amp;$G$1)</f>
        <v>1</v>
      </c>
    </row>
    <row r="9" spans="1:37" ht="18" customHeight="1">
      <c r="A9" s="310"/>
      <c r="B9" s="3423"/>
      <c r="C9" s="312"/>
      <c r="D9" s="313"/>
      <c r="E9" s="308" t="s">
        <v>1132</v>
      </c>
      <c r="F9" s="318">
        <f ca="1">INDIRECT("'数据-取费表'!w"&amp;$G$1)</f>
        <v>0.05</v>
      </c>
      <c r="G9" s="1519"/>
      <c r="H9" s="310"/>
      <c r="I9" s="342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3210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9878</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9750</v>
      </c>
      <c r="D14" s="1480" t="s">
        <v>1142</v>
      </c>
      <c r="E14" s="1477"/>
      <c r="F14" s="325"/>
      <c r="G14" s="1519"/>
      <c r="H14" s="1094" t="s">
        <v>822</v>
      </c>
      <c r="I14" s="308" t="s">
        <v>1143</v>
      </c>
      <c r="J14" s="24">
        <f ca="1">C29</f>
        <v>13349</v>
      </c>
      <c r="K14" s="15"/>
      <c r="L14" s="897"/>
      <c r="M14" s="898"/>
    </row>
    <row r="15" spans="1:37" s="1532" customFormat="1" ht="18" customHeight="1" thickBot="1">
      <c r="A15" s="1094" t="s">
        <v>823</v>
      </c>
      <c r="B15" s="308" t="s">
        <v>1144</v>
      </c>
      <c r="C15" s="24">
        <f ca="1">ROUND(C14*F15,0)</f>
        <v>293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257</v>
      </c>
      <c r="K16" s="1200" t="s">
        <v>1149</v>
      </c>
      <c r="L16" s="1201"/>
      <c r="M16" s="1185"/>
    </row>
    <row r="17" spans="1:37" s="1532" customFormat="1" ht="18" customHeight="1">
      <c r="A17" s="1094" t="s">
        <v>1114</v>
      </c>
      <c r="B17" s="308" t="s">
        <v>1150</v>
      </c>
      <c r="C17" s="24">
        <f ca="1">ROUND(F17*(F43+INDIRECT("'数据-取费表'!S"&amp;$G$1))/10000,0)</f>
        <v>501</v>
      </c>
      <c r="D17" s="308" t="s">
        <v>1151</v>
      </c>
      <c r="E17" s="308" t="s">
        <v>1152</v>
      </c>
      <c r="F17" s="26">
        <f>'数据-取费表'!B35</f>
        <v>180</v>
      </c>
      <c r="G17" s="1531"/>
      <c r="H17" s="1094" t="s">
        <v>822</v>
      </c>
      <c r="I17" s="308" t="s">
        <v>1153</v>
      </c>
      <c r="J17" s="2485">
        <f ca="1">ROUND(IF(AND(项目基本情况!B11="自然人",项目基本情况!B10="北京市"),J6*M17/(1+'数据-取费表'!C42),J18+J19+J20),0)</f>
        <v>123</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10690</v>
      </c>
      <c r="D19" s="136" t="s">
        <v>1160</v>
      </c>
      <c r="E19" s="1495"/>
      <c r="F19" s="26"/>
      <c r="G19" s="1519"/>
      <c r="H19" s="1094" t="s">
        <v>823</v>
      </c>
      <c r="I19" s="308" t="s">
        <v>1161</v>
      </c>
      <c r="J19" s="24">
        <f ca="1">IF(K19="按租金收入计税",ROUND(J6*M19/(1+'数据-取费表'!C42),2),ROUND(C29*M19*0.7,2))</f>
        <v>112.13</v>
      </c>
      <c r="K19" s="1505" t="s">
        <v>1162</v>
      </c>
      <c r="L19" s="308" t="s">
        <v>1146</v>
      </c>
      <c r="M19" s="328">
        <f>IF(K19="按租金收入计税",'数据-取费表'!B51,'数据-取费表'!B50)</f>
        <v>1.2E-2</v>
      </c>
    </row>
    <row r="20" spans="1:37" s="1532" customFormat="1" ht="18" customHeight="1">
      <c r="A20" s="1094" t="s">
        <v>826</v>
      </c>
      <c r="B20" s="308" t="s">
        <v>1163</v>
      </c>
      <c r="C20" s="24">
        <f ca="1">ROUND(C19*F20,0)</f>
        <v>214</v>
      </c>
      <c r="D20" s="329" t="s">
        <v>1164</v>
      </c>
      <c r="E20" s="308" t="s">
        <v>1146</v>
      </c>
      <c r="F20" s="328">
        <f>'数据-取费表'!B37</f>
        <v>0.02</v>
      </c>
      <c r="G20" s="1531"/>
      <c r="H20" s="1094" t="s">
        <v>1113</v>
      </c>
      <c r="I20" s="160" t="s">
        <v>1165</v>
      </c>
      <c r="J20" s="25">
        <f ca="1">ROUND(M20*M21/10000,2)</f>
        <v>11.32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9429.73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133.5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342</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-257</v>
      </c>
      <c r="K25" s="1208" t="s">
        <v>1188</v>
      </c>
      <c r="L25" s="1209"/>
      <c r="M25" s="1210"/>
    </row>
    <row r="26" spans="1:37">
      <c r="A26" s="1094" t="s">
        <v>821</v>
      </c>
      <c r="B26" s="308" t="s">
        <v>1189</v>
      </c>
      <c r="C26" s="24">
        <f ca="1">ROUND((C19+C20)*F26,0)</f>
        <v>1090</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13349</v>
      </c>
      <c r="D29" s="1205"/>
      <c r="E29" s="1203"/>
      <c r="F29" s="1206"/>
      <c r="G29" s="1531"/>
      <c r="H29" s="340" t="s">
        <v>820</v>
      </c>
      <c r="I29" s="341" t="s">
        <v>1203</v>
      </c>
      <c r="J29" s="342">
        <f ca="1">ROUND(J26/(1+F40)^F41,0)</f>
        <v>0</v>
      </c>
      <c r="K29" s="343" t="s">
        <v>1204</v>
      </c>
      <c r="L29" s="344"/>
      <c r="M29" s="345">
        <f ca="1">INDIRECT("'数据-取费表'!k"&amp;$G$1)</f>
        <v>27858.239999999998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497</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330</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IF(项目基本情况!B11="自然人","——",ROUND(C6*F32/(1+'数据-取费表'!C42),2))</f>
        <v>101.33</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IF(项目基本情况!B11="自然人","——",IF(D33="按租金收入计税",ROUND(C6*F33/(1+'数据-取费表'!C42),2),IF(D33="按房产原值计税",ROUND(C29*F33*0.7,2),INDIRECT("'数据-取费表'!Aj"&amp;$G$1))))</f>
        <v>217.14</v>
      </c>
      <c r="D33" s="1505" t="s">
        <v>3211</v>
      </c>
      <c r="E33" s="308" t="s">
        <v>1146</v>
      </c>
      <c r="F33" s="328">
        <f>IF(D33="按票据","——",IF(D33="按租金收入计税",'数据-取费表'!B51,'数据-取费表'!B50))</f>
        <v>0.12</v>
      </c>
      <c r="G33" s="1519"/>
      <c r="H33" s="2875"/>
      <c r="I33" s="1533"/>
      <c r="J33" s="1534"/>
      <c r="K33" s="2876"/>
      <c r="L33" s="2875"/>
      <c r="M33" s="2875"/>
    </row>
    <row r="34" spans="1:18" ht="18" customHeight="1">
      <c r="A34" s="1182" t="s">
        <v>1113</v>
      </c>
      <c r="B34" s="160" t="s">
        <v>1165</v>
      </c>
      <c r="C34" s="25">
        <f ca="1">IF(项目基本情况!B11="自然人","——",ROUND(F34*F35/10000,2))</f>
        <v>11.32</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9429.73</v>
      </c>
      <c r="G35" s="1519"/>
      <c r="H35" s="2872"/>
      <c r="I35" s="1533"/>
      <c r="J35" s="1534"/>
      <c r="K35" s="2876"/>
      <c r="L35" s="2875"/>
      <c r="M35" s="2875"/>
    </row>
    <row r="36" spans="1:18" ht="18" customHeight="1">
      <c r="A36" s="1215" t="s">
        <v>826</v>
      </c>
      <c r="B36" s="308" t="s">
        <v>1173</v>
      </c>
      <c r="C36" s="24">
        <f ca="1">ROUND(C29*F36,1)</f>
        <v>133.5</v>
      </c>
      <c r="D36" s="1479" t="s">
        <v>1206</v>
      </c>
      <c r="E36" s="308" t="s">
        <v>1146</v>
      </c>
      <c r="F36" s="334">
        <f ca="1">INDIRECT("'数据-取费表'!Ak"&amp;$G$1)</f>
        <v>0.01</v>
      </c>
      <c r="G36" s="1519"/>
      <c r="H36" s="2875"/>
      <c r="I36" s="1533"/>
      <c r="J36" s="1534"/>
      <c r="K36" s="2716"/>
      <c r="L36" s="2875"/>
      <c r="M36" s="2875"/>
    </row>
    <row r="37" spans="1:18" ht="18" customHeight="1">
      <c r="A37" s="1094" t="s">
        <v>862</v>
      </c>
      <c r="B37" s="308" t="s">
        <v>1177</v>
      </c>
      <c r="C37" s="24">
        <f ca="1">ROUND(C13*F37,1)</f>
        <v>14.8</v>
      </c>
      <c r="D37" s="1479" t="s">
        <v>1178</v>
      </c>
      <c r="E37" s="308" t="s">
        <v>1179</v>
      </c>
      <c r="F37" s="336">
        <f ca="1">INDIRECT("'数据-取费表'!Al"&amp;$G$1)</f>
        <v>1.5E-3</v>
      </c>
      <c r="G37" s="1519"/>
      <c r="H37" s="2875"/>
      <c r="I37" s="1533"/>
      <c r="J37" s="1534"/>
      <c r="K37" s="2716"/>
      <c r="L37" s="2875"/>
      <c r="M37" s="2875"/>
    </row>
    <row r="38" spans="1:18" ht="18" customHeight="1" thickBot="1">
      <c r="A38" s="1202" t="s">
        <v>1117</v>
      </c>
      <c r="B38" s="1203" t="s">
        <v>1163</v>
      </c>
      <c r="C38" s="1204">
        <f ca="1">ROUND(C5*F38,1)</f>
        <v>19</v>
      </c>
      <c r="D38" s="1205" t="s">
        <v>1183</v>
      </c>
      <c r="E38" s="1203" t="s">
        <v>1179</v>
      </c>
      <c r="F38" s="1199">
        <f ca="1">INDIRECT("'数据-取费表'!Am"&amp;$G$1)</f>
        <v>0.01</v>
      </c>
      <c r="G38" s="1519"/>
      <c r="H38" s="2875"/>
      <c r="I38" s="1533"/>
      <c r="J38" s="1534"/>
      <c r="K38" s="2879"/>
      <c r="L38" s="2875"/>
      <c r="M38" s="2875"/>
    </row>
    <row r="39" spans="1:18" ht="24.6" customHeight="1" thickTop="1">
      <c r="A39" s="1192" t="s">
        <v>818</v>
      </c>
      <c r="B39" s="1207" t="s">
        <v>1207</v>
      </c>
      <c r="C39" s="316">
        <f ca="1">C5-C30</f>
        <v>1403</v>
      </c>
      <c r="D39" s="1208" t="s">
        <v>1208</v>
      </c>
      <c r="E39" s="1209"/>
      <c r="F39" s="1210"/>
      <c r="G39" s="1519"/>
      <c r="H39" s="2875"/>
      <c r="I39" s="1533"/>
      <c r="J39" s="1534"/>
      <c r="K39" s="2879"/>
      <c r="L39" s="2875"/>
      <c r="M39" s="2875"/>
    </row>
    <row r="40" spans="1:18" ht="18" customHeight="1">
      <c r="A40" s="305" t="s">
        <v>819</v>
      </c>
      <c r="B40" s="306" t="s">
        <v>1209</v>
      </c>
      <c r="C40" s="307">
        <f ca="1">ROUND(C39*(1-((1+F42)/(1+F40))^F41)/(F40-F42),0)</f>
        <v>29052</v>
      </c>
      <c r="D40" s="330" t="s">
        <v>1193</v>
      </c>
      <c r="E40" s="308" t="s">
        <v>1194</v>
      </c>
      <c r="F40" s="318">
        <f ca="1">INDIRECT("'数据-取费表'!I"&amp;$G$1)</f>
        <v>0.05</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33.49</v>
      </c>
      <c r="G41" s="1519"/>
      <c r="H41" s="1306"/>
      <c r="I41" s="1533"/>
      <c r="J41" s="1534"/>
      <c r="K41" s="2716"/>
      <c r="L41" s="1306"/>
      <c r="M41" s="1306"/>
    </row>
    <row r="42" spans="1:18" ht="18" customHeight="1">
      <c r="A42" s="314"/>
      <c r="B42" s="315"/>
      <c r="C42" s="316"/>
      <c r="D42" s="333"/>
      <c r="E42" s="308" t="s">
        <v>1201</v>
      </c>
      <c r="F42" s="318">
        <f ca="1">INDIRECT("'数据-取费表'!v"&amp;$G$1)</f>
        <v>0.02</v>
      </c>
      <c r="G42" s="1519"/>
      <c r="H42" s="1306"/>
      <c r="I42" s="1533"/>
      <c r="J42" s="1534"/>
      <c r="K42" s="2716"/>
      <c r="L42" s="1306"/>
      <c r="M42" s="1306"/>
    </row>
    <row r="43" spans="1:18" ht="18" customHeight="1" thickBot="1">
      <c r="A43" s="340" t="s">
        <v>820</v>
      </c>
      <c r="B43" s="341" t="s">
        <v>1211</v>
      </c>
      <c r="C43" s="342">
        <f ca="1">ROUND(C40*10000/F43,0)</f>
        <v>10429</v>
      </c>
      <c r="D43" s="343" t="s">
        <v>1212</v>
      </c>
      <c r="E43" s="344" t="s">
        <v>1213</v>
      </c>
      <c r="F43" s="345">
        <f ca="1">INDIRECT("'数据-取费表'!k"&amp;$G$1)</f>
        <v>27858.239999999998</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1243</v>
      </c>
      <c r="P45" s="1596"/>
      <c r="Q45" s="1596"/>
      <c r="R45" s="1596"/>
    </row>
    <row r="46" spans="1:18" s="1519" customFormat="1" ht="13.5" thickBot="1">
      <c r="A46" s="1539" t="s">
        <v>1244</v>
      </c>
      <c r="C46" s="1540">
        <f ca="1">C68-C40</f>
        <v>-49672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3212</v>
      </c>
      <c r="K47" s="1551" t="s">
        <v>1251</v>
      </c>
      <c r="L47" s="1552">
        <f ca="1">INDIRECT("'数据-取费表'!d"&amp;$G$1)</f>
        <v>50</v>
      </c>
      <c r="M47" s="1515" t="str">
        <f>IF(ISNUMBER(FIND("住宅",C1)),"住宅","非住宅")</f>
        <v>非住宅</v>
      </c>
      <c r="O47" s="1553" t="s">
        <v>827</v>
      </c>
      <c r="P47" s="1554" t="s">
        <v>1252</v>
      </c>
      <c r="Q47" s="1555">
        <f ca="1">C40+J29</f>
        <v>29052</v>
      </c>
      <c r="R47" s="1555" t="s">
        <v>1253</v>
      </c>
    </row>
    <row r="48" spans="1:18" s="1519" customFormat="1" ht="28.5" thickBot="1">
      <c r="A48" s="1223" t="s">
        <v>863</v>
      </c>
      <c r="B48" s="306" t="s">
        <v>1125</v>
      </c>
      <c r="C48" s="1494">
        <f ca="1">C49+C53+C55</f>
        <v>0</v>
      </c>
      <c r="D48" s="1225"/>
      <c r="E48" s="1226"/>
      <c r="F48" s="1074"/>
      <c r="G48" s="731"/>
      <c r="H48" s="732"/>
      <c r="I48" s="1556" t="s">
        <v>1254</v>
      </c>
      <c r="J48" s="1557" t="s">
        <v>3213</v>
      </c>
      <c r="K48" s="1558" t="s">
        <v>1255</v>
      </c>
      <c r="L48" s="1559">
        <f ca="1">INDIRECT("'数据-取费表'!f"&amp;$G$1)</f>
        <v>33.49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c r="K49" s="1558" t="s">
        <v>1259</v>
      </c>
      <c r="L49" s="1562"/>
      <c r="O49" s="1563" t="s">
        <v>829</v>
      </c>
      <c r="P49" s="1554" t="s">
        <v>1260</v>
      </c>
      <c r="Q49" s="1555">
        <f ca="1">C29</f>
        <v>13349</v>
      </c>
      <c r="R49" s="1555" t="s">
        <v>1253</v>
      </c>
    </row>
    <row r="50" spans="1:18" s="1519" customFormat="1" ht="13.5" thickBot="1">
      <c r="A50" s="1088"/>
      <c r="B50" s="1091"/>
      <c r="C50" s="1231"/>
      <c r="D50" s="1065"/>
      <c r="E50" s="1168" t="s">
        <v>1130</v>
      </c>
      <c r="F50" s="1169">
        <f ca="1">F7</f>
        <v>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v>
      </c>
      <c r="I51" s="1567" t="s">
        <v>1264</v>
      </c>
      <c r="J51" s="1568">
        <f>IF(J49="",J50,J49+J50-YEAR('数据-取费表'!B2))</f>
        <v>60</v>
      </c>
      <c r="K51" s="1569" t="s">
        <v>1265</v>
      </c>
      <c r="L51" s="1570">
        <f ca="1">ROUND(-PV(INDIRECT("'数据-取费表'!h"&amp;$G$1),J51,(C39-C13*C76),0),0)</f>
        <v>12646</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33.49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33.49</v>
      </c>
      <c r="K53" s="3419" t="s">
        <v>1272</v>
      </c>
      <c r="L53" s="3420"/>
      <c r="O53" s="1553" t="s">
        <v>833</v>
      </c>
      <c r="P53" s="1554" t="s">
        <v>1273</v>
      </c>
      <c r="Q53" s="1555">
        <f ca="1">Q47+Q48</f>
        <v>29052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9878</v>
      </c>
      <c r="D56" s="1582"/>
      <c r="E56" s="1583"/>
      <c r="F56" s="1575"/>
      <c r="I56" s="1584" t="s">
        <v>1278</v>
      </c>
      <c r="J56" s="1585" t="s">
        <v>3186</v>
      </c>
      <c r="K56" s="1556" t="s">
        <v>1279</v>
      </c>
      <c r="L56" s="1559" t="str">
        <f ca="1">IF(L48&lt;J51,"——",L48-J53)</f>
        <v>——</v>
      </c>
      <c r="O56" s="1553" t="s">
        <v>827</v>
      </c>
      <c r="P56" s="1554" t="s">
        <v>1252</v>
      </c>
      <c r="Q56" s="1555">
        <f ca="1">C40+J29</f>
        <v>29052</v>
      </c>
      <c r="R56" s="1555" t="s">
        <v>1253</v>
      </c>
    </row>
    <row r="57" spans="1:18" s="1519" customFormat="1" ht="24.75" thickBot="1">
      <c r="A57" s="1586"/>
      <c r="B57" s="1062" t="s">
        <v>1202</v>
      </c>
      <c r="C57" s="244">
        <f ca="1">C29</f>
        <v>13349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1281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1133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1121.32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11.32</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29052</v>
      </c>
      <c r="R62" s="1555" t="s">
        <v>834</v>
      </c>
    </row>
    <row r="63" spans="1:18" s="1519" customFormat="1" ht="13.5" thickBot="1">
      <c r="A63" s="332"/>
      <c r="B63" s="1068"/>
      <c r="C63" s="29"/>
      <c r="D63" s="1078"/>
      <c r="E63" s="1062" t="s">
        <v>1223</v>
      </c>
      <c r="F63" s="309">
        <f t="shared" ca="1" si="0"/>
        <v>9429.73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133.5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14.8</v>
      </c>
      <c r="D65" s="1076" t="s">
        <v>1178</v>
      </c>
      <c r="E65" s="1062" t="s">
        <v>1179</v>
      </c>
      <c r="F65" s="336">
        <f t="shared" ca="1" si="0"/>
        <v>1.5E-3</v>
      </c>
      <c r="I65" s="1597" t="s">
        <v>1303</v>
      </c>
      <c r="J65" s="1598">
        <v>40</v>
      </c>
      <c r="K65" s="1598">
        <v>30</v>
      </c>
      <c r="L65" s="1598">
        <v>50</v>
      </c>
      <c r="M65" s="1600">
        <v>0.02</v>
      </c>
      <c r="O65" s="1553" t="s">
        <v>827</v>
      </c>
      <c r="P65" s="1554" t="s">
        <v>1304</v>
      </c>
      <c r="Q65" s="1555">
        <f ca="1">C40+J29</f>
        <v>29052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-1281</v>
      </c>
      <c r="D67" s="1075" t="s">
        <v>1188</v>
      </c>
      <c r="E67" s="1080"/>
      <c r="F67" s="1081"/>
      <c r="O67" s="1563" t="s">
        <v>829</v>
      </c>
      <c r="P67" s="1554" t="s">
        <v>1286</v>
      </c>
      <c r="Q67" s="1601">
        <f ca="1">L51</f>
        <v>12646</v>
      </c>
      <c r="R67" s="1555" t="s">
        <v>1306</v>
      </c>
    </row>
    <row r="68" spans="1:18" s="1519" customFormat="1" ht="16.5" thickBot="1">
      <c r="A68" s="1059" t="s">
        <v>819</v>
      </c>
      <c r="B68" s="1060" t="s">
        <v>1209</v>
      </c>
      <c r="C68" s="307">
        <f ca="1">ROUND(C67*(1-((1+F70)/(1+F68))^F69)/(F68-F70),0)</f>
        <v>-20620</v>
      </c>
      <c r="D68" s="1077" t="s">
        <v>1193</v>
      </c>
      <c r="E68" s="1062" t="s">
        <v>1194</v>
      </c>
      <c r="F68" s="318">
        <f ca="1">F40</f>
        <v>0.05</v>
      </c>
      <c r="O68" s="1563" t="s">
        <v>830</v>
      </c>
      <c r="P68" s="1602" t="s">
        <v>1307</v>
      </c>
      <c r="Q68" s="1555">
        <f ca="1">ROUND(Q69-Q70*Q71,0)</f>
        <v>613</v>
      </c>
      <c r="R68" s="1555" t="s">
        <v>838</v>
      </c>
    </row>
    <row r="69" spans="1:18" s="1519" customFormat="1" ht="13.5" thickBot="1">
      <c r="A69" s="1063"/>
      <c r="B69" s="1064"/>
      <c r="C69" s="312"/>
      <c r="D69" s="1082" t="s">
        <v>1197</v>
      </c>
      <c r="E69" s="1062" t="s">
        <v>1198</v>
      </c>
      <c r="F69" s="339">
        <f ca="1">F41</f>
        <v>33.49</v>
      </c>
      <c r="O69" s="1563" t="s">
        <v>835</v>
      </c>
      <c r="P69" s="1602" t="s">
        <v>1308</v>
      </c>
      <c r="Q69" s="1555">
        <f ca="1">C39</f>
        <v>1403</v>
      </c>
      <c r="R69" s="1555" t="s">
        <v>1253</v>
      </c>
    </row>
    <row r="70" spans="1:18" s="1519" customFormat="1" ht="13.5" thickBot="1">
      <c r="A70" s="1066"/>
      <c r="B70" s="1067"/>
      <c r="C70" s="316"/>
      <c r="D70" s="1078"/>
      <c r="E70" s="1062" t="s">
        <v>1201</v>
      </c>
      <c r="F70" s="1166"/>
      <c r="O70" s="1563" t="s">
        <v>836</v>
      </c>
      <c r="P70" s="1602" t="s">
        <v>1309</v>
      </c>
      <c r="Q70" s="1555">
        <f ca="1">C13</f>
        <v>9878</v>
      </c>
      <c r="R70" s="1555" t="s">
        <v>1253</v>
      </c>
    </row>
    <row r="71" spans="1:18" s="1519" customFormat="1" ht="13.5" thickBot="1">
      <c r="A71" s="1083" t="s">
        <v>820</v>
      </c>
      <c r="B71" s="1084" t="s">
        <v>1211</v>
      </c>
      <c r="C71" s="342">
        <f ca="1">ROUND(C68*10000/F71,0)</f>
        <v>-7402</v>
      </c>
      <c r="D71" s="1085" t="s">
        <v>1212</v>
      </c>
      <c r="E71" s="1086" t="s">
        <v>1213</v>
      </c>
      <c r="F71" s="345">
        <f ca="1">F43</f>
        <v>27858.239999999998</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790</v>
      </c>
      <c r="D75" s="1519"/>
      <c r="E75" s="1519"/>
      <c r="F75" s="1519"/>
      <c r="K75" s="1537"/>
      <c r="L75" s="1519"/>
      <c r="O75" s="1553" t="s">
        <v>833</v>
      </c>
      <c r="P75" s="1554" t="s">
        <v>1273</v>
      </c>
      <c r="Q75" s="1555">
        <f ca="1">Q65+Q66</f>
        <v>29052</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0.43700000000000006</v>
      </c>
    </row>
    <row r="80" spans="1:18">
      <c r="B80" s="346" t="s">
        <v>1235</v>
      </c>
      <c r="C80" s="280">
        <f ca="1">ROUND(C75/C39,3)</f>
        <v>0.56299999999999994</v>
      </c>
    </row>
    <row r="81" spans="2:3">
      <c r="B81" s="276" t="s">
        <v>1236</v>
      </c>
      <c r="C81" s="244"/>
    </row>
    <row r="82" spans="2:3">
      <c r="B82" s="279" t="s">
        <v>1237</v>
      </c>
      <c r="C82" s="281">
        <f ca="1">1-C83</f>
        <v>0.65999999999999992</v>
      </c>
    </row>
    <row r="83" spans="2:3">
      <c r="B83" s="279" t="s">
        <v>1238</v>
      </c>
      <c r="C83" s="280">
        <f ca="1">ROUND(C13/C40,3)</f>
        <v>0.34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22" sqref="P2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1"/>
      <c r="H2" s="2870"/>
      <c r="I2" s="2870"/>
      <c r="J2" s="2870"/>
      <c r="K2" s="2871"/>
      <c r="L2" s="2870"/>
      <c r="M2" s="2870"/>
    </row>
    <row r="3" spans="1:37" ht="18" customHeight="1" thickBot="1">
      <c r="A3" s="1525" t="s">
        <v>1317</v>
      </c>
      <c r="B3" s="1526">
        <f ca="1">IF(ISERROR(D2/F43),0,ROUND(D2/F43,0))</f>
        <v>0</v>
      </c>
      <c r="C3" s="1522" t="s">
        <v>1318</v>
      </c>
      <c r="D3" s="1522"/>
      <c r="E3" s="1523"/>
      <c r="F3" s="1524"/>
      <c r="G3" s="2881"/>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1" t="s">
        <v>1127</v>
      </c>
      <c r="C6" s="1187">
        <f ca="1">ROUND(F6*F8*F7*(1-F9),0)</f>
        <v>0</v>
      </c>
      <c r="D6" s="160" t="s">
        <v>2605</v>
      </c>
      <c r="E6" s="308" t="s">
        <v>1129</v>
      </c>
      <c r="F6" s="309">
        <f ca="1">INDIRECT("'数据-取费表'!u"&amp;$G$1)</f>
        <v>0</v>
      </c>
      <c r="G6" s="1519"/>
      <c r="H6" s="1182" t="s">
        <v>822</v>
      </c>
      <c r="I6" s="3421" t="s">
        <v>1127</v>
      </c>
      <c r="J6" s="307">
        <f ca="1">ROUND(M6*M8*M7*(1-M9),0)</f>
        <v>0</v>
      </c>
      <c r="K6" s="1511" t="s">
        <v>2606</v>
      </c>
      <c r="L6" s="308" t="s">
        <v>1129</v>
      </c>
      <c r="M6" s="309">
        <f ca="1">INDIRECT("'数据-取费表'!z"&amp;$G$1)</f>
        <v>0</v>
      </c>
    </row>
    <row r="7" spans="1:37" ht="18" customHeight="1">
      <c r="A7" s="1186"/>
      <c r="B7" s="3422"/>
      <c r="C7" s="1188"/>
      <c r="D7" s="313"/>
      <c r="E7" s="1189" t="s">
        <v>1130</v>
      </c>
      <c r="F7" s="309">
        <f ca="1">IF(INDIRECT("'数据-取费表'!ah"&amp;$G$1)="",INDIRECT("'数据-取费表'!k"&amp;$G$1),INDIRECT("'数据-取费表'!ah"&amp;$G$1))</f>
        <v>0</v>
      </c>
      <c r="G7" s="1519"/>
      <c r="H7" s="310"/>
      <c r="I7" s="3422"/>
      <c r="J7" s="312"/>
      <c r="K7" s="313"/>
      <c r="L7" s="308" t="s">
        <v>1130</v>
      </c>
      <c r="M7" s="309">
        <f ca="1">F7</f>
        <v>0</v>
      </c>
    </row>
    <row r="8" spans="1:37" ht="18" customHeight="1">
      <c r="A8" s="310"/>
      <c r="B8" s="3422"/>
      <c r="C8" s="312"/>
      <c r="D8" s="313"/>
      <c r="E8" s="308" t="s">
        <v>1131</v>
      </c>
      <c r="F8" s="309">
        <f ca="1">INDIRECT("'数据-取费表'!ai"&amp;$G$1)</f>
        <v>0</v>
      </c>
      <c r="G8" s="1519"/>
      <c r="H8" s="310"/>
      <c r="I8" s="3422"/>
      <c r="J8" s="312"/>
      <c r="K8" s="313"/>
      <c r="L8" s="308" t="s">
        <v>1131</v>
      </c>
      <c r="M8" s="309">
        <f ca="1">INDIRECT("'数据-取费表'!ai"&amp;$G$1)</f>
        <v>0</v>
      </c>
    </row>
    <row r="9" spans="1:37" ht="18" customHeight="1">
      <c r="A9" s="310"/>
      <c r="B9" s="3423"/>
      <c r="C9" s="312"/>
      <c r="D9" s="313"/>
      <c r="E9" s="308" t="s">
        <v>1132</v>
      </c>
      <c r="F9" s="318">
        <f ca="1">INDIRECT("'数据-取费表'!w"&amp;$G$1)</f>
        <v>0</v>
      </c>
      <c r="G9" s="1519"/>
      <c r="H9" s="310"/>
      <c r="I9" s="342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180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5"/>
      <c r="I33" s="1533"/>
      <c r="J33" s="1534"/>
      <c r="K33" s="2876"/>
      <c r="L33" s="2875"/>
      <c r="M33" s="2875"/>
    </row>
    <row r="34" spans="1:18" ht="18" customHeight="1">
      <c r="A34" s="1182" t="s">
        <v>1113</v>
      </c>
      <c r="B34" s="160" t="s">
        <v>1165</v>
      </c>
      <c r="C34" s="25">
        <f ca="1">IF(项目基本情况!B11="自然人","——",ROUND(F34*F35,))</f>
        <v>0</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0</v>
      </c>
      <c r="G35" s="1519"/>
      <c r="H35" s="2872"/>
      <c r="I35" s="1533"/>
      <c r="J35" s="1534"/>
      <c r="K35" s="2876"/>
      <c r="L35" s="2875"/>
      <c r="M35" s="2875"/>
    </row>
    <row r="36" spans="1:18" ht="18" customHeight="1">
      <c r="A36" s="1215" t="s">
        <v>826</v>
      </c>
      <c r="B36" s="308" t="s">
        <v>1173</v>
      </c>
      <c r="C36" s="24">
        <f ca="1">ROUND(C29*F36,0)</f>
        <v>0</v>
      </c>
      <c r="D36" s="1479" t="s">
        <v>1206</v>
      </c>
      <c r="E36" s="308" t="s">
        <v>1146</v>
      </c>
      <c r="F36" s="334">
        <f ca="1">INDIRECT("'数据-取费表'!Ak"&amp;$G$1)</f>
        <v>0</v>
      </c>
      <c r="G36" s="1519"/>
      <c r="H36" s="2875"/>
      <c r="I36" s="1533"/>
      <c r="J36" s="1534"/>
      <c r="K36" s="2716"/>
      <c r="L36" s="2875"/>
      <c r="M36" s="2875"/>
    </row>
    <row r="37" spans="1:18" ht="18" customHeight="1">
      <c r="A37" s="1094" t="s">
        <v>862</v>
      </c>
      <c r="B37" s="308" t="s">
        <v>1177</v>
      </c>
      <c r="C37" s="24">
        <f ca="1">ROUND(C13*F37,0)</f>
        <v>0</v>
      </c>
      <c r="D37" s="1479" t="s">
        <v>1178</v>
      </c>
      <c r="E37" s="308" t="s">
        <v>1179</v>
      </c>
      <c r="F37" s="336">
        <f ca="1">INDIRECT("'数据-取费表'!Al"&amp;$G$1)</f>
        <v>0</v>
      </c>
      <c r="G37" s="1519"/>
      <c r="H37" s="2875"/>
      <c r="I37" s="1533"/>
      <c r="J37" s="1534"/>
      <c r="K37" s="2716"/>
      <c r="L37" s="2875"/>
      <c r="M37" s="2875"/>
    </row>
    <row r="38" spans="1:18" ht="18" customHeight="1" thickBot="1">
      <c r="A38" s="1202" t="s">
        <v>1117</v>
      </c>
      <c r="B38" s="1203" t="s">
        <v>1163</v>
      </c>
      <c r="C38" s="1204">
        <f ca="1">ROUND(C5*F38,1)</f>
        <v>0</v>
      </c>
      <c r="D38" s="1205" t="s">
        <v>1183</v>
      </c>
      <c r="E38" s="1203" t="s">
        <v>1179</v>
      </c>
      <c r="F38" s="1199">
        <f ca="1">INDIRECT("'数据-取费表'!Am"&amp;$G$1)</f>
        <v>0</v>
      </c>
      <c r="G38" s="1519"/>
      <c r="H38" s="2875"/>
      <c r="I38" s="1533"/>
      <c r="J38" s="1534"/>
      <c r="K38" s="2879"/>
      <c r="L38" s="2875"/>
      <c r="M38" s="2875"/>
    </row>
    <row r="39" spans="1:18" ht="24.6" customHeight="1" thickTop="1">
      <c r="A39" s="1192" t="s">
        <v>818</v>
      </c>
      <c r="B39" s="1207" t="s">
        <v>1207</v>
      </c>
      <c r="C39" s="316">
        <f ca="1">C5-C30</f>
        <v>0</v>
      </c>
      <c r="D39" s="1208" t="s">
        <v>1208</v>
      </c>
      <c r="E39" s="1209"/>
      <c r="F39" s="1210"/>
      <c r="G39" s="1519"/>
      <c r="H39" s="2875"/>
      <c r="I39" s="1533"/>
      <c r="J39" s="1534"/>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19" t="s">
        <v>1272</v>
      </c>
      <c r="L53" s="342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2933</v>
      </c>
      <c r="B1" s="3009"/>
      <c r="C1" s="3021"/>
      <c r="D1" s="3021"/>
      <c r="E1" s="3010"/>
      <c r="F1" s="3011"/>
      <c r="G1" s="3012"/>
      <c r="J1" s="3015" t="s">
        <v>2812</v>
      </c>
      <c r="K1" s="3016"/>
      <c r="L1" s="3016"/>
      <c r="M1" s="3016"/>
      <c r="N1" s="3016"/>
      <c r="O1" s="3016"/>
      <c r="P1" s="3016"/>
      <c r="Q1" s="3016"/>
      <c r="R1" s="3017"/>
      <c r="S1" s="3018"/>
      <c r="T1" s="3018"/>
      <c r="U1" s="3018"/>
    </row>
    <row r="2" spans="1:22" s="3030" customFormat="1" ht="13.15" customHeight="1">
      <c r="A2" s="1520" t="s">
        <v>2813</v>
      </c>
      <c r="B2" s="3020" t="e">
        <f>C40</f>
        <v>#DIV/0!</v>
      </c>
      <c r="C2" s="3021" t="s">
        <v>2814</v>
      </c>
      <c r="D2" s="3021"/>
      <c r="E2" s="3022"/>
      <c r="F2" s="3023"/>
      <c r="G2" s="3024"/>
      <c r="H2" s="3025"/>
      <c r="I2" s="3026"/>
      <c r="J2" s="3424" t="s">
        <v>2815</v>
      </c>
      <c r="K2" s="3425"/>
      <c r="L2" s="3027" t="s">
        <v>2816</v>
      </c>
      <c r="M2" s="3027" t="s">
        <v>2817</v>
      </c>
      <c r="N2" s="3027" t="s">
        <v>2818</v>
      </c>
      <c r="O2" s="3027" t="s">
        <v>2819</v>
      </c>
      <c r="P2" s="3027" t="s">
        <v>2820</v>
      </c>
      <c r="Q2" s="3028" t="s">
        <v>2821</v>
      </c>
      <c r="R2" s="3029" t="s">
        <v>2822</v>
      </c>
      <c r="S2" s="3018"/>
      <c r="T2" s="3018"/>
      <c r="U2" s="3018"/>
      <c r="V2" s="3026"/>
    </row>
    <row r="3" spans="1:22" s="3030" customFormat="1" ht="13.15" customHeight="1">
      <c r="A3" s="3031" t="s">
        <v>2823</v>
      </c>
      <c r="B3" s="3032" t="e">
        <f>ROUND(B2*10000/B4,0)</f>
        <v>#DIV/0!</v>
      </c>
      <c r="C3" s="3021" t="s">
        <v>2824</v>
      </c>
      <c r="D3" s="3021"/>
      <c r="E3" s="3022"/>
      <c r="F3" s="3023"/>
      <c r="G3" s="3024"/>
      <c r="H3" s="3025"/>
      <c r="I3" s="3026"/>
      <c r="J3" s="3426" t="s">
        <v>2825</v>
      </c>
      <c r="K3" s="3427"/>
      <c r="L3" s="3033"/>
      <c r="M3" s="3033"/>
      <c r="N3" s="3033"/>
      <c r="O3" s="3033"/>
      <c r="P3" s="3033"/>
      <c r="Q3" s="3034"/>
      <c r="R3" s="3035">
        <f>SUM(L3:Q3)</f>
        <v>0</v>
      </c>
      <c r="S3" s="3018"/>
      <c r="T3" s="3018"/>
      <c r="U3" s="3018"/>
      <c r="V3" s="3026"/>
    </row>
    <row r="4" spans="1:22" s="3030" customFormat="1" ht="13.15" customHeight="1">
      <c r="A4" s="3036" t="s">
        <v>2826</v>
      </c>
      <c r="B4" s="3037"/>
      <c r="C4" s="3021"/>
      <c r="D4" s="3021"/>
      <c r="E4" s="3022"/>
      <c r="F4" s="3023"/>
      <c r="G4" s="3024"/>
      <c r="H4" s="3025"/>
      <c r="I4" s="3026"/>
      <c r="J4" s="3426" t="s">
        <v>2827</v>
      </c>
      <c r="K4" s="3427"/>
      <c r="L4" s="3038"/>
      <c r="M4" s="3038"/>
      <c r="N4" s="3038"/>
      <c r="O4" s="3038"/>
      <c r="P4" s="3038"/>
      <c r="Q4" s="3039"/>
      <c r="R4" s="3040">
        <f>SUM(L4:Q4)</f>
        <v>0</v>
      </c>
      <c r="S4" s="3018"/>
      <c r="T4" s="3018"/>
      <c r="U4" s="3018"/>
      <c r="V4" s="3026"/>
    </row>
    <row r="5" spans="1:22" s="3030" customFormat="1" ht="13.15" customHeight="1" thickBot="1">
      <c r="A5" s="3041" t="s">
        <v>2828</v>
      </c>
      <c r="B5" s="3042"/>
      <c r="C5" s="3021"/>
      <c r="D5" s="3043"/>
      <c r="E5" s="3023"/>
      <c r="F5" s="3023"/>
      <c r="G5" s="3024"/>
      <c r="H5" s="3025"/>
      <c r="I5" s="3026"/>
      <c r="J5" s="3044" t="s">
        <v>2829</v>
      </c>
      <c r="K5" s="3045"/>
      <c r="L5" s="3045"/>
      <c r="M5" s="3046"/>
      <c r="N5" s="3046"/>
      <c r="O5" s="3046"/>
      <c r="P5" s="3046"/>
      <c r="Q5" s="3046"/>
      <c r="R5" s="3029">
        <f>SUM(R14,R19,R24,R25,R27,R28)</f>
        <v>0</v>
      </c>
      <c r="S5" s="3018"/>
      <c r="T5" s="3018" t="s">
        <v>2830</v>
      </c>
      <c r="U5" s="3018" t="e">
        <f>ROUND(R5*10000/365/R3,1)</f>
        <v>#DIV/0!</v>
      </c>
      <c r="V5" s="3026"/>
    </row>
    <row r="6" spans="1:22" s="3030" customFormat="1" ht="13.15" customHeight="1" thickBot="1">
      <c r="A6" s="3428" t="s">
        <v>2831</v>
      </c>
      <c r="B6" s="3429"/>
      <c r="C6" s="3430"/>
      <c r="D6" s="3047"/>
      <c r="E6" s="3048"/>
      <c r="F6" s="3049"/>
      <c r="G6" s="3050"/>
      <c r="H6" s="3025"/>
      <c r="I6" s="3026"/>
      <c r="J6" s="3431">
        <v>1</v>
      </c>
      <c r="K6" s="3432" t="s">
        <v>2832</v>
      </c>
      <c r="L6" s="3051" t="s">
        <v>2833</v>
      </c>
      <c r="M6" s="3052" t="s">
        <v>2834</v>
      </c>
      <c r="N6" s="3052" t="s">
        <v>2835</v>
      </c>
      <c r="O6" s="3052" t="s">
        <v>2836</v>
      </c>
      <c r="P6" s="3052" t="s">
        <v>2837</v>
      </c>
      <c r="Q6" s="3052" t="s">
        <v>2838</v>
      </c>
      <c r="R6" s="3035" t="s">
        <v>2839</v>
      </c>
      <c r="S6" s="3018"/>
      <c r="T6" s="3018" t="s">
        <v>2840</v>
      </c>
      <c r="U6" s="3018"/>
      <c r="V6" s="3026"/>
    </row>
    <row r="7" spans="1:22" s="3030" customFormat="1" ht="13.15" customHeight="1">
      <c r="A7" s="3053" t="s">
        <v>2841</v>
      </c>
      <c r="B7" s="3054"/>
      <c r="C7" s="3055"/>
      <c r="D7" s="3056">
        <f>SUM(D9,D10,D11,D17,0)</f>
        <v>0</v>
      </c>
      <c r="E7" s="3057" t="e">
        <f>E9+E10+E11+E17</f>
        <v>#DIV/0!</v>
      </c>
      <c r="F7" s="3058"/>
      <c r="G7" s="3059"/>
      <c r="H7" s="3025"/>
      <c r="I7" s="3026"/>
      <c r="J7" s="3431"/>
      <c r="K7" s="3433"/>
      <c r="L7" s="3060" t="s">
        <v>2842</v>
      </c>
      <c r="M7" s="3061"/>
      <c r="N7" s="3037"/>
      <c r="O7" s="3062"/>
      <c r="P7" s="3062"/>
      <c r="Q7" s="3063">
        <v>365</v>
      </c>
      <c r="R7" s="3064">
        <f>ROUND(M7*N7*O7*P7*Q7/10000,0)</f>
        <v>0</v>
      </c>
      <c r="S7" s="3018"/>
      <c r="T7" s="3018" t="s">
        <v>2843</v>
      </c>
      <c r="U7" s="3018"/>
      <c r="V7" s="3026"/>
    </row>
    <row r="8" spans="1:22" s="3030" customFormat="1" ht="13.15" customHeight="1">
      <c r="A8" s="3065" t="s">
        <v>2844</v>
      </c>
      <c r="B8" s="3435" t="s">
        <v>2845</v>
      </c>
      <c r="C8" s="3436"/>
      <c r="D8" s="3066" t="s">
        <v>2846</v>
      </c>
      <c r="E8" s="3067" t="s">
        <v>2847</v>
      </c>
      <c r="F8" s="3068" t="s">
        <v>2848</v>
      </c>
      <c r="G8" s="3069"/>
      <c r="H8" s="3025"/>
      <c r="I8" s="3026"/>
      <c r="J8" s="3431"/>
      <c r="K8" s="3433"/>
      <c r="L8" s="3060" t="s">
        <v>2849</v>
      </c>
      <c r="M8" s="3061"/>
      <c r="N8" s="3037"/>
      <c r="O8" s="3062"/>
      <c r="P8" s="3062"/>
      <c r="Q8" s="3063">
        <v>365</v>
      </c>
      <c r="R8" s="3064">
        <f t="shared" ref="R8:R13" si="0">ROUND(M8*N8*O8*P8*Q8/10000,0)</f>
        <v>0</v>
      </c>
      <c r="S8" s="3018"/>
      <c r="T8" s="3018" t="s">
        <v>2850</v>
      </c>
      <c r="U8" s="3018"/>
      <c r="V8" s="3026"/>
    </row>
    <row r="9" spans="1:22" s="3030" customFormat="1" ht="13.15" customHeight="1">
      <c r="A9" s="3065">
        <v>1</v>
      </c>
      <c r="B9" s="3435" t="s">
        <v>2851</v>
      </c>
      <c r="C9" s="3436"/>
      <c r="D9" s="3066">
        <f>ROUND(D6*E9,0)</f>
        <v>0</v>
      </c>
      <c r="E9" s="3070"/>
      <c r="F9" s="3071" t="s">
        <v>2852</v>
      </c>
      <c r="G9" s="3050"/>
      <c r="H9" s="3025"/>
      <c r="I9" s="3026"/>
      <c r="J9" s="3431"/>
      <c r="K9" s="3433"/>
      <c r="L9" s="3060" t="s">
        <v>2853</v>
      </c>
      <c r="M9" s="3061"/>
      <c r="N9" s="3037"/>
      <c r="O9" s="3062"/>
      <c r="P9" s="3062"/>
      <c r="Q9" s="3063">
        <v>365</v>
      </c>
      <c r="R9" s="3064">
        <f t="shared" si="0"/>
        <v>0</v>
      </c>
      <c r="S9" s="3018"/>
      <c r="T9" s="3018"/>
      <c r="U9" s="3018"/>
      <c r="V9" s="3026"/>
    </row>
    <row r="10" spans="1:22" s="3030" customFormat="1" ht="13.15" customHeight="1">
      <c r="A10" s="3065">
        <v>2</v>
      </c>
      <c r="B10" s="3435" t="s">
        <v>2854</v>
      </c>
      <c r="C10" s="3436"/>
      <c r="D10" s="3066">
        <f>ROUND(D6*E10,0)</f>
        <v>0</v>
      </c>
      <c r="E10" s="3070"/>
      <c r="F10" s="3071" t="s">
        <v>2855</v>
      </c>
      <c r="G10" s="3050"/>
      <c r="H10" s="3025"/>
      <c r="I10" s="3026"/>
      <c r="J10" s="3431"/>
      <c r="K10" s="3433"/>
      <c r="L10" s="3060" t="s">
        <v>2856</v>
      </c>
      <c r="M10" s="3061"/>
      <c r="N10" s="3037"/>
      <c r="O10" s="3062"/>
      <c r="P10" s="3062"/>
      <c r="Q10" s="3063">
        <v>365</v>
      </c>
      <c r="R10" s="3064">
        <f t="shared" si="0"/>
        <v>0</v>
      </c>
      <c r="S10" s="3018"/>
      <c r="T10" s="3018"/>
      <c r="U10" s="3018"/>
      <c r="V10" s="3026"/>
    </row>
    <row r="11" spans="1:22" s="3030" customFormat="1" ht="13.15" customHeight="1">
      <c r="A11" s="3065">
        <v>3</v>
      </c>
      <c r="B11" s="3435" t="s">
        <v>2857</v>
      </c>
      <c r="C11" s="3436"/>
      <c r="D11" s="3066">
        <f>D12+D14+D15+D16</f>
        <v>0</v>
      </c>
      <c r="E11" s="3072" t="e">
        <f>D11/D6</f>
        <v>#DIV/0!</v>
      </c>
      <c r="F11" s="3068"/>
      <c r="G11" s="3069"/>
      <c r="H11" s="3025"/>
      <c r="I11" s="3026"/>
      <c r="J11" s="3431"/>
      <c r="K11" s="3433"/>
      <c r="L11" s="3060" t="s">
        <v>2858</v>
      </c>
      <c r="M11" s="3061"/>
      <c r="N11" s="3037"/>
      <c r="O11" s="3062"/>
      <c r="P11" s="3062"/>
      <c r="Q11" s="3063">
        <v>365</v>
      </c>
      <c r="R11" s="3064">
        <f t="shared" si="0"/>
        <v>0</v>
      </c>
      <c r="S11" s="3018"/>
      <c r="T11" s="3018"/>
      <c r="U11" s="3018"/>
      <c r="V11" s="3026"/>
    </row>
    <row r="12" spans="1:22" s="3030" customFormat="1" ht="13.15" customHeight="1">
      <c r="A12" s="3073" t="s">
        <v>2859</v>
      </c>
      <c r="B12" s="3437" t="s">
        <v>2860</v>
      </c>
      <c r="C12" s="3438"/>
      <c r="D12" s="3074">
        <f>ROUND(D13*1.2%*(1-30%),0)</f>
        <v>0</v>
      </c>
      <c r="E12" s="3075">
        <v>1.2E-2</v>
      </c>
      <c r="F12" s="3068" t="s">
        <v>2861</v>
      </c>
      <c r="G12" s="3069"/>
      <c r="H12" s="3025"/>
      <c r="I12" s="3026"/>
      <c r="J12" s="3431"/>
      <c r="K12" s="3433"/>
      <c r="L12" s="3060" t="s">
        <v>2862</v>
      </c>
      <c r="M12" s="3061"/>
      <c r="N12" s="3037"/>
      <c r="O12" s="3062"/>
      <c r="P12" s="3062"/>
      <c r="Q12" s="3063">
        <v>365</v>
      </c>
      <c r="R12" s="3064">
        <f t="shared" si="0"/>
        <v>0</v>
      </c>
      <c r="S12" s="3018"/>
      <c r="T12" s="3018"/>
      <c r="U12" s="3018"/>
      <c r="V12" s="3026"/>
    </row>
    <row r="13" spans="1:22" s="3030" customFormat="1" ht="13.15" customHeight="1">
      <c r="A13" s="3073"/>
      <c r="B13" s="3076"/>
      <c r="C13" s="3077" t="s">
        <v>2863</v>
      </c>
      <c r="D13" s="3078"/>
      <c r="E13" s="3079"/>
      <c r="F13" s="3068"/>
      <c r="G13" s="3069"/>
      <c r="H13" s="3025"/>
      <c r="I13" s="3026"/>
      <c r="J13" s="3431"/>
      <c r="K13" s="3433"/>
      <c r="L13" s="3060" t="s">
        <v>2864</v>
      </c>
      <c r="M13" s="3061"/>
      <c r="N13" s="3037"/>
      <c r="O13" s="3062"/>
      <c r="P13" s="3062"/>
      <c r="Q13" s="3063">
        <v>365</v>
      </c>
      <c r="R13" s="3064">
        <f t="shared" si="0"/>
        <v>0</v>
      </c>
      <c r="S13" s="3018"/>
      <c r="T13" s="3018"/>
      <c r="U13" s="3018"/>
      <c r="V13" s="3026"/>
    </row>
    <row r="14" spans="1:22" s="3030" customFormat="1" ht="13.15" customHeight="1">
      <c r="A14" s="3073" t="s">
        <v>2865</v>
      </c>
      <c r="B14" s="3437" t="s">
        <v>2866</v>
      </c>
      <c r="C14" s="3438"/>
      <c r="D14" s="3074">
        <f>ROUND(E14*B5/10000,0)</f>
        <v>0</v>
      </c>
      <c r="E14" s="3063"/>
      <c r="F14" s="3068" t="s">
        <v>2867</v>
      </c>
      <c r="G14" s="3069"/>
      <c r="H14" s="3025"/>
      <c r="I14" s="3026"/>
      <c r="J14" s="3431"/>
      <c r="K14" s="3434"/>
      <c r="L14" s="3080" t="s">
        <v>2868</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2869</v>
      </c>
      <c r="B15" s="3437" t="s">
        <v>2870</v>
      </c>
      <c r="C15" s="3438"/>
      <c r="D15" s="3074">
        <f>ROUND(D6*E15,0)</f>
        <v>0</v>
      </c>
      <c r="E15" s="3075">
        <v>5.5E-2</v>
      </c>
      <c r="F15" s="3068" t="s">
        <v>2871</v>
      </c>
      <c r="G15" s="3050"/>
      <c r="H15" s="3025"/>
      <c r="I15" s="3026"/>
      <c r="J15" s="3431">
        <v>2</v>
      </c>
      <c r="K15" s="3432" t="s">
        <v>2872</v>
      </c>
      <c r="L15" s="3060" t="s">
        <v>2873</v>
      </c>
      <c r="M15" s="3061" t="s">
        <v>2874</v>
      </c>
      <c r="N15" s="3061" t="s">
        <v>2875</v>
      </c>
      <c r="O15" s="3062" t="s">
        <v>2876</v>
      </c>
      <c r="P15" s="3062" t="s">
        <v>2838</v>
      </c>
      <c r="Q15" s="3037" t="s">
        <v>2877</v>
      </c>
      <c r="R15" s="3084" t="s">
        <v>2839</v>
      </c>
      <c r="S15" s="3018"/>
      <c r="T15" s="3018"/>
      <c r="U15" s="3018"/>
      <c r="V15" s="3026"/>
    </row>
    <row r="16" spans="1:22" s="3030" customFormat="1" ht="13.15" customHeight="1">
      <c r="A16" s="3073" t="s">
        <v>2878</v>
      </c>
      <c r="B16" s="3437" t="s">
        <v>2879</v>
      </c>
      <c r="C16" s="3438"/>
      <c r="D16" s="3085">
        <f>D6*E16</f>
        <v>0</v>
      </c>
      <c r="E16" s="3086"/>
      <c r="F16" s="3071" t="s">
        <v>2880</v>
      </c>
      <c r="G16" s="3050"/>
      <c r="H16" s="3025"/>
      <c r="I16" s="3026"/>
      <c r="J16" s="3431"/>
      <c r="K16" s="3433"/>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39" t="s">
        <v>2882</v>
      </c>
      <c r="C17" s="3440"/>
      <c r="D17" s="3088">
        <f>ROUND(D6*E17,0)</f>
        <v>0</v>
      </c>
      <c r="E17" s="3089"/>
      <c r="F17" s="3090" t="s">
        <v>2883</v>
      </c>
      <c r="G17" s="3050"/>
      <c r="H17" s="3025"/>
      <c r="I17" s="3026"/>
      <c r="J17" s="3431"/>
      <c r="K17" s="3433"/>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0</v>
      </c>
      <c r="E18" s="3092"/>
      <c r="F18" s="3093" t="s">
        <v>2886</v>
      </c>
      <c r="G18" s="3050"/>
      <c r="H18" s="3025"/>
      <c r="I18" s="3026"/>
      <c r="J18" s="3431"/>
      <c r="K18" s="3433"/>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31"/>
      <c r="K19" s="3434"/>
      <c r="L19" s="3080" t="s">
        <v>2868</v>
      </c>
      <c r="M19" s="3081"/>
      <c r="N19" s="3081">
        <f>SUM(N16:N18)</f>
        <v>0</v>
      </c>
      <c r="O19" s="3082"/>
      <c r="P19" s="3095" t="s">
        <v>2932</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31">
        <v>3</v>
      </c>
      <c r="K20" s="3432"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31"/>
      <c r="K21" s="3433"/>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31"/>
      <c r="K22" s="3433"/>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0</v>
      </c>
      <c r="D23" s="3111">
        <f>C23*(1+D24)</f>
        <v>0</v>
      </c>
      <c r="E23" s="3112">
        <f>D23*(1+E24)</f>
        <v>0</v>
      </c>
      <c r="F23" s="3113"/>
      <c r="G23" s="3114"/>
      <c r="H23" s="3025"/>
      <c r="I23" s="3026"/>
      <c r="J23" s="3431"/>
      <c r="K23" s="3433"/>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31"/>
      <c r="K24" s="3434"/>
      <c r="L24" s="3080" t="s">
        <v>2868</v>
      </c>
      <c r="M24" s="3081">
        <f>SUM(M21:M23)</f>
        <v>0</v>
      </c>
      <c r="N24" s="3081"/>
      <c r="O24" s="3082"/>
      <c r="P24" s="3095" t="s">
        <v>2932</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v>
      </c>
      <c r="R25" s="3096">
        <f>ROUND(R14*Q25,0)</f>
        <v>0</v>
      </c>
      <c r="S25" s="3018"/>
      <c r="T25" s="3018"/>
      <c r="U25" s="3018"/>
      <c r="V25" s="3126"/>
    </row>
    <row r="26" spans="1:22" s="3127" customFormat="1" ht="13.15" customHeight="1">
      <c r="A26" s="3108">
        <v>2</v>
      </c>
      <c r="B26" s="3109" t="s">
        <v>2909</v>
      </c>
      <c r="C26" s="3110">
        <f>D7</f>
        <v>0</v>
      </c>
      <c r="D26" s="3111">
        <f>D23*D27</f>
        <v>0</v>
      </c>
      <c r="E26" s="3112">
        <f>E23*E27</f>
        <v>0</v>
      </c>
      <c r="F26" s="3113"/>
      <c r="G26" s="3114"/>
      <c r="H26" s="3025"/>
      <c r="I26" s="3026"/>
      <c r="J26" s="3441">
        <v>5</v>
      </c>
      <c r="K26" s="3128" t="s">
        <v>2910</v>
      </c>
      <c r="L26" s="3129"/>
      <c r="M26" s="3130"/>
      <c r="N26" s="3131" t="s">
        <v>2911</v>
      </c>
      <c r="O26" s="3131" t="s">
        <v>2912</v>
      </c>
      <c r="P26" s="3132" t="s">
        <v>2913</v>
      </c>
      <c r="Q26" s="3132" t="s">
        <v>2914</v>
      </c>
      <c r="R26" s="3035" t="s">
        <v>2839</v>
      </c>
      <c r="S26" s="3133"/>
      <c r="T26" s="3133"/>
      <c r="U26" s="3133"/>
      <c r="V26" s="3126"/>
    </row>
    <row r="27" spans="1:22" s="3030" customFormat="1" ht="13.15" customHeight="1">
      <c r="A27" s="3115"/>
      <c r="B27" s="3116" t="s">
        <v>2915</v>
      </c>
      <c r="C27" s="3134" t="e">
        <f>E7</f>
        <v>#DIV/0!</v>
      </c>
      <c r="D27" s="3118"/>
      <c r="E27" s="3119"/>
      <c r="F27" s="3120"/>
      <c r="G27" s="3114"/>
      <c r="H27" s="3135"/>
      <c r="I27" s="3126"/>
      <c r="J27" s="3442"/>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C23-C26-C29</f>
        <v>0</v>
      </c>
      <c r="D32" s="3111">
        <f>D23-D26-D29</f>
        <v>0</v>
      </c>
      <c r="E32" s="3112">
        <f>E23-E26-E29</f>
        <v>0</v>
      </c>
      <c r="F32" s="3113"/>
      <c r="G32" s="3107"/>
      <c r="H32" s="3025"/>
      <c r="I32" s="3026"/>
      <c r="J32" s="3424" t="s">
        <v>2815</v>
      </c>
      <c r="K32" s="3425"/>
      <c r="L32" s="3027" t="s">
        <v>2816</v>
      </c>
      <c r="M32" s="3027" t="s">
        <v>2817</v>
      </c>
      <c r="N32" s="3027" t="s">
        <v>2818</v>
      </c>
      <c r="O32" s="3027" t="s">
        <v>2819</v>
      </c>
      <c r="P32" s="3027" t="s">
        <v>2820</v>
      </c>
      <c r="Q32" s="3028" t="s">
        <v>2821</v>
      </c>
      <c r="R32" s="3150" t="s">
        <v>2822</v>
      </c>
      <c r="S32" s="3099"/>
      <c r="T32" s="3018"/>
      <c r="U32" s="3018"/>
      <c r="V32" s="3126"/>
    </row>
    <row r="33" spans="1:23" s="3030" customFormat="1" ht="13.15" customHeight="1">
      <c r="A33" s="3108"/>
      <c r="B33" s="3109"/>
      <c r="C33" s="3110"/>
      <c r="D33" s="3151"/>
      <c r="E33" s="3152"/>
      <c r="F33" s="3113"/>
      <c r="G33" s="3107"/>
      <c r="H33" s="3135"/>
      <c r="I33" s="3126"/>
      <c r="J33" s="3426" t="s">
        <v>2825</v>
      </c>
      <c r="K33" s="3427"/>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c r="D34" s="3155"/>
      <c r="E34" s="3156"/>
      <c r="F34" s="3113"/>
      <c r="G34" s="3107"/>
      <c r="H34" s="3135"/>
      <c r="I34" s="3126"/>
      <c r="J34" s="3426" t="s">
        <v>2827</v>
      </c>
      <c r="K34" s="3427"/>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c r="D35" s="3159"/>
      <c r="E35" s="3160"/>
      <c r="F35" s="3113"/>
      <c r="G35" s="3161"/>
      <c r="H35" s="3025"/>
      <c r="I35" s="3126"/>
      <c r="J35" s="3044" t="s">
        <v>2829</v>
      </c>
      <c r="K35" s="3045"/>
      <c r="L35" s="3045"/>
      <c r="M35" s="3046"/>
      <c r="N35" s="3046"/>
      <c r="O35" s="3046"/>
      <c r="P35" s="3046"/>
      <c r="Q35" s="3046"/>
      <c r="R35" s="3162">
        <f>R40+R41+R43</f>
        <v>0</v>
      </c>
      <c r="S35" s="3099"/>
      <c r="T35" s="3018" t="s">
        <v>2830</v>
      </c>
      <c r="U35" s="3018"/>
      <c r="V35" s="3026"/>
    </row>
    <row r="36" spans="1:23" s="3030" customFormat="1" ht="13.15" customHeight="1" thickBot="1">
      <c r="A36" s="3108">
        <v>7</v>
      </c>
      <c r="B36" s="3163" t="s">
        <v>2926</v>
      </c>
      <c r="C36" s="3164"/>
      <c r="D36" s="3165"/>
      <c r="E36" s="3166"/>
      <c r="F36" s="3167">
        <f>C36+D36+E36</f>
        <v>0</v>
      </c>
      <c r="G36" s="3107"/>
      <c r="H36" s="3025"/>
      <c r="I36" s="3026"/>
      <c r="J36" s="3431">
        <v>1</v>
      </c>
      <c r="K36" s="3432" t="s">
        <v>2927</v>
      </c>
      <c r="L36" s="3051"/>
      <c r="M36" s="3052"/>
      <c r="N36" s="3052"/>
      <c r="O36" s="3052"/>
      <c r="P36" s="3052"/>
      <c r="Q36" s="3052"/>
      <c r="R36" s="3035" t="s">
        <v>2839</v>
      </c>
      <c r="S36" s="3099"/>
      <c r="T36" s="3018" t="s">
        <v>2840</v>
      </c>
      <c r="U36" s="3018"/>
      <c r="V36" s="3026"/>
    </row>
    <row r="37" spans="1:23" s="3030" customFormat="1" ht="13.15" customHeight="1">
      <c r="A37" s="3108"/>
      <c r="B37" s="3109"/>
      <c r="C37" s="3109"/>
      <c r="D37" s="3109"/>
      <c r="E37" s="3109"/>
      <c r="F37" s="3113"/>
      <c r="G37" s="3107"/>
      <c r="H37" s="3025"/>
      <c r="I37" s="3026"/>
      <c r="J37" s="3431"/>
      <c r="K37" s="3433"/>
      <c r="L37" s="3060"/>
      <c r="M37" s="3061"/>
      <c r="N37" s="3037"/>
      <c r="O37" s="3062"/>
      <c r="P37" s="3062"/>
      <c r="Q37" s="3063"/>
      <c r="R37" s="3064"/>
      <c r="S37" s="3099"/>
      <c r="T37" s="3018" t="s">
        <v>2843</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31"/>
      <c r="K38" s="3433"/>
      <c r="L38" s="3060"/>
      <c r="M38" s="3061"/>
      <c r="N38" s="3037"/>
      <c r="O38" s="3062"/>
      <c r="P38" s="3062"/>
      <c r="Q38" s="3063"/>
      <c r="R38" s="3064"/>
      <c r="S38" s="3099"/>
      <c r="T38" s="3018" t="s">
        <v>2850</v>
      </c>
      <c r="U38" s="3018"/>
      <c r="V38" s="3026"/>
    </row>
    <row r="39" spans="1:23" s="3030" customFormat="1" ht="13.15" customHeight="1">
      <c r="A39" s="3108">
        <v>9</v>
      </c>
      <c r="B39" s="3109" t="s">
        <v>2928</v>
      </c>
      <c r="C39" s="3074" t="e">
        <f>C38</f>
        <v>#DIV/0!</v>
      </c>
      <c r="D39" s="3109">
        <f>D38/(1+D34)^C36</f>
        <v>0</v>
      </c>
      <c r="E39" s="3109">
        <f>E38/(1+E34)^(C36+D36)</f>
        <v>0</v>
      </c>
      <c r="F39" s="3113"/>
      <c r="G39" s="3168"/>
      <c r="H39" s="3025"/>
      <c r="I39" s="3026"/>
      <c r="J39" s="3431"/>
      <c r="K39" s="3433"/>
      <c r="L39" s="3060"/>
      <c r="M39" s="3061"/>
      <c r="N39" s="3037"/>
      <c r="O39" s="3062"/>
      <c r="P39" s="3062"/>
      <c r="Q39" s="3063"/>
      <c r="R39" s="3064"/>
      <c r="S39" s="3099"/>
      <c r="T39" s="3018"/>
      <c r="U39" s="3018"/>
      <c r="V39" s="3026"/>
    </row>
    <row r="40" spans="1:23" s="3030" customFormat="1" ht="13.15" customHeight="1">
      <c r="A40" s="3169">
        <v>10</v>
      </c>
      <c r="B40" s="3109" t="s">
        <v>2929</v>
      </c>
      <c r="C40" s="3170" t="e">
        <f>C39+D39+E39</f>
        <v>#DIV/0!</v>
      </c>
      <c r="D40" s="3171"/>
      <c r="E40" s="3171"/>
      <c r="F40" s="3172"/>
      <c r="G40" s="3107"/>
      <c r="H40" s="3025"/>
      <c r="I40" s="3026"/>
      <c r="J40" s="3431"/>
      <c r="K40" s="3434"/>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t="e">
        <f>ROUND(C40*10000/B4,0)</f>
        <v>#DIV/0!</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41">
        <v>3</v>
      </c>
      <c r="K42" s="3128" t="s">
        <v>2910</v>
      </c>
      <c r="L42" s="3129"/>
      <c r="M42" s="3130"/>
      <c r="N42" s="3131" t="s">
        <v>2911</v>
      </c>
      <c r="O42" s="3131" t="s">
        <v>2912</v>
      </c>
      <c r="P42" s="3132" t="s">
        <v>2913</v>
      </c>
      <c r="Q42" s="3132" t="s">
        <v>2914</v>
      </c>
      <c r="R42" s="3035" t="s">
        <v>2839</v>
      </c>
      <c r="S42" s="3133"/>
      <c r="T42" s="3133"/>
      <c r="U42" s="3018"/>
      <c r="V42" s="3026"/>
    </row>
    <row r="43" spans="1:23" ht="13.15" customHeight="1">
      <c r="A43" s="3030"/>
      <c r="B43" s="3030"/>
      <c r="C43" s="3030"/>
      <c r="D43" s="3030"/>
      <c r="E43" s="3030"/>
      <c r="F43" s="3030"/>
      <c r="I43" s="3013"/>
      <c r="J43" s="3442"/>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75">
      <c r="A2" s="2007" t="s">
        <v>1906</v>
      </c>
      <c r="B2" s="2008">
        <f ca="1">SUMIF(B6:B13,"&lt;&gt;#ref!",B6:B13)</f>
        <v>29052</v>
      </c>
      <c r="C2" s="2009" t="s">
        <v>2098</v>
      </c>
      <c r="D2" s="2010" t="s">
        <v>2099</v>
      </c>
      <c r="E2" s="2779">
        <f>SUM(E6:E13)</f>
        <v>27858.239999999998</v>
      </c>
      <c r="F2" s="2882"/>
      <c r="G2" s="1625"/>
      <c r="H2" s="1625"/>
      <c r="I2" s="1625"/>
      <c r="J2" s="1625"/>
      <c r="K2" s="1625"/>
      <c r="L2" s="1625"/>
      <c r="M2" s="1625"/>
      <c r="N2" s="1625"/>
      <c r="O2" s="1625"/>
      <c r="P2" s="1625"/>
      <c r="Q2" s="1625"/>
      <c r="R2" s="1625"/>
      <c r="S2" s="1625"/>
    </row>
    <row r="3" spans="1:22" ht="15.75">
      <c r="A3" s="2007" t="s">
        <v>1119</v>
      </c>
      <c r="B3" s="2773">
        <f ca="1">ROUND(B2*10000/E2,0)</f>
        <v>10429</v>
      </c>
      <c r="C3" s="2009" t="s">
        <v>2106</v>
      </c>
      <c r="D3" s="2884"/>
      <c r="E3" s="2886"/>
      <c r="F3" s="2882"/>
      <c r="G3" s="1625"/>
      <c r="H3" s="1625"/>
      <c r="I3" s="1625"/>
      <c r="J3" s="1625"/>
      <c r="K3" s="1625"/>
      <c r="L3" s="1625"/>
      <c r="M3" s="1625"/>
      <c r="N3" s="1625"/>
      <c r="O3" s="1625"/>
      <c r="P3" s="1625"/>
      <c r="Q3" s="1625"/>
      <c r="R3" s="1625"/>
      <c r="S3" s="1625"/>
    </row>
    <row r="4" spans="1:22" ht="15.75">
      <c r="A4" s="2887"/>
      <c r="B4" s="2884"/>
      <c r="C4" s="2884"/>
      <c r="D4" s="2884"/>
      <c r="E4" s="2886"/>
      <c r="F4" s="2882"/>
      <c r="G4" s="1625"/>
      <c r="H4" s="1625"/>
      <c r="I4" s="1625"/>
      <c r="J4" s="1625"/>
      <c r="K4" s="1625"/>
      <c r="L4" s="1625"/>
      <c r="M4" s="1625"/>
      <c r="N4" s="1625"/>
      <c r="O4" s="1625"/>
      <c r="P4" s="1625"/>
      <c r="Q4" s="1625"/>
      <c r="R4" s="1625"/>
      <c r="S4" s="1625"/>
    </row>
    <row r="5" spans="1:22" ht="15">
      <c r="A5" s="2775" t="s">
        <v>2100</v>
      </c>
      <c r="B5" s="3443" t="s">
        <v>2101</v>
      </c>
      <c r="C5" s="3444"/>
      <c r="D5" s="2883"/>
      <c r="E5" s="2011" t="s">
        <v>2102</v>
      </c>
      <c r="F5" s="2012" t="s">
        <v>2103</v>
      </c>
      <c r="G5" s="1625"/>
      <c r="H5" s="1625"/>
      <c r="I5" s="1625"/>
      <c r="J5" s="1625"/>
      <c r="K5" s="1625"/>
      <c r="L5" s="1625"/>
      <c r="M5" s="1625"/>
      <c r="N5" s="1625"/>
      <c r="O5" s="1625"/>
      <c r="P5" s="1625"/>
      <c r="Q5" s="1625"/>
      <c r="R5" s="1625"/>
      <c r="S5" s="1625"/>
    </row>
    <row r="6" spans="1:22">
      <c r="A6" s="2776" t="str">
        <f>'数据-取费表'!AN6</f>
        <v>收益法</v>
      </c>
      <c r="B6" s="2774">
        <f ca="1">IF(F6="是",'数据-取费表'!AO6,0)</f>
        <v>29052</v>
      </c>
      <c r="C6" s="2009" t="s">
        <v>2098</v>
      </c>
      <c r="D6" s="2884"/>
      <c r="E6" s="2778">
        <f>IF(OR(A6=0,F6="否"),0,'数据-取费表'!K6+'数据-取费表'!S6)</f>
        <v>27858.239999999998</v>
      </c>
      <c r="F6" s="2013" t="s">
        <v>2104</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9" t="s">
        <v>2098</v>
      </c>
      <c r="D7" s="2884"/>
      <c r="E7" s="2778">
        <f>IF(OR(A7=0,F7="否"),0,'数据-取费表'!K7+'数据-取费表'!S7)</f>
        <v>0</v>
      </c>
      <c r="F7" s="2013" t="s">
        <v>2104</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9" t="s">
        <v>2098</v>
      </c>
      <c r="D8" s="2884"/>
      <c r="E8" s="2778">
        <f>IF(OR(A8=0,F8="否"),0,'数据-取费表'!K8+'数据-取费表'!S8)</f>
        <v>0</v>
      </c>
      <c r="F8" s="2013" t="s">
        <v>2104</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9" t="s">
        <v>2098</v>
      </c>
      <c r="D9" s="2884"/>
      <c r="E9" s="2778">
        <f>IF(OR(A9=0,F9="否"),0,'数据-取费表'!K9+'数据-取费表'!S9)</f>
        <v>0</v>
      </c>
      <c r="F9" s="2013" t="s">
        <v>2104</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9" t="s">
        <v>2098</v>
      </c>
      <c r="D10" s="2884"/>
      <c r="E10" s="2778">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9" t="s">
        <v>2098</v>
      </c>
      <c r="D11" s="2884"/>
      <c r="E11" s="2778">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9" t="s">
        <v>2098</v>
      </c>
      <c r="D12" s="2884"/>
      <c r="E12" s="2778">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4" t="s">
        <v>2098</v>
      </c>
      <c r="D13" s="2885"/>
      <c r="E13" s="2778">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27858.239999999998</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ht="15">
      <c r="A4" s="361" t="s">
        <v>2114</v>
      </c>
      <c r="B4" s="362"/>
      <c r="C4" s="3463" t="s">
        <v>2115</v>
      </c>
      <c r="D4" s="3464"/>
      <c r="E4" s="3465" t="s">
        <v>2116</v>
      </c>
      <c r="F4" s="3466"/>
      <c r="G4" s="3463" t="s">
        <v>2117</v>
      </c>
      <c r="H4" s="3464"/>
      <c r="I4" s="3463" t="s">
        <v>2118</v>
      </c>
      <c r="J4" s="3464"/>
      <c r="K4" s="2026" t="s">
        <v>2119</v>
      </c>
      <c r="L4" s="2890"/>
      <c r="M4" s="2891"/>
      <c r="N4" s="2891"/>
      <c r="O4" s="2891"/>
      <c r="P4" s="3467" t="s">
        <v>2120</v>
      </c>
      <c r="Q4" s="3468"/>
      <c r="R4" s="3450" t="s">
        <v>2116</v>
      </c>
      <c r="S4" s="3451"/>
      <c r="T4" s="3450" t="s">
        <v>2117</v>
      </c>
      <c r="U4" s="3451"/>
      <c r="V4" s="3475" t="s">
        <v>2118</v>
      </c>
      <c r="W4" s="3475"/>
      <c r="X4" s="1490"/>
      <c r="Y4" s="3450" t="s">
        <v>2120</v>
      </c>
      <c r="Z4" s="3451"/>
      <c r="AA4" s="3445" t="s">
        <v>2116</v>
      </c>
      <c r="AB4" s="3445" t="s">
        <v>2117</v>
      </c>
      <c r="AC4" s="3445" t="s">
        <v>2118</v>
      </c>
    </row>
    <row r="5" spans="1:29" ht="15">
      <c r="A5" s="364"/>
      <c r="B5" s="365"/>
      <c r="C5" s="3456" t="s">
        <v>2121</v>
      </c>
      <c r="D5" s="3457"/>
      <c r="E5" s="3454" t="s">
        <v>2122</v>
      </c>
      <c r="F5" s="3455"/>
      <c r="G5" s="3456" t="s">
        <v>2123</v>
      </c>
      <c r="H5" s="3457"/>
      <c r="I5" s="3456" t="s">
        <v>2124</v>
      </c>
      <c r="J5" s="3457"/>
      <c r="K5" s="2027"/>
      <c r="L5" s="2890"/>
      <c r="M5" s="2891"/>
      <c r="N5" s="2891"/>
      <c r="O5" s="2891"/>
      <c r="P5" s="3469"/>
      <c r="Q5" s="3470"/>
      <c r="R5" s="3452"/>
      <c r="S5" s="3453"/>
      <c r="T5" s="3452"/>
      <c r="U5" s="3453"/>
      <c r="V5" s="3475"/>
      <c r="W5" s="3475"/>
      <c r="X5" s="1490"/>
      <c r="Y5" s="3452"/>
      <c r="Z5" s="3453"/>
      <c r="AA5" s="3446"/>
      <c r="AB5" s="3446"/>
      <c r="AC5" s="3446"/>
    </row>
    <row r="6" spans="1:29" ht="15.75" thickBot="1">
      <c r="A6" s="366"/>
      <c r="B6" s="367"/>
      <c r="C6" s="3458" t="s">
        <v>2125</v>
      </c>
      <c r="D6" s="3459"/>
      <c r="E6" s="3460" t="s">
        <v>2125</v>
      </c>
      <c r="F6" s="3461"/>
      <c r="G6" s="3458" t="s">
        <v>2125</v>
      </c>
      <c r="H6" s="3459"/>
      <c r="I6" s="3458" t="s">
        <v>2125</v>
      </c>
      <c r="J6" s="3459"/>
      <c r="K6" s="2027" t="s">
        <v>2126</v>
      </c>
      <c r="L6" s="2890"/>
      <c r="M6" s="2891"/>
      <c r="N6" s="2891"/>
      <c r="O6" s="2891"/>
      <c r="P6" s="3471"/>
      <c r="Q6" s="3472"/>
      <c r="R6" s="3452"/>
      <c r="S6" s="3453"/>
      <c r="T6" s="3473"/>
      <c r="U6" s="3474"/>
      <c r="V6" s="3475"/>
      <c r="W6" s="3475"/>
      <c r="X6" s="1490"/>
      <c r="Y6" s="3473"/>
      <c r="Z6" s="3474"/>
      <c r="AA6" s="3447"/>
      <c r="AB6" s="3447"/>
      <c r="AC6" s="3447"/>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48" t="s">
        <v>2128</v>
      </c>
      <c r="Q7" s="3476"/>
      <c r="R7" s="710" t="s">
        <v>23</v>
      </c>
      <c r="S7" s="711">
        <f t="shared" ref="S7:S15" si="0">F7</f>
        <v>0</v>
      </c>
      <c r="T7" s="710" t="s">
        <v>23</v>
      </c>
      <c r="U7" s="711">
        <f t="shared" ref="U7:U15" si="1">H7</f>
        <v>0</v>
      </c>
      <c r="V7" s="710" t="s">
        <v>23</v>
      </c>
      <c r="W7" s="711">
        <f t="shared" ref="W7:W15" si="2">J7</f>
        <v>0</v>
      </c>
      <c r="X7" s="712"/>
      <c r="Y7" s="3448" t="s">
        <v>2128</v>
      </c>
      <c r="Z7" s="3449"/>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48" t="s">
        <v>2131</v>
      </c>
      <c r="Q8" s="3449"/>
      <c r="R8" s="710" t="s">
        <v>23</v>
      </c>
      <c r="S8" s="711">
        <f t="shared" si="0"/>
        <v>0</v>
      </c>
      <c r="T8" s="710" t="s">
        <v>23</v>
      </c>
      <c r="U8" s="711">
        <f t="shared" si="1"/>
        <v>0</v>
      </c>
      <c r="V8" s="710" t="s">
        <v>23</v>
      </c>
      <c r="W8" s="711">
        <f t="shared" si="2"/>
        <v>0</v>
      </c>
      <c r="X8" s="712"/>
      <c r="Y8" s="3448" t="s">
        <v>2131</v>
      </c>
      <c r="Z8" s="3449"/>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62"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2"/>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2"/>
      <c r="Q11" s="1478" t="str">
        <f t="shared" si="6"/>
        <v>容积率</v>
      </c>
      <c r="R11" s="710" t="s">
        <v>21</v>
      </c>
      <c r="S11" s="711" t="e">
        <f t="shared" si="0"/>
        <v>#N/A</v>
      </c>
      <c r="T11" s="710" t="s">
        <v>21</v>
      </c>
      <c r="U11" s="711" t="e">
        <f t="shared" si="1"/>
        <v>#N/A</v>
      </c>
      <c r="V11" s="710" t="s">
        <v>21</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62"/>
      <c r="Q12" s="1478">
        <f t="shared" si="6"/>
        <v>111</v>
      </c>
      <c r="R12" s="710" t="s">
        <v>21</v>
      </c>
      <c r="S12" s="711">
        <f t="shared" si="0"/>
        <v>100</v>
      </c>
      <c r="T12" s="710" t="s">
        <v>21</v>
      </c>
      <c r="U12" s="711">
        <f t="shared" si="1"/>
        <v>100</v>
      </c>
      <c r="V12" s="710" t="s">
        <v>21</v>
      </c>
      <c r="W12" s="711">
        <f t="shared" si="2"/>
        <v>100</v>
      </c>
      <c r="X12" s="712"/>
      <c r="Y12" s="339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62"/>
      <c r="Q13" s="1478">
        <f t="shared" si="6"/>
        <v>111</v>
      </c>
      <c r="R13" s="710" t="s">
        <v>21</v>
      </c>
      <c r="S13" s="711">
        <f t="shared" si="0"/>
        <v>100</v>
      </c>
      <c r="T13" s="710" t="s">
        <v>21</v>
      </c>
      <c r="U13" s="711">
        <f t="shared" si="1"/>
        <v>100</v>
      </c>
      <c r="V13" s="710" t="s">
        <v>21</v>
      </c>
      <c r="W13" s="711">
        <f t="shared" si="2"/>
        <v>100</v>
      </c>
      <c r="X13" s="712"/>
      <c r="Y13" s="339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62"/>
      <c r="Q14" s="1478">
        <f t="shared" si="6"/>
        <v>111</v>
      </c>
      <c r="R14" s="710" t="s">
        <v>21</v>
      </c>
      <c r="S14" s="711">
        <f t="shared" si="0"/>
        <v>100</v>
      </c>
      <c r="T14" s="710" t="s">
        <v>21</v>
      </c>
      <c r="U14" s="711">
        <f t="shared" si="1"/>
        <v>100</v>
      </c>
      <c r="V14" s="710" t="s">
        <v>21</v>
      </c>
      <c r="W14" s="711">
        <f t="shared" si="2"/>
        <v>100</v>
      </c>
      <c r="X14" s="712"/>
      <c r="Y14" s="3392"/>
      <c r="Z14" s="55">
        <f t="shared" si="7"/>
        <v>111</v>
      </c>
      <c r="AA14" s="713">
        <f t="shared" si="3"/>
        <v>1</v>
      </c>
      <c r="AB14" s="713">
        <f t="shared" si="4"/>
        <v>1</v>
      </c>
      <c r="AC14" s="713">
        <f t="shared" si="5"/>
        <v>1</v>
      </c>
    </row>
    <row r="15" spans="1:29" ht="99.7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89" t="s">
        <v>2139</v>
      </c>
      <c r="Q15" s="1487" t="str">
        <f t="shared" si="6"/>
        <v>居住社区成熟度</v>
      </c>
      <c r="R15" s="714" t="s">
        <v>21</v>
      </c>
      <c r="S15" s="715">
        <f t="shared" si="0"/>
        <v>100</v>
      </c>
      <c r="T15" s="714" t="s">
        <v>21</v>
      </c>
      <c r="U15" s="715">
        <f t="shared" si="1"/>
        <v>100</v>
      </c>
      <c r="V15" s="714" t="s">
        <v>21</v>
      </c>
      <c r="W15" s="715">
        <f t="shared" si="2"/>
        <v>100</v>
      </c>
      <c r="X15" s="1490"/>
      <c r="Y15" s="3482"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7"/>
      <c r="M16" s="2891"/>
      <c r="N16" s="2891"/>
      <c r="O16" s="2891"/>
      <c r="P16" s="3490"/>
      <c r="Q16" s="1487"/>
      <c r="R16" s="714"/>
      <c r="S16" s="715"/>
      <c r="T16" s="714"/>
      <c r="U16" s="715"/>
      <c r="V16" s="714"/>
      <c r="W16" s="715"/>
      <c r="X16" s="1490"/>
      <c r="Y16" s="348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90"/>
      <c r="Q17" s="1487" t="str">
        <f>B17</f>
        <v>交通便捷度</v>
      </c>
      <c r="R17" s="714" t="s">
        <v>21</v>
      </c>
      <c r="S17" s="715">
        <f>F17</f>
        <v>100</v>
      </c>
      <c r="T17" s="714" t="s">
        <v>21</v>
      </c>
      <c r="U17" s="715">
        <f>H17</f>
        <v>100</v>
      </c>
      <c r="V17" s="714" t="s">
        <v>21</v>
      </c>
      <c r="W17" s="715">
        <f>J17</f>
        <v>100</v>
      </c>
      <c r="X17" s="1490"/>
      <c r="Y17" s="348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7"/>
      <c r="M18" s="2891"/>
      <c r="N18" s="2891"/>
      <c r="O18" s="2891"/>
      <c r="P18" s="3490"/>
      <c r="Q18" s="1487"/>
      <c r="R18" s="714"/>
      <c r="S18" s="715"/>
      <c r="T18" s="714"/>
      <c r="U18" s="715"/>
      <c r="V18" s="714"/>
      <c r="W18" s="715"/>
      <c r="X18" s="1490"/>
      <c r="Y18" s="3483"/>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90"/>
      <c r="Q19" s="1487" t="str">
        <f>B19</f>
        <v>公共配套设施</v>
      </c>
      <c r="R19" s="714" t="s">
        <v>21</v>
      </c>
      <c r="S19" s="715">
        <f>F19</f>
        <v>100</v>
      </c>
      <c r="T19" s="714" t="s">
        <v>21</v>
      </c>
      <c r="U19" s="715">
        <f>H19</f>
        <v>100</v>
      </c>
      <c r="V19" s="714" t="s">
        <v>21</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7"/>
      <c r="M20" s="2891"/>
      <c r="N20" s="2891"/>
      <c r="O20" s="2891"/>
      <c r="P20" s="3490"/>
      <c r="Q20" s="1487"/>
      <c r="R20" s="714"/>
      <c r="S20" s="715"/>
      <c r="T20" s="714"/>
      <c r="U20" s="715"/>
      <c r="V20" s="714"/>
      <c r="W20" s="715"/>
      <c r="X20" s="1490"/>
      <c r="Y20" s="3483"/>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90"/>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7"/>
      <c r="M22" s="2891"/>
      <c r="N22" s="2891"/>
      <c r="O22" s="2891"/>
      <c r="P22" s="3490"/>
      <c r="Q22" s="1487"/>
      <c r="R22" s="714"/>
      <c r="S22" s="715"/>
      <c r="T22" s="714"/>
      <c r="U22" s="715"/>
      <c r="V22" s="714"/>
      <c r="W22" s="715"/>
      <c r="X22" s="1490"/>
      <c r="Y22" s="3483"/>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90"/>
      <c r="Q23" s="1487" t="str">
        <f>B23</f>
        <v>自然及人文环境</v>
      </c>
      <c r="R23" s="714" t="s">
        <v>21</v>
      </c>
      <c r="S23" s="715">
        <f>F23</f>
        <v>100</v>
      </c>
      <c r="T23" s="714" t="s">
        <v>21</v>
      </c>
      <c r="U23" s="715">
        <f>H23</f>
        <v>100</v>
      </c>
      <c r="V23" s="714" t="s">
        <v>21</v>
      </c>
      <c r="W23" s="715">
        <f>J23</f>
        <v>100</v>
      </c>
      <c r="X23" s="1490"/>
      <c r="Y23" s="348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7"/>
      <c r="M24" s="2891"/>
      <c r="N24" s="2891"/>
      <c r="O24" s="2891"/>
      <c r="P24" s="3490"/>
      <c r="Q24" s="1487"/>
      <c r="R24" s="714"/>
      <c r="S24" s="715"/>
      <c r="T24" s="714"/>
      <c r="U24" s="715"/>
      <c r="V24" s="714"/>
      <c r="W24" s="715"/>
      <c r="X24" s="1490"/>
      <c r="Y24" s="3483"/>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49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3"/>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490"/>
      <c r="Q26" s="1487" t="str">
        <f t="shared" si="11"/>
        <v>朝向</v>
      </c>
      <c r="R26" s="714" t="s">
        <v>21</v>
      </c>
      <c r="S26" s="715">
        <f t="shared" si="12"/>
        <v>100</v>
      </c>
      <c r="T26" s="714" t="s">
        <v>21</v>
      </c>
      <c r="U26" s="715">
        <f t="shared" si="13"/>
        <v>100</v>
      </c>
      <c r="V26" s="714" t="s">
        <v>21</v>
      </c>
      <c r="W26" s="715">
        <f t="shared" si="14"/>
        <v>100</v>
      </c>
      <c r="X26" s="1490"/>
      <c r="Y26" s="348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490"/>
      <c r="Q27" s="1478">
        <f t="shared" si="11"/>
        <v>111</v>
      </c>
      <c r="R27" s="710" t="s">
        <v>21</v>
      </c>
      <c r="S27" s="711">
        <f t="shared" si="12"/>
        <v>100</v>
      </c>
      <c r="T27" s="710" t="s">
        <v>21</v>
      </c>
      <c r="U27" s="711">
        <f t="shared" si="13"/>
        <v>100</v>
      </c>
      <c r="V27" s="710" t="s">
        <v>21</v>
      </c>
      <c r="W27" s="711">
        <f t="shared" si="14"/>
        <v>100</v>
      </c>
      <c r="X27" s="712"/>
      <c r="Y27" s="348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490"/>
      <c r="Q28" s="1487">
        <f t="shared" si="11"/>
        <v>111</v>
      </c>
      <c r="R28" s="714" t="s">
        <v>21</v>
      </c>
      <c r="S28" s="715">
        <f t="shared" si="12"/>
        <v>100</v>
      </c>
      <c r="T28" s="714" t="s">
        <v>21</v>
      </c>
      <c r="U28" s="715">
        <f t="shared" si="13"/>
        <v>100</v>
      </c>
      <c r="V28" s="714" t="s">
        <v>21</v>
      </c>
      <c r="W28" s="715">
        <f t="shared" si="14"/>
        <v>100</v>
      </c>
      <c r="X28" s="1490"/>
      <c r="Y28" s="348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490"/>
      <c r="Q29" s="1487">
        <f t="shared" si="11"/>
        <v>111</v>
      </c>
      <c r="R29" s="714" t="s">
        <v>21</v>
      </c>
      <c r="S29" s="715">
        <f t="shared" si="12"/>
        <v>100</v>
      </c>
      <c r="T29" s="714" t="s">
        <v>21</v>
      </c>
      <c r="U29" s="715">
        <f t="shared" si="13"/>
        <v>100</v>
      </c>
      <c r="V29" s="714" t="s">
        <v>21</v>
      </c>
      <c r="W29" s="715">
        <f t="shared" si="14"/>
        <v>100</v>
      </c>
      <c r="X29" s="1490"/>
      <c r="Y29" s="348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490"/>
      <c r="Q30" s="1487">
        <f t="shared" si="11"/>
        <v>111</v>
      </c>
      <c r="R30" s="714" t="s">
        <v>21</v>
      </c>
      <c r="S30" s="715">
        <f t="shared" si="12"/>
        <v>100</v>
      </c>
      <c r="T30" s="714" t="s">
        <v>21</v>
      </c>
      <c r="U30" s="715">
        <f t="shared" si="13"/>
        <v>100</v>
      </c>
      <c r="V30" s="714" t="s">
        <v>21</v>
      </c>
      <c r="W30" s="715">
        <f t="shared" si="14"/>
        <v>100</v>
      </c>
      <c r="X30" s="1490"/>
      <c r="Y30" s="348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490"/>
      <c r="Q31" s="1487">
        <f t="shared" si="11"/>
        <v>111</v>
      </c>
      <c r="R31" s="714" t="s">
        <v>21</v>
      </c>
      <c r="S31" s="715">
        <f t="shared" si="12"/>
        <v>100</v>
      </c>
      <c r="T31" s="714" t="s">
        <v>21</v>
      </c>
      <c r="U31" s="715">
        <f t="shared" si="13"/>
        <v>100</v>
      </c>
      <c r="V31" s="714" t="s">
        <v>21</v>
      </c>
      <c r="W31" s="715">
        <f t="shared" si="14"/>
        <v>100</v>
      </c>
      <c r="X31" s="1490"/>
      <c r="Y31" s="3483"/>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84" t="s">
        <v>2144</v>
      </c>
      <c r="Q32" s="1487" t="str">
        <f t="shared" si="11"/>
        <v>建筑类型</v>
      </c>
      <c r="R32" s="714" t="s">
        <v>21</v>
      </c>
      <c r="S32" s="715">
        <f t="shared" si="12"/>
        <v>100</v>
      </c>
      <c r="T32" s="714" t="s">
        <v>21</v>
      </c>
      <c r="U32" s="715">
        <f t="shared" si="13"/>
        <v>100</v>
      </c>
      <c r="V32" s="714" t="s">
        <v>21</v>
      </c>
      <c r="W32" s="715">
        <f t="shared" si="14"/>
        <v>100</v>
      </c>
      <c r="X32" s="1490"/>
      <c r="Y32" s="3487"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85"/>
      <c r="Q33" s="716" t="str">
        <f t="shared" si="11"/>
        <v>项目建筑规模</v>
      </c>
      <c r="R33" s="717" t="s">
        <v>21</v>
      </c>
      <c r="S33" s="718" t="e">
        <f t="shared" si="12"/>
        <v>#N/A</v>
      </c>
      <c r="T33" s="717" t="s">
        <v>21</v>
      </c>
      <c r="U33" s="718" t="e">
        <f t="shared" si="13"/>
        <v>#N/A</v>
      </c>
      <c r="V33" s="717" t="s">
        <v>21</v>
      </c>
      <c r="W33" s="718" t="e">
        <f t="shared" si="14"/>
        <v>#N/A</v>
      </c>
      <c r="X33" s="719"/>
      <c r="Y33" s="3487"/>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85"/>
      <c r="Q34" s="1487" t="str">
        <f t="shared" si="11"/>
        <v>建筑结构</v>
      </c>
      <c r="R34" s="714" t="s">
        <v>21</v>
      </c>
      <c r="S34" s="715">
        <f t="shared" si="12"/>
        <v>100</v>
      </c>
      <c r="T34" s="714" t="s">
        <v>21</v>
      </c>
      <c r="U34" s="715">
        <f t="shared" si="13"/>
        <v>100</v>
      </c>
      <c r="V34" s="714" t="s">
        <v>21</v>
      </c>
      <c r="W34" s="715">
        <f t="shared" si="14"/>
        <v>100</v>
      </c>
      <c r="X34" s="1490"/>
      <c r="Y34" s="3487"/>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85"/>
      <c r="Q35" s="1487" t="str">
        <f t="shared" si="11"/>
        <v>建筑品质</v>
      </c>
      <c r="R35" s="714" t="s">
        <v>21</v>
      </c>
      <c r="S35" s="715">
        <f t="shared" si="12"/>
        <v>100</v>
      </c>
      <c r="T35" s="714" t="s">
        <v>21</v>
      </c>
      <c r="U35" s="715">
        <f t="shared" si="13"/>
        <v>100</v>
      </c>
      <c r="V35" s="714" t="s">
        <v>21</v>
      </c>
      <c r="W35" s="715">
        <f t="shared" si="14"/>
        <v>100</v>
      </c>
      <c r="X35" s="1490"/>
      <c r="Y35" s="3487"/>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85"/>
      <c r="Q36" s="1487" t="str">
        <f t="shared" si="11"/>
        <v>公共部分装修</v>
      </c>
      <c r="R36" s="714" t="s">
        <v>21</v>
      </c>
      <c r="S36" s="715">
        <f t="shared" si="12"/>
        <v>100</v>
      </c>
      <c r="T36" s="714" t="s">
        <v>21</v>
      </c>
      <c r="U36" s="715">
        <f t="shared" si="13"/>
        <v>100</v>
      </c>
      <c r="V36" s="714" t="s">
        <v>21</v>
      </c>
      <c r="W36" s="715">
        <f t="shared" si="14"/>
        <v>100</v>
      </c>
      <c r="X36" s="1490"/>
      <c r="Y36" s="3487"/>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85"/>
      <c r="Q37" s="1478" t="str">
        <f t="shared" si="11"/>
        <v>成新度</v>
      </c>
      <c r="R37" s="710" t="s">
        <v>21</v>
      </c>
      <c r="S37" s="711" t="e">
        <f t="shared" si="12"/>
        <v>#N/A</v>
      </c>
      <c r="T37" s="710" t="s">
        <v>21</v>
      </c>
      <c r="U37" s="711" t="e">
        <f t="shared" si="13"/>
        <v>#N/A</v>
      </c>
      <c r="V37" s="710" t="s">
        <v>21</v>
      </c>
      <c r="W37" s="711" t="e">
        <f t="shared" si="14"/>
        <v>#N/A</v>
      </c>
      <c r="X37" s="712"/>
      <c r="Y37" s="3487"/>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85" t="s">
        <v>2144</v>
      </c>
      <c r="Q38" s="1487" t="str">
        <f t="shared" si="11"/>
        <v>物业管理</v>
      </c>
      <c r="R38" s="714" t="s">
        <v>21</v>
      </c>
      <c r="S38" s="715">
        <f t="shared" si="12"/>
        <v>100</v>
      </c>
      <c r="T38" s="714" t="s">
        <v>21</v>
      </c>
      <c r="U38" s="715">
        <f t="shared" si="13"/>
        <v>100</v>
      </c>
      <c r="V38" s="714" t="s">
        <v>21</v>
      </c>
      <c r="W38" s="715">
        <f t="shared" si="14"/>
        <v>100</v>
      </c>
      <c r="X38" s="1490"/>
      <c r="Y38" s="3487"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85"/>
      <c r="Q39" s="1487" t="str">
        <f t="shared" si="11"/>
        <v>市政基础设施</v>
      </c>
      <c r="R39" s="714" t="s">
        <v>21</v>
      </c>
      <c r="S39" s="715">
        <f t="shared" si="12"/>
        <v>100</v>
      </c>
      <c r="T39" s="714" t="s">
        <v>21</v>
      </c>
      <c r="U39" s="715">
        <f t="shared" si="13"/>
        <v>100</v>
      </c>
      <c r="V39" s="714" t="s">
        <v>21</v>
      </c>
      <c r="W39" s="715">
        <f t="shared" si="14"/>
        <v>100</v>
      </c>
      <c r="X39" s="1490"/>
      <c r="Y39" s="3487"/>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85"/>
      <c r="Q40" s="1487" t="str">
        <f t="shared" si="11"/>
        <v>房型</v>
      </c>
      <c r="R40" s="714" t="s">
        <v>21</v>
      </c>
      <c r="S40" s="715">
        <f t="shared" si="12"/>
        <v>100</v>
      </c>
      <c r="T40" s="714" t="s">
        <v>21</v>
      </c>
      <c r="U40" s="715">
        <f t="shared" si="13"/>
        <v>100</v>
      </c>
      <c r="V40" s="714" t="s">
        <v>21</v>
      </c>
      <c r="W40" s="715">
        <f t="shared" si="14"/>
        <v>100</v>
      </c>
      <c r="X40" s="1490"/>
      <c r="Y40" s="3487"/>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85"/>
      <c r="Q41" s="716" t="str">
        <f t="shared" si="11"/>
        <v>单套/主力户型建筑面积</v>
      </c>
      <c r="R41" s="717" t="s">
        <v>21</v>
      </c>
      <c r="S41" s="718">
        <f t="shared" si="12"/>
        <v>100</v>
      </c>
      <c r="T41" s="717" t="s">
        <v>21</v>
      </c>
      <c r="U41" s="718">
        <f t="shared" si="13"/>
        <v>100</v>
      </c>
      <c r="V41" s="717" t="s">
        <v>21</v>
      </c>
      <c r="W41" s="718">
        <f t="shared" si="14"/>
        <v>100</v>
      </c>
      <c r="X41" s="719"/>
      <c r="Y41" s="3487"/>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85"/>
      <c r="Q42" s="1487" t="str">
        <f t="shared" si="11"/>
        <v>内部装修</v>
      </c>
      <c r="R42" s="714" t="s">
        <v>21</v>
      </c>
      <c r="S42" s="715">
        <f t="shared" si="12"/>
        <v>100</v>
      </c>
      <c r="T42" s="714" t="s">
        <v>21</v>
      </c>
      <c r="U42" s="715">
        <f t="shared" si="13"/>
        <v>100</v>
      </c>
      <c r="V42" s="714" t="s">
        <v>21</v>
      </c>
      <c r="W42" s="715">
        <f t="shared" si="14"/>
        <v>100</v>
      </c>
      <c r="X42" s="1490"/>
      <c r="Y42" s="3487"/>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85"/>
      <c r="Q43" s="1487" t="str">
        <f t="shared" si="11"/>
        <v>内部装修维护情况</v>
      </c>
      <c r="R43" s="714" t="s">
        <v>21</v>
      </c>
      <c r="S43" s="715">
        <f t="shared" si="12"/>
        <v>100</v>
      </c>
      <c r="T43" s="714" t="s">
        <v>21</v>
      </c>
      <c r="U43" s="715">
        <f t="shared" si="13"/>
        <v>100</v>
      </c>
      <c r="V43" s="714" t="s">
        <v>21</v>
      </c>
      <c r="W43" s="715">
        <f t="shared" si="14"/>
        <v>100</v>
      </c>
      <c r="X43" s="1490"/>
      <c r="Y43" s="348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85"/>
      <c r="Q44" s="1478">
        <f t="shared" si="11"/>
        <v>111</v>
      </c>
      <c r="R44" s="710" t="s">
        <v>21</v>
      </c>
      <c r="S44" s="711">
        <f t="shared" si="12"/>
        <v>100</v>
      </c>
      <c r="T44" s="710" t="s">
        <v>21</v>
      </c>
      <c r="U44" s="711">
        <f t="shared" si="13"/>
        <v>100</v>
      </c>
      <c r="V44" s="710" t="s">
        <v>21</v>
      </c>
      <c r="W44" s="711">
        <f t="shared" si="14"/>
        <v>100</v>
      </c>
      <c r="X44" s="712"/>
      <c r="Y44" s="348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85"/>
      <c r="Q45" s="1487">
        <f t="shared" si="11"/>
        <v>111</v>
      </c>
      <c r="R45" s="714" t="s">
        <v>21</v>
      </c>
      <c r="S45" s="715">
        <f t="shared" si="12"/>
        <v>100</v>
      </c>
      <c r="T45" s="714" t="s">
        <v>21</v>
      </c>
      <c r="U45" s="715">
        <f t="shared" si="13"/>
        <v>100</v>
      </c>
      <c r="V45" s="714" t="s">
        <v>21</v>
      </c>
      <c r="W45" s="715">
        <f t="shared" si="14"/>
        <v>100</v>
      </c>
      <c r="X45" s="1490"/>
      <c r="Y45" s="348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86"/>
      <c r="Q46" s="1487">
        <f t="shared" si="11"/>
        <v>111</v>
      </c>
      <c r="R46" s="714" t="s">
        <v>20</v>
      </c>
      <c r="S46" s="715">
        <f t="shared" si="12"/>
        <v>100</v>
      </c>
      <c r="T46" s="714" t="s">
        <v>20</v>
      </c>
      <c r="U46" s="715">
        <f t="shared" si="13"/>
        <v>100</v>
      </c>
      <c r="V46" s="714" t="s">
        <v>20</v>
      </c>
      <c r="W46" s="715">
        <f t="shared" si="14"/>
        <v>100</v>
      </c>
      <c r="X46" s="1490"/>
      <c r="Y46" s="3488"/>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9"/>
      <c r="M47" s="2900"/>
      <c r="N47" s="2891"/>
      <c r="O47" s="2900"/>
      <c r="P47" s="3480" t="str">
        <f>A47</f>
        <v>成交单价（元/平方米）</v>
      </c>
      <c r="Q47" s="3480"/>
      <c r="R47" s="3481">
        <f>E47</f>
        <v>0</v>
      </c>
      <c r="S47" s="3481"/>
      <c r="T47" s="3481">
        <f>G47</f>
        <v>0</v>
      </c>
      <c r="U47" s="3481"/>
      <c r="V47" s="3481">
        <f>I47</f>
        <v>0</v>
      </c>
      <c r="W47" s="3481"/>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9"/>
      <c r="M49" s="2900"/>
      <c r="N49" s="2900"/>
      <c r="O49" s="2900"/>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ht="15">
      <c r="A4" s="361" t="s">
        <v>2224</v>
      </c>
      <c r="B4" s="362"/>
      <c r="C4" s="3463" t="s">
        <v>2225</v>
      </c>
      <c r="D4" s="3464"/>
      <c r="E4" s="3465" t="s">
        <v>2226</v>
      </c>
      <c r="F4" s="3466"/>
      <c r="G4" s="3463" t="s">
        <v>2227</v>
      </c>
      <c r="H4" s="3464"/>
      <c r="I4" s="3463" t="s">
        <v>2228</v>
      </c>
      <c r="J4" s="3464"/>
      <c r="K4" s="567" t="s">
        <v>2229</v>
      </c>
      <c r="L4" s="2890"/>
      <c r="M4" s="2891"/>
      <c r="N4" s="2891"/>
      <c r="O4" s="2891"/>
      <c r="P4" s="3467" t="s">
        <v>2230</v>
      </c>
      <c r="Q4" s="3468"/>
      <c r="R4" s="3450" t="s">
        <v>2226</v>
      </c>
      <c r="S4" s="3451"/>
      <c r="T4" s="3450" t="s">
        <v>2227</v>
      </c>
      <c r="U4" s="3451"/>
      <c r="V4" s="3475" t="s">
        <v>2228</v>
      </c>
      <c r="W4" s="3475"/>
      <c r="X4" s="1490"/>
      <c r="Y4" s="3450" t="s">
        <v>2230</v>
      </c>
      <c r="Z4" s="3451"/>
      <c r="AA4" s="3445" t="s">
        <v>2226</v>
      </c>
      <c r="AB4" s="3475" t="s">
        <v>2227</v>
      </c>
      <c r="AC4" s="3445" t="s">
        <v>2228</v>
      </c>
    </row>
    <row r="5" spans="1:29" ht="15">
      <c r="A5" s="364"/>
      <c r="B5" s="365"/>
      <c r="C5" s="3456" t="s">
        <v>2121</v>
      </c>
      <c r="D5" s="3457"/>
      <c r="E5" s="3454" t="s">
        <v>2122</v>
      </c>
      <c r="F5" s="3455"/>
      <c r="G5" s="3456" t="s">
        <v>2123</v>
      </c>
      <c r="H5" s="3457"/>
      <c r="I5" s="3456" t="s">
        <v>2124</v>
      </c>
      <c r="J5" s="3457"/>
      <c r="K5" s="567"/>
      <c r="L5" s="2890"/>
      <c r="M5" s="2891"/>
      <c r="N5" s="2891"/>
      <c r="O5" s="2891"/>
      <c r="P5" s="3469"/>
      <c r="Q5" s="3470"/>
      <c r="R5" s="3452"/>
      <c r="S5" s="3453"/>
      <c r="T5" s="3452"/>
      <c r="U5" s="3453"/>
      <c r="V5" s="3475"/>
      <c r="W5" s="3475"/>
      <c r="X5" s="1490"/>
      <c r="Y5" s="3452"/>
      <c r="Z5" s="3453"/>
      <c r="AA5" s="3446"/>
      <c r="AB5" s="3475"/>
      <c r="AC5" s="3446"/>
    </row>
    <row r="6" spans="1:29" ht="15.75" thickBot="1">
      <c r="A6" s="366"/>
      <c r="B6" s="367"/>
      <c r="C6" s="3458" t="s">
        <v>2125</v>
      </c>
      <c r="D6" s="3459"/>
      <c r="E6" s="3460" t="s">
        <v>2125</v>
      </c>
      <c r="F6" s="3461"/>
      <c r="G6" s="3458" t="s">
        <v>2125</v>
      </c>
      <c r="H6" s="3459"/>
      <c r="I6" s="3458" t="s">
        <v>2125</v>
      </c>
      <c r="J6" s="3459"/>
      <c r="K6" s="567" t="s">
        <v>2126</v>
      </c>
      <c r="L6" s="2890"/>
      <c r="M6" s="2891"/>
      <c r="N6" s="2891"/>
      <c r="O6" s="2891"/>
      <c r="P6" s="3471"/>
      <c r="Q6" s="3472"/>
      <c r="R6" s="3452"/>
      <c r="S6" s="3453"/>
      <c r="T6" s="3473"/>
      <c r="U6" s="3474"/>
      <c r="V6" s="3475"/>
      <c r="W6" s="3475"/>
      <c r="X6" s="1490"/>
      <c r="Y6" s="3473"/>
      <c r="Z6" s="3474"/>
      <c r="AA6" s="3447"/>
      <c r="AB6" s="3475"/>
      <c r="AC6" s="3447"/>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48" t="s">
        <v>2128</v>
      </c>
      <c r="Q7" s="3476"/>
      <c r="R7" s="710" t="s">
        <v>17</v>
      </c>
      <c r="S7" s="711">
        <f t="shared" ref="S7:S15" si="0">F7</f>
        <v>0</v>
      </c>
      <c r="T7" s="710" t="s">
        <v>17</v>
      </c>
      <c r="U7" s="711">
        <f t="shared" ref="U7:U15" si="1">H7</f>
        <v>0</v>
      </c>
      <c r="V7" s="710" t="s">
        <v>17</v>
      </c>
      <c r="W7" s="711">
        <f t="shared" ref="W7:W15" si="2">J7</f>
        <v>0</v>
      </c>
      <c r="X7" s="712"/>
      <c r="Y7" s="3448" t="s">
        <v>2128</v>
      </c>
      <c r="Z7" s="3449"/>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48" t="s">
        <v>2131</v>
      </c>
      <c r="Q8" s="3449"/>
      <c r="R8" s="710" t="s">
        <v>17</v>
      </c>
      <c r="S8" s="711">
        <f t="shared" si="0"/>
        <v>0</v>
      </c>
      <c r="T8" s="710" t="s">
        <v>17</v>
      </c>
      <c r="U8" s="711">
        <f t="shared" si="1"/>
        <v>0</v>
      </c>
      <c r="V8" s="710" t="s">
        <v>17</v>
      </c>
      <c r="W8" s="711">
        <f t="shared" si="2"/>
        <v>0</v>
      </c>
      <c r="X8" s="712"/>
      <c r="Y8" s="3448" t="s">
        <v>2131</v>
      </c>
      <c r="Z8" s="3449"/>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2"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2"/>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2"/>
      <c r="Q11" s="1478"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2"/>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2"/>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2"/>
      <c r="Q14" s="1478">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71.2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89" t="s">
        <v>2139</v>
      </c>
      <c r="Q15" s="1487" t="str">
        <f t="shared" si="6"/>
        <v>商业繁华度</v>
      </c>
      <c r="R15" s="714" t="s">
        <v>17</v>
      </c>
      <c r="S15" s="715">
        <f t="shared" si="0"/>
        <v>100</v>
      </c>
      <c r="T15" s="714" t="s">
        <v>17</v>
      </c>
      <c r="U15" s="715">
        <f t="shared" si="1"/>
        <v>100</v>
      </c>
      <c r="V15" s="714" t="s">
        <v>17</v>
      </c>
      <c r="W15" s="715">
        <f t="shared" si="2"/>
        <v>100</v>
      </c>
      <c r="X15" s="1490"/>
      <c r="Y15" s="3482"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7"/>
      <c r="M16" s="2891"/>
      <c r="N16" s="2891"/>
      <c r="O16" s="2891"/>
      <c r="P16" s="3490"/>
      <c r="Q16" s="1487"/>
      <c r="R16" s="714"/>
      <c r="S16" s="715"/>
      <c r="T16" s="714"/>
      <c r="U16" s="715"/>
      <c r="V16" s="714"/>
      <c r="W16" s="715"/>
      <c r="X16" s="1490"/>
      <c r="Y16" s="348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90"/>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7"/>
      <c r="M18" s="2891"/>
      <c r="N18" s="2891"/>
      <c r="O18" s="2891"/>
      <c r="P18" s="3490"/>
      <c r="Q18" s="1487"/>
      <c r="R18" s="714"/>
      <c r="S18" s="715"/>
      <c r="T18" s="714"/>
      <c r="U18" s="715"/>
      <c r="V18" s="714"/>
      <c r="W18" s="715"/>
      <c r="X18" s="1490"/>
      <c r="Y18" s="3483"/>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90"/>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7"/>
      <c r="M20" s="2891"/>
      <c r="N20" s="2891"/>
      <c r="O20" s="2891"/>
      <c r="P20" s="3490"/>
      <c r="Q20" s="1487"/>
      <c r="R20" s="714"/>
      <c r="S20" s="715"/>
      <c r="T20" s="714"/>
      <c r="U20" s="715"/>
      <c r="V20" s="714"/>
      <c r="W20" s="715"/>
      <c r="X20" s="1490"/>
      <c r="Y20" s="3483"/>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90"/>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7"/>
      <c r="M22" s="2891"/>
      <c r="N22" s="2891"/>
      <c r="O22" s="2891"/>
      <c r="P22" s="3490"/>
      <c r="Q22" s="1487"/>
      <c r="R22" s="714"/>
      <c r="S22" s="715"/>
      <c r="T22" s="714"/>
      <c r="U22" s="715"/>
      <c r="V22" s="714"/>
      <c r="W22" s="715"/>
      <c r="X22" s="1490"/>
      <c r="Y22" s="3483"/>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90"/>
      <c r="Q23" s="1487" t="str">
        <f>B23</f>
        <v>自然及人文环境</v>
      </c>
      <c r="R23" s="714" t="s">
        <v>17</v>
      </c>
      <c r="S23" s="715">
        <f>F23</f>
        <v>100</v>
      </c>
      <c r="T23" s="714" t="s">
        <v>17</v>
      </c>
      <c r="U23" s="715">
        <f>H23</f>
        <v>100</v>
      </c>
      <c r="V23" s="714" t="s">
        <v>17</v>
      </c>
      <c r="W23" s="715">
        <f>J23</f>
        <v>100</v>
      </c>
      <c r="X23" s="1490"/>
      <c r="Y23" s="348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7"/>
      <c r="M24" s="2891"/>
      <c r="N24" s="2891"/>
      <c r="O24" s="2891"/>
      <c r="P24" s="3490"/>
      <c r="Q24" s="1487"/>
      <c r="R24" s="714"/>
      <c r="S24" s="715"/>
      <c r="T24" s="714"/>
      <c r="U24" s="715"/>
      <c r="V24" s="714"/>
      <c r="W24" s="715"/>
      <c r="X24" s="1490"/>
      <c r="Y24" s="3483"/>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90"/>
      <c r="Q25" s="1487" t="str">
        <f t="shared" ref="Q25:Q46" si="11">B25</f>
        <v>临街状况</v>
      </c>
      <c r="R25" s="714" t="s">
        <v>17</v>
      </c>
      <c r="S25" s="715">
        <f>F25</f>
        <v>100</v>
      </c>
      <c r="T25" s="714" t="s">
        <v>17</v>
      </c>
      <c r="U25" s="715">
        <f>H25</f>
        <v>100</v>
      </c>
      <c r="V25" s="714" t="s">
        <v>17</v>
      </c>
      <c r="W25" s="715">
        <f>J25</f>
        <v>100</v>
      </c>
      <c r="X25" s="1490"/>
      <c r="Y25" s="3483"/>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90"/>
      <c r="Q26" s="1487" t="str">
        <f t="shared" si="11"/>
        <v>平面位置/可视性</v>
      </c>
      <c r="R26" s="714" t="s">
        <v>17</v>
      </c>
      <c r="S26" s="715">
        <f>F26</f>
        <v>100</v>
      </c>
      <c r="T26" s="714" t="s">
        <v>17</v>
      </c>
      <c r="U26" s="715">
        <f>H26</f>
        <v>100</v>
      </c>
      <c r="V26" s="714" t="s">
        <v>17</v>
      </c>
      <c r="W26" s="715">
        <f>J26</f>
        <v>100</v>
      </c>
      <c r="X26" s="1490"/>
      <c r="Y26" s="3483"/>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490"/>
      <c r="Q27" s="1478" t="str">
        <f t="shared" si="11"/>
        <v>人流量</v>
      </c>
      <c r="R27" s="710" t="s">
        <v>17</v>
      </c>
      <c r="S27" s="711">
        <f>F27</f>
        <v>100</v>
      </c>
      <c r="T27" s="710" t="s">
        <v>17</v>
      </c>
      <c r="U27" s="711">
        <f>H27</f>
        <v>100</v>
      </c>
      <c r="V27" s="710" t="s">
        <v>17</v>
      </c>
      <c r="W27" s="711">
        <f>J27</f>
        <v>100</v>
      </c>
      <c r="X27" s="712"/>
      <c r="Y27" s="3483"/>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9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90"/>
      <c r="Q29" s="1487">
        <f t="shared" si="11"/>
        <v>111</v>
      </c>
      <c r="R29" s="714" t="s">
        <v>17</v>
      </c>
      <c r="S29" s="715">
        <f t="shared" si="12"/>
        <v>100</v>
      </c>
      <c r="T29" s="714" t="s">
        <v>17</v>
      </c>
      <c r="U29" s="715">
        <f t="shared" si="13"/>
        <v>100</v>
      </c>
      <c r="V29" s="714" t="s">
        <v>17</v>
      </c>
      <c r="W29" s="715">
        <f t="shared" si="14"/>
        <v>100</v>
      </c>
      <c r="X29" s="1490"/>
      <c r="Y29" s="348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90"/>
      <c r="Q30" s="1487">
        <f t="shared" si="11"/>
        <v>111</v>
      </c>
      <c r="R30" s="714" t="s">
        <v>17</v>
      </c>
      <c r="S30" s="715">
        <f t="shared" si="12"/>
        <v>100</v>
      </c>
      <c r="T30" s="714" t="s">
        <v>17</v>
      </c>
      <c r="U30" s="715">
        <f t="shared" si="13"/>
        <v>100</v>
      </c>
      <c r="V30" s="714" t="s">
        <v>17</v>
      </c>
      <c r="W30" s="715">
        <f t="shared" si="14"/>
        <v>100</v>
      </c>
      <c r="X30" s="1490"/>
      <c r="Y30" s="348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90"/>
      <c r="Q31" s="1487">
        <f t="shared" si="11"/>
        <v>111</v>
      </c>
      <c r="R31" s="714" t="s">
        <v>17</v>
      </c>
      <c r="S31" s="715">
        <f t="shared" si="12"/>
        <v>100</v>
      </c>
      <c r="T31" s="714" t="s">
        <v>17</v>
      </c>
      <c r="U31" s="715">
        <f t="shared" si="13"/>
        <v>100</v>
      </c>
      <c r="V31" s="714" t="s">
        <v>17</v>
      </c>
      <c r="W31" s="715">
        <f t="shared" si="14"/>
        <v>100</v>
      </c>
      <c r="X31" s="1490"/>
      <c r="Y31" s="3483"/>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84" t="s">
        <v>2144</v>
      </c>
      <c r="Q32" s="1487" t="str">
        <f t="shared" si="11"/>
        <v>商业类型</v>
      </c>
      <c r="R32" s="714" t="s">
        <v>17</v>
      </c>
      <c r="S32" s="715">
        <f t="shared" si="12"/>
        <v>100</v>
      </c>
      <c r="T32" s="714" t="s">
        <v>17</v>
      </c>
      <c r="U32" s="715">
        <f t="shared" si="13"/>
        <v>100</v>
      </c>
      <c r="V32" s="714" t="s">
        <v>17</v>
      </c>
      <c r="W32" s="715">
        <f t="shared" si="14"/>
        <v>100</v>
      </c>
      <c r="X32" s="1490"/>
      <c r="Y32" s="3487"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85"/>
      <c r="Q33" s="716" t="str">
        <f t="shared" si="11"/>
        <v>项目建筑规模</v>
      </c>
      <c r="R33" s="717" t="s">
        <v>17</v>
      </c>
      <c r="S33" s="718" t="e">
        <f t="shared" si="12"/>
        <v>#N/A</v>
      </c>
      <c r="T33" s="717" t="s">
        <v>17</v>
      </c>
      <c r="U33" s="718" t="e">
        <f t="shared" si="13"/>
        <v>#N/A</v>
      </c>
      <c r="V33" s="717" t="s">
        <v>17</v>
      </c>
      <c r="W33" s="718" t="e">
        <f t="shared" si="14"/>
        <v>#N/A</v>
      </c>
      <c r="X33" s="719"/>
      <c r="Y33" s="3487"/>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85"/>
      <c r="Q34" s="1487" t="str">
        <f t="shared" si="11"/>
        <v>建筑结构</v>
      </c>
      <c r="R34" s="714" t="s">
        <v>17</v>
      </c>
      <c r="S34" s="715">
        <f t="shared" si="12"/>
        <v>100</v>
      </c>
      <c r="T34" s="714" t="s">
        <v>17</v>
      </c>
      <c r="U34" s="715">
        <f t="shared" si="13"/>
        <v>100</v>
      </c>
      <c r="V34" s="714" t="s">
        <v>17</v>
      </c>
      <c r="W34" s="715">
        <f t="shared" si="14"/>
        <v>100</v>
      </c>
      <c r="X34" s="1490"/>
      <c r="Y34" s="3487"/>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85"/>
      <c r="Q35" s="1487" t="str">
        <f t="shared" si="11"/>
        <v>公共部分装修</v>
      </c>
      <c r="R35" s="714" t="s">
        <v>17</v>
      </c>
      <c r="S35" s="715">
        <f t="shared" si="12"/>
        <v>100</v>
      </c>
      <c r="T35" s="714" t="s">
        <v>17</v>
      </c>
      <c r="U35" s="715">
        <f t="shared" si="13"/>
        <v>100</v>
      </c>
      <c r="V35" s="714" t="s">
        <v>17</v>
      </c>
      <c r="W35" s="715">
        <f t="shared" si="14"/>
        <v>100</v>
      </c>
      <c r="X35" s="1490"/>
      <c r="Y35" s="3487"/>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85"/>
      <c r="Q36" s="1487" t="str">
        <f t="shared" si="11"/>
        <v>成新度</v>
      </c>
      <c r="R36" s="714" t="s">
        <v>17</v>
      </c>
      <c r="S36" s="715" t="e">
        <f t="shared" si="12"/>
        <v>#N/A</v>
      </c>
      <c r="T36" s="714" t="s">
        <v>17</v>
      </c>
      <c r="U36" s="715" t="e">
        <f t="shared" si="13"/>
        <v>#N/A</v>
      </c>
      <c r="V36" s="714" t="s">
        <v>17</v>
      </c>
      <c r="W36" s="715" t="e">
        <f t="shared" si="14"/>
        <v>#N/A</v>
      </c>
      <c r="X36" s="1490"/>
      <c r="Y36" s="3487"/>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85"/>
      <c r="Q37" s="1478" t="str">
        <f t="shared" si="11"/>
        <v>市政基础设施</v>
      </c>
      <c r="R37" s="710" t="s">
        <v>17</v>
      </c>
      <c r="S37" s="711">
        <f t="shared" si="12"/>
        <v>100</v>
      </c>
      <c r="T37" s="710" t="s">
        <v>17</v>
      </c>
      <c r="U37" s="711">
        <f t="shared" si="13"/>
        <v>100</v>
      </c>
      <c r="V37" s="710" t="s">
        <v>17</v>
      </c>
      <c r="W37" s="711">
        <f t="shared" si="14"/>
        <v>100</v>
      </c>
      <c r="X37" s="712"/>
      <c r="Y37" s="3487"/>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85" t="s">
        <v>2144</v>
      </c>
      <c r="Q38" s="1487" t="str">
        <f t="shared" si="11"/>
        <v>业态</v>
      </c>
      <c r="R38" s="714" t="s">
        <v>17</v>
      </c>
      <c r="S38" s="715">
        <f t="shared" si="12"/>
        <v>100</v>
      </c>
      <c r="T38" s="714" t="s">
        <v>17</v>
      </c>
      <c r="U38" s="715">
        <f t="shared" si="13"/>
        <v>100</v>
      </c>
      <c r="V38" s="714" t="s">
        <v>17</v>
      </c>
      <c r="W38" s="715">
        <f t="shared" si="14"/>
        <v>100</v>
      </c>
      <c r="X38" s="1490"/>
      <c r="Y38" s="3487"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85"/>
      <c r="Q39" s="1487" t="str">
        <f t="shared" si="11"/>
        <v>层高</v>
      </c>
      <c r="R39" s="714" t="s">
        <v>17</v>
      </c>
      <c r="S39" s="715">
        <f t="shared" si="12"/>
        <v>100</v>
      </c>
      <c r="T39" s="714" t="s">
        <v>17</v>
      </c>
      <c r="U39" s="715">
        <f t="shared" si="13"/>
        <v>100</v>
      </c>
      <c r="V39" s="714" t="s">
        <v>17</v>
      </c>
      <c r="W39" s="715">
        <f t="shared" si="14"/>
        <v>100</v>
      </c>
      <c r="X39" s="1490"/>
      <c r="Y39" s="3487"/>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85"/>
      <c r="Q40" s="1487" t="str">
        <f t="shared" si="11"/>
        <v>单套建筑面积</v>
      </c>
      <c r="R40" s="714" t="s">
        <v>17</v>
      </c>
      <c r="S40" s="715">
        <f t="shared" si="12"/>
        <v>100</v>
      </c>
      <c r="T40" s="714" t="s">
        <v>17</v>
      </c>
      <c r="U40" s="715">
        <f t="shared" si="13"/>
        <v>100</v>
      </c>
      <c r="V40" s="714" t="s">
        <v>17</v>
      </c>
      <c r="W40" s="715">
        <f t="shared" si="14"/>
        <v>100</v>
      </c>
      <c r="X40" s="1490"/>
      <c r="Y40" s="3487"/>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85"/>
      <c r="Q41" s="716" t="str">
        <f t="shared" si="11"/>
        <v>进深比</v>
      </c>
      <c r="R41" s="717" t="s">
        <v>17</v>
      </c>
      <c r="S41" s="718">
        <f t="shared" si="12"/>
        <v>100</v>
      </c>
      <c r="T41" s="717" t="s">
        <v>17</v>
      </c>
      <c r="U41" s="718">
        <f t="shared" si="13"/>
        <v>100</v>
      </c>
      <c r="V41" s="717" t="s">
        <v>17</v>
      </c>
      <c r="W41" s="718">
        <f t="shared" si="14"/>
        <v>100</v>
      </c>
      <c r="X41" s="719"/>
      <c r="Y41" s="3487"/>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85"/>
      <c r="Q42" s="1487" t="str">
        <f t="shared" si="11"/>
        <v>内部装修</v>
      </c>
      <c r="R42" s="714" t="s">
        <v>17</v>
      </c>
      <c r="S42" s="715">
        <f t="shared" si="12"/>
        <v>100</v>
      </c>
      <c r="T42" s="714" t="s">
        <v>17</v>
      </c>
      <c r="U42" s="715">
        <f t="shared" si="13"/>
        <v>100</v>
      </c>
      <c r="V42" s="714" t="s">
        <v>17</v>
      </c>
      <c r="W42" s="715">
        <f t="shared" si="14"/>
        <v>100</v>
      </c>
      <c r="X42" s="1490"/>
      <c r="Y42" s="3487"/>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85"/>
      <c r="Q43" s="1487" t="str">
        <f t="shared" si="11"/>
        <v>内部装修维护情况</v>
      </c>
      <c r="R43" s="714" t="s">
        <v>17</v>
      </c>
      <c r="S43" s="715">
        <f t="shared" si="12"/>
        <v>100</v>
      </c>
      <c r="T43" s="714" t="s">
        <v>17</v>
      </c>
      <c r="U43" s="715">
        <f t="shared" si="13"/>
        <v>100</v>
      </c>
      <c r="V43" s="714" t="s">
        <v>17</v>
      </c>
      <c r="W43" s="715">
        <f t="shared" si="14"/>
        <v>100</v>
      </c>
      <c r="X43" s="1490"/>
      <c r="Y43" s="348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85"/>
      <c r="Q44" s="1478">
        <f t="shared" si="11"/>
        <v>111</v>
      </c>
      <c r="R44" s="710" t="s">
        <v>17</v>
      </c>
      <c r="S44" s="711">
        <f t="shared" si="12"/>
        <v>100</v>
      </c>
      <c r="T44" s="710" t="s">
        <v>17</v>
      </c>
      <c r="U44" s="711">
        <f t="shared" si="13"/>
        <v>100</v>
      </c>
      <c r="V44" s="710" t="s">
        <v>17</v>
      </c>
      <c r="W44" s="711">
        <f t="shared" si="14"/>
        <v>100</v>
      </c>
      <c r="X44" s="712"/>
      <c r="Y44" s="348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85"/>
      <c r="Q45" s="1487">
        <f t="shared" si="11"/>
        <v>111</v>
      </c>
      <c r="R45" s="714" t="s">
        <v>17</v>
      </c>
      <c r="S45" s="715">
        <f t="shared" si="12"/>
        <v>100</v>
      </c>
      <c r="T45" s="714" t="s">
        <v>17</v>
      </c>
      <c r="U45" s="715">
        <f t="shared" si="13"/>
        <v>100</v>
      </c>
      <c r="V45" s="714" t="s">
        <v>17</v>
      </c>
      <c r="W45" s="715">
        <f t="shared" si="14"/>
        <v>100</v>
      </c>
      <c r="X45" s="1490"/>
      <c r="Y45" s="348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86"/>
      <c r="Q46" s="1487">
        <f t="shared" si="11"/>
        <v>111</v>
      </c>
      <c r="R46" s="714" t="s">
        <v>17</v>
      </c>
      <c r="S46" s="715">
        <f t="shared" si="12"/>
        <v>100</v>
      </c>
      <c r="T46" s="714" t="s">
        <v>17</v>
      </c>
      <c r="U46" s="715">
        <f t="shared" si="13"/>
        <v>100</v>
      </c>
      <c r="V46" s="714" t="s">
        <v>17</v>
      </c>
      <c r="W46" s="715">
        <f t="shared" si="14"/>
        <v>100</v>
      </c>
      <c r="X46" s="1490"/>
      <c r="Y46" s="3488"/>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9"/>
      <c r="M47" s="2900"/>
      <c r="N47" s="2891"/>
      <c r="O47" s="2900"/>
      <c r="P47" s="3480" t="str">
        <f>A47</f>
        <v>成交单价（元/平方米）</v>
      </c>
      <c r="Q47" s="3480"/>
      <c r="R47" s="3475">
        <f>E47</f>
        <v>0</v>
      </c>
      <c r="S47" s="3475"/>
      <c r="T47" s="3475">
        <f>G47</f>
        <v>0</v>
      </c>
      <c r="U47" s="3475"/>
      <c r="V47" s="3475">
        <f>I47</f>
        <v>0</v>
      </c>
      <c r="W47" s="3475"/>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9"/>
      <c r="M49" s="2900"/>
      <c r="N49" s="2891"/>
      <c r="O49" s="2900"/>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5"/>
      <c r="Q58" s="2916"/>
      <c r="R58" s="2916"/>
      <c r="S58" s="2916"/>
      <c r="T58" s="2916"/>
      <c r="U58" s="2916"/>
      <c r="V58" s="2916"/>
      <c r="W58" s="2916"/>
      <c r="X58" s="2916"/>
      <c r="Y58" s="2916"/>
      <c r="Z58" s="2916"/>
      <c r="AA58" s="2916"/>
      <c r="AB58" s="2916"/>
      <c r="AC58" s="2916"/>
    </row>
    <row r="59" spans="1:29" s="113" customFormat="1" ht="15">
      <c r="A59" s="466"/>
      <c r="B59" s="467"/>
      <c r="C59" s="1298">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2164</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2129</v>
      </c>
      <c r="B61" s="467"/>
      <c r="C61" s="479" t="s">
        <v>2231</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2259</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4"/>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ht="15">
      <c r="A4" s="361" t="s">
        <v>2224</v>
      </c>
      <c r="B4" s="362"/>
      <c r="C4" s="3463" t="s">
        <v>2225</v>
      </c>
      <c r="D4" s="3464"/>
      <c r="E4" s="3465" t="s">
        <v>2226</v>
      </c>
      <c r="F4" s="3466"/>
      <c r="G4" s="3463" t="s">
        <v>2227</v>
      </c>
      <c r="H4" s="3464"/>
      <c r="I4" s="3463" t="s">
        <v>2228</v>
      </c>
      <c r="J4" s="3464"/>
      <c r="K4" s="567" t="s">
        <v>2229</v>
      </c>
      <c r="L4" s="2890"/>
      <c r="M4" s="2891"/>
      <c r="N4" s="2891"/>
      <c r="O4" s="2891"/>
      <c r="P4" s="3497" t="s">
        <v>2230</v>
      </c>
      <c r="Q4" s="3498"/>
      <c r="R4" s="3492" t="s">
        <v>2226</v>
      </c>
      <c r="S4" s="3493"/>
      <c r="T4" s="3492" t="s">
        <v>2227</v>
      </c>
      <c r="U4" s="3493"/>
      <c r="V4" s="3501" t="s">
        <v>2228</v>
      </c>
      <c r="W4" s="3501"/>
      <c r="X4" s="2095"/>
      <c r="Y4" s="3492" t="s">
        <v>2230</v>
      </c>
      <c r="Z4" s="3493"/>
      <c r="AA4" s="3491" t="s">
        <v>2226</v>
      </c>
      <c r="AB4" s="3491" t="s">
        <v>2227</v>
      </c>
      <c r="AC4" s="3494" t="s">
        <v>2228</v>
      </c>
    </row>
    <row r="5" spans="1:29" ht="15">
      <c r="A5" s="364"/>
      <c r="B5" s="365"/>
      <c r="C5" s="3456" t="s">
        <v>2121</v>
      </c>
      <c r="D5" s="3457"/>
      <c r="E5" s="3454" t="s">
        <v>2122</v>
      </c>
      <c r="F5" s="3455"/>
      <c r="G5" s="3456" t="s">
        <v>2123</v>
      </c>
      <c r="H5" s="3457"/>
      <c r="I5" s="3456" t="s">
        <v>2124</v>
      </c>
      <c r="J5" s="3457"/>
      <c r="K5" s="567"/>
      <c r="L5" s="2890"/>
      <c r="M5" s="2891"/>
      <c r="N5" s="2891"/>
      <c r="O5" s="2891"/>
      <c r="P5" s="3499"/>
      <c r="Q5" s="3470"/>
      <c r="R5" s="3452"/>
      <c r="S5" s="3453"/>
      <c r="T5" s="3452"/>
      <c r="U5" s="3453"/>
      <c r="V5" s="3475"/>
      <c r="W5" s="3475"/>
      <c r="X5" s="1490"/>
      <c r="Y5" s="3452"/>
      <c r="Z5" s="3453"/>
      <c r="AA5" s="3446"/>
      <c r="AB5" s="3446"/>
      <c r="AC5" s="3495"/>
    </row>
    <row r="6" spans="1:29" ht="15.75" thickBot="1">
      <c r="A6" s="366"/>
      <c r="B6" s="367"/>
      <c r="C6" s="3458" t="s">
        <v>2125</v>
      </c>
      <c r="D6" s="3459"/>
      <c r="E6" s="3460" t="s">
        <v>2125</v>
      </c>
      <c r="F6" s="3461"/>
      <c r="G6" s="3458" t="s">
        <v>2125</v>
      </c>
      <c r="H6" s="3459"/>
      <c r="I6" s="3458" t="s">
        <v>2125</v>
      </c>
      <c r="J6" s="3459"/>
      <c r="K6" s="567" t="s">
        <v>2126</v>
      </c>
      <c r="L6" s="2890"/>
      <c r="M6" s="2891"/>
      <c r="N6" s="2891"/>
      <c r="O6" s="2891"/>
      <c r="P6" s="3500"/>
      <c r="Q6" s="3472"/>
      <c r="R6" s="3452"/>
      <c r="S6" s="3453"/>
      <c r="T6" s="3473"/>
      <c r="U6" s="3474"/>
      <c r="V6" s="3475"/>
      <c r="W6" s="3475"/>
      <c r="X6" s="1490"/>
      <c r="Y6" s="3473"/>
      <c r="Z6" s="3474"/>
      <c r="AA6" s="3447"/>
      <c r="AB6" s="3447"/>
      <c r="AC6" s="3496"/>
    </row>
    <row r="7" spans="1:29" s="113" customFormat="1" ht="15.75" thickBot="1">
      <c r="A7" s="368" t="s">
        <v>2127</v>
      </c>
      <c r="B7" s="369"/>
      <c r="C7" s="370">
        <f>'数据-取费表'!B2</f>
        <v>44700</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02" t="s">
        <v>2128</v>
      </c>
      <c r="Q7" s="3476"/>
      <c r="R7" s="710" t="s">
        <v>17</v>
      </c>
      <c r="S7" s="711">
        <f t="shared" ref="S7:S15" si="0">F7</f>
        <v>0</v>
      </c>
      <c r="T7" s="710" t="s">
        <v>17</v>
      </c>
      <c r="U7" s="711">
        <f t="shared" ref="U7:U15" si="1">H7</f>
        <v>0</v>
      </c>
      <c r="V7" s="710" t="s">
        <v>17</v>
      </c>
      <c r="W7" s="711">
        <f t="shared" ref="W7:W15" si="2">J7</f>
        <v>0</v>
      </c>
      <c r="X7" s="712"/>
      <c r="Y7" s="3448" t="s">
        <v>2128</v>
      </c>
      <c r="Z7" s="3449"/>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02" t="s">
        <v>2131</v>
      </c>
      <c r="Q8" s="3449"/>
      <c r="R8" s="710" t="s">
        <v>17</v>
      </c>
      <c r="S8" s="711">
        <f t="shared" si="0"/>
        <v>0</v>
      </c>
      <c r="T8" s="710" t="s">
        <v>17</v>
      </c>
      <c r="U8" s="711">
        <f t="shared" si="1"/>
        <v>0</v>
      </c>
      <c r="V8" s="710" t="s">
        <v>17</v>
      </c>
      <c r="W8" s="711">
        <f t="shared" si="2"/>
        <v>0</v>
      </c>
      <c r="X8" s="712"/>
      <c r="Y8" s="3448" t="s">
        <v>2131</v>
      </c>
      <c r="Z8" s="3449"/>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2"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2"/>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2"/>
      <c r="Q11" s="1478"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62"/>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62"/>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62"/>
      <c r="Q14" s="1478">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89" t="s">
        <v>2139</v>
      </c>
      <c r="Q15" s="1487" t="str">
        <f t="shared" si="6"/>
        <v>办公集聚程度</v>
      </c>
      <c r="R15" s="714" t="s">
        <v>17</v>
      </c>
      <c r="S15" s="715">
        <f t="shared" si="0"/>
        <v>100</v>
      </c>
      <c r="T15" s="714" t="s">
        <v>17</v>
      </c>
      <c r="U15" s="715">
        <f t="shared" si="1"/>
        <v>100</v>
      </c>
      <c r="V15" s="714" t="s">
        <v>17</v>
      </c>
      <c r="W15" s="715">
        <f t="shared" si="2"/>
        <v>100</v>
      </c>
      <c r="X15" s="1490"/>
      <c r="Y15" s="3482"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7"/>
      <c r="M16" s="2891"/>
      <c r="N16" s="2891"/>
      <c r="O16" s="2891"/>
      <c r="P16" s="3490"/>
      <c r="Q16" s="1487"/>
      <c r="R16" s="714"/>
      <c r="S16" s="715"/>
      <c r="T16" s="714"/>
      <c r="U16" s="715"/>
      <c r="V16" s="714"/>
      <c r="W16" s="715"/>
      <c r="X16" s="1490"/>
      <c r="Y16" s="3483"/>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90"/>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7"/>
      <c r="M18" s="2891"/>
      <c r="N18" s="2891"/>
      <c r="O18" s="2891"/>
      <c r="P18" s="3490"/>
      <c r="Q18" s="1487"/>
      <c r="R18" s="714"/>
      <c r="S18" s="715"/>
      <c r="T18" s="714"/>
      <c r="U18" s="715"/>
      <c r="V18" s="714"/>
      <c r="W18" s="715"/>
      <c r="X18" s="1490"/>
      <c r="Y18" s="3483"/>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90"/>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7"/>
      <c r="M20" s="2891"/>
      <c r="N20" s="2891"/>
      <c r="O20" s="2891"/>
      <c r="P20" s="3490"/>
      <c r="Q20" s="1487"/>
      <c r="R20" s="714"/>
      <c r="S20" s="715"/>
      <c r="T20" s="714"/>
      <c r="U20" s="715"/>
      <c r="V20" s="714"/>
      <c r="W20" s="715"/>
      <c r="X20" s="1490"/>
      <c r="Y20" s="3483"/>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90"/>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7"/>
      <c r="M22" s="2891"/>
      <c r="N22" s="2891"/>
      <c r="O22" s="2891"/>
      <c r="P22" s="3490"/>
      <c r="Q22" s="1487"/>
      <c r="R22" s="714"/>
      <c r="S22" s="715"/>
      <c r="T22" s="714"/>
      <c r="U22" s="715"/>
      <c r="V22" s="714"/>
      <c r="W22" s="715"/>
      <c r="X22" s="1490"/>
      <c r="Y22" s="3483"/>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90"/>
      <c r="Q23" s="1487" t="str">
        <f>B23</f>
        <v>环境质量</v>
      </c>
      <c r="R23" s="714" t="s">
        <v>17</v>
      </c>
      <c r="S23" s="715">
        <f>F23</f>
        <v>100</v>
      </c>
      <c r="T23" s="714" t="s">
        <v>17</v>
      </c>
      <c r="U23" s="715">
        <f>H23</f>
        <v>100</v>
      </c>
      <c r="V23" s="714" t="s">
        <v>17</v>
      </c>
      <c r="W23" s="715">
        <f>J23</f>
        <v>100</v>
      </c>
      <c r="X23" s="1490"/>
      <c r="Y23" s="348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7"/>
      <c r="M24" s="2891"/>
      <c r="N24" s="2891"/>
      <c r="O24" s="2891"/>
      <c r="P24" s="3490"/>
      <c r="Q24" s="1487"/>
      <c r="R24" s="714"/>
      <c r="S24" s="715"/>
      <c r="T24" s="714"/>
      <c r="U24" s="715"/>
      <c r="V24" s="714"/>
      <c r="W24" s="715"/>
      <c r="X24" s="1490"/>
      <c r="Y24" s="3483"/>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490"/>
      <c r="Q25" s="1487" t="str">
        <f>B25</f>
        <v>毗邻道路的类型与等级</v>
      </c>
      <c r="R25" s="714" t="s">
        <v>17</v>
      </c>
      <c r="S25" s="715">
        <f>F25</f>
        <v>100</v>
      </c>
      <c r="T25" s="714" t="s">
        <v>17</v>
      </c>
      <c r="U25" s="715">
        <f>H25</f>
        <v>100</v>
      </c>
      <c r="V25" s="714" t="s">
        <v>17</v>
      </c>
      <c r="W25" s="715">
        <f>J25</f>
        <v>100</v>
      </c>
      <c r="X25" s="1490"/>
      <c r="Y25" s="348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7"/>
      <c r="M26" s="2891"/>
      <c r="N26" s="2891"/>
      <c r="O26" s="2891"/>
      <c r="P26" s="3490"/>
      <c r="Q26" s="1487"/>
      <c r="R26" s="714"/>
      <c r="S26" s="715"/>
      <c r="T26" s="714"/>
      <c r="U26" s="715"/>
      <c r="V26" s="714"/>
      <c r="W26" s="715"/>
      <c r="X26" s="1490"/>
      <c r="Y26" s="3483"/>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90"/>
      <c r="Q27" s="1487" t="str">
        <f t="shared" ref="Q27:Q47" si="11">B27</f>
        <v>楼层</v>
      </c>
      <c r="R27" s="714" t="s">
        <v>17</v>
      </c>
      <c r="S27" s="715">
        <f>F27</f>
        <v>100</v>
      </c>
      <c r="T27" s="714" t="s">
        <v>17</v>
      </c>
      <c r="U27" s="715">
        <f>H27</f>
        <v>100</v>
      </c>
      <c r="V27" s="714" t="s">
        <v>17</v>
      </c>
      <c r="W27" s="715">
        <f>J27</f>
        <v>100</v>
      </c>
      <c r="X27" s="1490"/>
      <c r="Y27" s="3483"/>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490"/>
      <c r="Q28" s="1478" t="str">
        <f t="shared" si="11"/>
        <v>朝向</v>
      </c>
      <c r="R28" s="710" t="s">
        <v>17</v>
      </c>
      <c r="S28" s="711">
        <f>F28</f>
        <v>100</v>
      </c>
      <c r="T28" s="710" t="s">
        <v>17</v>
      </c>
      <c r="U28" s="711">
        <f>H28</f>
        <v>100</v>
      </c>
      <c r="V28" s="710" t="s">
        <v>17</v>
      </c>
      <c r="W28" s="711">
        <f>J28</f>
        <v>100</v>
      </c>
      <c r="X28" s="712"/>
      <c r="Y28" s="348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490"/>
      <c r="Q29" s="1487">
        <f t="shared" si="11"/>
        <v>111</v>
      </c>
      <c r="R29" s="714" t="s">
        <v>17</v>
      </c>
      <c r="S29" s="715">
        <f t="shared" ref="S29:S47" si="12">F29</f>
        <v>100</v>
      </c>
      <c r="T29" s="714" t="s">
        <v>17</v>
      </c>
      <c r="U29" s="715">
        <f t="shared" ref="U29:U47" si="13">H29</f>
        <v>100</v>
      </c>
      <c r="V29" s="714" t="s">
        <v>17</v>
      </c>
      <c r="W29" s="715">
        <f t="shared" ref="W29:W47" si="14">J29</f>
        <v>100</v>
      </c>
      <c r="X29" s="1490"/>
      <c r="Y29" s="348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490"/>
      <c r="Q30" s="1487">
        <f t="shared" si="11"/>
        <v>111</v>
      </c>
      <c r="R30" s="714" t="s">
        <v>17</v>
      </c>
      <c r="S30" s="715">
        <f t="shared" si="12"/>
        <v>100</v>
      </c>
      <c r="T30" s="714" t="s">
        <v>17</v>
      </c>
      <c r="U30" s="715">
        <f t="shared" si="13"/>
        <v>100</v>
      </c>
      <c r="V30" s="714" t="s">
        <v>17</v>
      </c>
      <c r="W30" s="715">
        <f t="shared" si="14"/>
        <v>100</v>
      </c>
      <c r="X30" s="1490"/>
      <c r="Y30" s="348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490"/>
      <c r="Q31" s="1487">
        <f t="shared" si="11"/>
        <v>111</v>
      </c>
      <c r="R31" s="714" t="s">
        <v>17</v>
      </c>
      <c r="S31" s="715">
        <f t="shared" si="12"/>
        <v>100</v>
      </c>
      <c r="T31" s="714" t="s">
        <v>17</v>
      </c>
      <c r="U31" s="715">
        <f t="shared" si="13"/>
        <v>100</v>
      </c>
      <c r="V31" s="714" t="s">
        <v>17</v>
      </c>
      <c r="W31" s="715">
        <f t="shared" si="14"/>
        <v>100</v>
      </c>
      <c r="X31" s="1490"/>
      <c r="Y31" s="348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490"/>
      <c r="Q32" s="1487">
        <f t="shared" si="11"/>
        <v>111</v>
      </c>
      <c r="R32" s="714" t="s">
        <v>17</v>
      </c>
      <c r="S32" s="715">
        <f t="shared" si="12"/>
        <v>100</v>
      </c>
      <c r="T32" s="714" t="s">
        <v>17</v>
      </c>
      <c r="U32" s="715">
        <f t="shared" si="13"/>
        <v>100</v>
      </c>
      <c r="V32" s="714" t="s">
        <v>17</v>
      </c>
      <c r="W32" s="715">
        <f t="shared" si="14"/>
        <v>100</v>
      </c>
      <c r="X32" s="1490"/>
      <c r="Y32" s="3483"/>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84" t="s">
        <v>2144</v>
      </c>
      <c r="Q33" s="1487" t="str">
        <f t="shared" si="11"/>
        <v>建筑类型</v>
      </c>
      <c r="R33" s="714" t="s">
        <v>17</v>
      </c>
      <c r="S33" s="715">
        <f t="shared" si="12"/>
        <v>100</v>
      </c>
      <c r="T33" s="714" t="s">
        <v>17</v>
      </c>
      <c r="U33" s="715">
        <f t="shared" si="13"/>
        <v>100</v>
      </c>
      <c r="V33" s="714" t="s">
        <v>17</v>
      </c>
      <c r="W33" s="715">
        <f t="shared" si="14"/>
        <v>100</v>
      </c>
      <c r="X33" s="1490"/>
      <c r="Y33" s="3487"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85"/>
      <c r="Q34" s="716" t="str">
        <f t="shared" si="11"/>
        <v>项目建筑规模</v>
      </c>
      <c r="R34" s="717" t="s">
        <v>17</v>
      </c>
      <c r="S34" s="718" t="e">
        <f t="shared" si="12"/>
        <v>#N/A</v>
      </c>
      <c r="T34" s="717" t="s">
        <v>17</v>
      </c>
      <c r="U34" s="718" t="e">
        <f t="shared" si="13"/>
        <v>#N/A</v>
      </c>
      <c r="V34" s="717" t="s">
        <v>17</v>
      </c>
      <c r="W34" s="718" t="e">
        <f t="shared" si="14"/>
        <v>#N/A</v>
      </c>
      <c r="X34" s="719"/>
      <c r="Y34" s="3487"/>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85"/>
      <c r="Q35" s="1487" t="str">
        <f t="shared" si="11"/>
        <v>建筑结构</v>
      </c>
      <c r="R35" s="714" t="s">
        <v>17</v>
      </c>
      <c r="S35" s="715">
        <f t="shared" si="12"/>
        <v>100</v>
      </c>
      <c r="T35" s="714" t="s">
        <v>17</v>
      </c>
      <c r="U35" s="715">
        <f t="shared" si="13"/>
        <v>100</v>
      </c>
      <c r="V35" s="714" t="s">
        <v>17</v>
      </c>
      <c r="W35" s="715">
        <f t="shared" si="14"/>
        <v>100</v>
      </c>
      <c r="X35" s="1490"/>
      <c r="Y35" s="3487"/>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85"/>
      <c r="Q36" s="1487" t="str">
        <f t="shared" si="11"/>
        <v>公共部分装修</v>
      </c>
      <c r="R36" s="714" t="s">
        <v>17</v>
      </c>
      <c r="S36" s="715">
        <f t="shared" si="12"/>
        <v>100</v>
      </c>
      <c r="T36" s="714" t="s">
        <v>17</v>
      </c>
      <c r="U36" s="715">
        <f t="shared" si="13"/>
        <v>100</v>
      </c>
      <c r="V36" s="714" t="s">
        <v>17</v>
      </c>
      <c r="W36" s="715">
        <f t="shared" si="14"/>
        <v>100</v>
      </c>
      <c r="X36" s="1490"/>
      <c r="Y36" s="3487"/>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85"/>
      <c r="Q37" s="1487" t="str">
        <f t="shared" si="11"/>
        <v>成新度</v>
      </c>
      <c r="R37" s="714" t="s">
        <v>17</v>
      </c>
      <c r="S37" s="715" t="e">
        <f t="shared" si="12"/>
        <v>#N/A</v>
      </c>
      <c r="T37" s="714" t="s">
        <v>17</v>
      </c>
      <c r="U37" s="715" t="e">
        <f t="shared" si="13"/>
        <v>#N/A</v>
      </c>
      <c r="V37" s="714" t="s">
        <v>17</v>
      </c>
      <c r="W37" s="715" t="e">
        <f t="shared" si="14"/>
        <v>#N/A</v>
      </c>
      <c r="X37" s="1490"/>
      <c r="Y37" s="3487"/>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85"/>
      <c r="Q38" s="1478" t="str">
        <f t="shared" si="11"/>
        <v>写字楼等级</v>
      </c>
      <c r="R38" s="710" t="s">
        <v>17</v>
      </c>
      <c r="S38" s="711">
        <f t="shared" si="12"/>
        <v>100</v>
      </c>
      <c r="T38" s="710" t="s">
        <v>17</v>
      </c>
      <c r="U38" s="711">
        <f t="shared" si="13"/>
        <v>100</v>
      </c>
      <c r="V38" s="710" t="s">
        <v>17</v>
      </c>
      <c r="W38" s="711">
        <f t="shared" si="14"/>
        <v>100</v>
      </c>
      <c r="X38" s="712"/>
      <c r="Y38" s="3487"/>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85" t="s">
        <v>2144</v>
      </c>
      <c r="Q39" s="1487" t="str">
        <f t="shared" si="11"/>
        <v>物业管理</v>
      </c>
      <c r="R39" s="714" t="s">
        <v>17</v>
      </c>
      <c r="S39" s="715">
        <f t="shared" si="12"/>
        <v>100</v>
      </c>
      <c r="T39" s="714" t="s">
        <v>17</v>
      </c>
      <c r="U39" s="715">
        <f t="shared" si="13"/>
        <v>100</v>
      </c>
      <c r="V39" s="714" t="s">
        <v>17</v>
      </c>
      <c r="W39" s="715">
        <f t="shared" si="14"/>
        <v>100</v>
      </c>
      <c r="X39" s="1490"/>
      <c r="Y39" s="3487"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85"/>
      <c r="Q40" s="1487" t="str">
        <f t="shared" si="11"/>
        <v>市政基础设施</v>
      </c>
      <c r="R40" s="714" t="s">
        <v>17</v>
      </c>
      <c r="S40" s="715">
        <f t="shared" si="12"/>
        <v>100</v>
      </c>
      <c r="T40" s="714" t="s">
        <v>17</v>
      </c>
      <c r="U40" s="715">
        <f t="shared" si="13"/>
        <v>100</v>
      </c>
      <c r="V40" s="714" t="s">
        <v>17</v>
      </c>
      <c r="W40" s="715">
        <f t="shared" si="14"/>
        <v>100</v>
      </c>
      <c r="X40" s="1490"/>
      <c r="Y40" s="3487"/>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85"/>
      <c r="Q41" s="1487" t="str">
        <f t="shared" si="11"/>
        <v>层高</v>
      </c>
      <c r="R41" s="714" t="s">
        <v>17</v>
      </c>
      <c r="S41" s="715">
        <f t="shared" si="12"/>
        <v>100</v>
      </c>
      <c r="T41" s="714" t="s">
        <v>17</v>
      </c>
      <c r="U41" s="715">
        <f t="shared" si="13"/>
        <v>100</v>
      </c>
      <c r="V41" s="714" t="s">
        <v>17</v>
      </c>
      <c r="W41" s="715">
        <f t="shared" si="14"/>
        <v>100</v>
      </c>
      <c r="X41" s="1490"/>
      <c r="Y41" s="3487"/>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85"/>
      <c r="Q42" s="716" t="str">
        <f t="shared" si="11"/>
        <v>单套建筑面积</v>
      </c>
      <c r="R42" s="717" t="s">
        <v>17</v>
      </c>
      <c r="S42" s="718">
        <f t="shared" si="12"/>
        <v>100</v>
      </c>
      <c r="T42" s="717" t="s">
        <v>17</v>
      </c>
      <c r="U42" s="718">
        <f t="shared" si="13"/>
        <v>100</v>
      </c>
      <c r="V42" s="717" t="s">
        <v>17</v>
      </c>
      <c r="W42" s="718">
        <f t="shared" si="14"/>
        <v>100</v>
      </c>
      <c r="X42" s="719"/>
      <c r="Y42" s="3487"/>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85"/>
      <c r="Q43" s="1487" t="str">
        <f t="shared" si="11"/>
        <v>内部装修</v>
      </c>
      <c r="R43" s="714" t="s">
        <v>17</v>
      </c>
      <c r="S43" s="715">
        <f t="shared" si="12"/>
        <v>100</v>
      </c>
      <c r="T43" s="714" t="s">
        <v>17</v>
      </c>
      <c r="U43" s="715">
        <f t="shared" si="13"/>
        <v>100</v>
      </c>
      <c r="V43" s="714" t="s">
        <v>17</v>
      </c>
      <c r="W43" s="715">
        <f t="shared" si="14"/>
        <v>100</v>
      </c>
      <c r="X43" s="1490"/>
      <c r="Y43" s="3487"/>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85"/>
      <c r="Q44" s="1487" t="str">
        <f t="shared" si="11"/>
        <v>内部装修维护情况</v>
      </c>
      <c r="R44" s="714" t="s">
        <v>17</v>
      </c>
      <c r="S44" s="715">
        <f t="shared" si="12"/>
        <v>100</v>
      </c>
      <c r="T44" s="714" t="s">
        <v>17</v>
      </c>
      <c r="U44" s="715">
        <f t="shared" si="13"/>
        <v>100</v>
      </c>
      <c r="V44" s="714" t="s">
        <v>17</v>
      </c>
      <c r="W44" s="715">
        <f t="shared" si="14"/>
        <v>100</v>
      </c>
      <c r="X44" s="1490"/>
      <c r="Y44" s="348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85"/>
      <c r="Q45" s="1478">
        <f t="shared" si="11"/>
        <v>111</v>
      </c>
      <c r="R45" s="710" t="s">
        <v>17</v>
      </c>
      <c r="S45" s="711">
        <f t="shared" si="12"/>
        <v>100</v>
      </c>
      <c r="T45" s="710" t="s">
        <v>17</v>
      </c>
      <c r="U45" s="711">
        <f t="shared" si="13"/>
        <v>100</v>
      </c>
      <c r="V45" s="710" t="s">
        <v>17</v>
      </c>
      <c r="W45" s="711">
        <f t="shared" si="14"/>
        <v>100</v>
      </c>
      <c r="X45" s="712"/>
      <c r="Y45" s="348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85"/>
      <c r="Q46" s="1487">
        <f t="shared" si="11"/>
        <v>111</v>
      </c>
      <c r="R46" s="714" t="s">
        <v>17</v>
      </c>
      <c r="S46" s="715">
        <f t="shared" si="12"/>
        <v>100</v>
      </c>
      <c r="T46" s="714" t="s">
        <v>17</v>
      </c>
      <c r="U46" s="715">
        <f t="shared" si="13"/>
        <v>100</v>
      </c>
      <c r="V46" s="714" t="s">
        <v>17</v>
      </c>
      <c r="W46" s="715">
        <f t="shared" si="14"/>
        <v>100</v>
      </c>
      <c r="X46" s="1490"/>
      <c r="Y46" s="348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86"/>
      <c r="Q47" s="1487">
        <f t="shared" si="11"/>
        <v>111</v>
      </c>
      <c r="R47" s="714" t="s">
        <v>17</v>
      </c>
      <c r="S47" s="715">
        <f t="shared" si="12"/>
        <v>100</v>
      </c>
      <c r="T47" s="714" t="s">
        <v>17</v>
      </c>
      <c r="U47" s="715">
        <f t="shared" si="13"/>
        <v>100</v>
      </c>
      <c r="V47" s="714" t="s">
        <v>17</v>
      </c>
      <c r="W47" s="715">
        <f t="shared" si="14"/>
        <v>100</v>
      </c>
      <c r="X47" s="1490"/>
      <c r="Y47" s="3488"/>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9"/>
      <c r="M48" s="2891"/>
      <c r="N48" s="2891"/>
      <c r="O48" s="2891"/>
      <c r="P48" s="3462" t="str">
        <f>A48</f>
        <v>成交单价（元/平方米）</v>
      </c>
      <c r="Q48" s="3480"/>
      <c r="R48" s="3481">
        <f>E48</f>
        <v>0</v>
      </c>
      <c r="S48" s="3481"/>
      <c r="T48" s="3481">
        <f>G48</f>
        <v>0</v>
      </c>
      <c r="U48" s="3481"/>
      <c r="V48" s="3481">
        <f>I48</f>
        <v>0</v>
      </c>
      <c r="W48" s="3481"/>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62" t="str">
        <f>A49</f>
        <v>比较价值（元/平方米）</v>
      </c>
      <c r="Q49" s="3480"/>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9"/>
      <c r="M50" s="2891"/>
      <c r="N50" s="2891"/>
      <c r="O50" s="2891"/>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4"/>
      <c r="Q59" s="2916"/>
      <c r="R59" s="2916"/>
      <c r="S59" s="2916"/>
      <c r="T59" s="2916"/>
      <c r="U59" s="2916"/>
      <c r="V59" s="2916"/>
      <c r="W59" s="2916"/>
      <c r="X59" s="2916"/>
      <c r="Y59" s="2916"/>
      <c r="Z59" s="2916"/>
      <c r="AA59" s="2916"/>
      <c r="AB59" s="2916"/>
      <c r="AC59" s="2916"/>
    </row>
    <row r="60" spans="1:29" s="113" customFormat="1" ht="15">
      <c r="A60" s="466"/>
      <c r="B60" s="467"/>
      <c r="C60" s="1298">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2164</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2129</v>
      </c>
      <c r="B62" s="467"/>
      <c r="C62" s="479" t="s">
        <v>2231</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2278</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4"/>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北京海淀科技金融资本控股集团股份有限公司：</v>
      </c>
    </row>
    <row r="4" spans="1:1" ht="18">
      <c r="A4" s="1616" t="str">
        <f>"受贵公司委托，我公司对"&amp;项目基本情况!S1&amp;"进行了预评估。"</f>
        <v>受贵公司委托，我公司对北京市海淀区开拓路5号房地产市场价值进行了预评估。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2022年5月19日（评估专业人员实地查勘之日）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27858.239999999998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63" t="s">
        <v>2225</v>
      </c>
      <c r="D4" s="3464"/>
      <c r="E4" s="3465" t="s">
        <v>2226</v>
      </c>
      <c r="F4" s="3466"/>
      <c r="G4" s="3463" t="s">
        <v>2227</v>
      </c>
      <c r="H4" s="3464"/>
      <c r="I4" s="3463" t="s">
        <v>2228</v>
      </c>
      <c r="J4" s="3464"/>
      <c r="K4" s="567" t="s">
        <v>2229</v>
      </c>
      <c r="L4" s="1025"/>
      <c r="M4" s="1026"/>
      <c r="N4" s="1026"/>
      <c r="O4" s="1026"/>
      <c r="P4" s="3467" t="s">
        <v>2230</v>
      </c>
      <c r="Q4" s="3468"/>
      <c r="R4" s="3450" t="s">
        <v>2226</v>
      </c>
      <c r="S4" s="3451"/>
      <c r="T4" s="3450" t="s">
        <v>2227</v>
      </c>
      <c r="U4" s="3451"/>
      <c r="V4" s="3475" t="s">
        <v>2228</v>
      </c>
      <c r="W4" s="3475"/>
      <c r="X4" s="1490"/>
      <c r="Y4" s="3450" t="s">
        <v>2230</v>
      </c>
      <c r="Z4" s="3451"/>
      <c r="AA4" s="3445" t="s">
        <v>2226</v>
      </c>
      <c r="AB4" s="3446" t="s">
        <v>2227</v>
      </c>
      <c r="AC4" s="3445" t="s">
        <v>2228</v>
      </c>
    </row>
    <row r="5" spans="1:29" ht="15">
      <c r="A5" s="364"/>
      <c r="B5" s="365"/>
      <c r="C5" s="3456" t="s">
        <v>2121</v>
      </c>
      <c r="D5" s="3457"/>
      <c r="E5" s="3454" t="s">
        <v>2122</v>
      </c>
      <c r="F5" s="3455"/>
      <c r="G5" s="3456" t="s">
        <v>2123</v>
      </c>
      <c r="H5" s="3457"/>
      <c r="I5" s="3456" t="s">
        <v>2124</v>
      </c>
      <c r="J5" s="3457"/>
      <c r="K5" s="567"/>
      <c r="L5" s="1025"/>
      <c r="M5" s="1026"/>
      <c r="N5" s="1026"/>
      <c r="O5" s="1026"/>
      <c r="P5" s="3469"/>
      <c r="Q5" s="3470"/>
      <c r="R5" s="3452"/>
      <c r="S5" s="3453"/>
      <c r="T5" s="3452"/>
      <c r="U5" s="3453"/>
      <c r="V5" s="3475"/>
      <c r="W5" s="3475"/>
      <c r="X5" s="1490"/>
      <c r="Y5" s="3452"/>
      <c r="Z5" s="3453"/>
      <c r="AA5" s="3446"/>
      <c r="AB5" s="3446"/>
      <c r="AC5" s="3446"/>
    </row>
    <row r="6" spans="1:29" ht="15.75" thickBot="1">
      <c r="A6" s="366"/>
      <c r="B6" s="367"/>
      <c r="C6" s="3458" t="s">
        <v>2125</v>
      </c>
      <c r="D6" s="3459"/>
      <c r="E6" s="3460" t="s">
        <v>2125</v>
      </c>
      <c r="F6" s="3461"/>
      <c r="G6" s="3458" t="s">
        <v>2125</v>
      </c>
      <c r="H6" s="3459"/>
      <c r="I6" s="3458" t="s">
        <v>2125</v>
      </c>
      <c r="J6" s="3459"/>
      <c r="K6" s="567" t="s">
        <v>2126</v>
      </c>
      <c r="L6" s="1025"/>
      <c r="M6" s="1026"/>
      <c r="N6" s="1026"/>
      <c r="O6" s="1026"/>
      <c r="P6" s="3471"/>
      <c r="Q6" s="3472"/>
      <c r="R6" s="3452"/>
      <c r="S6" s="3453"/>
      <c r="T6" s="3473"/>
      <c r="U6" s="3474"/>
      <c r="V6" s="3475"/>
      <c r="W6" s="3475"/>
      <c r="X6" s="1490"/>
      <c r="Y6" s="3473"/>
      <c r="Z6" s="3474"/>
      <c r="AA6" s="3447"/>
      <c r="AB6" s="3447"/>
      <c r="AC6" s="3447"/>
    </row>
    <row r="7" spans="1:29" s="113" customFormat="1" ht="15.75" thickBot="1">
      <c r="A7" s="368" t="s">
        <v>2127</v>
      </c>
      <c r="B7" s="369"/>
      <c r="C7" s="370">
        <f>'数据-取费表'!B2</f>
        <v>44700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48" t="s">
        <v>2128</v>
      </c>
      <c r="Q7" s="3476"/>
      <c r="R7" s="710" t="s">
        <v>17</v>
      </c>
      <c r="S7" s="711">
        <f t="shared" ref="S7:S15" si="0">F7</f>
        <v>0</v>
      </c>
      <c r="T7" s="710" t="s">
        <v>17</v>
      </c>
      <c r="U7" s="711">
        <f t="shared" ref="U7:U15" si="1">H7</f>
        <v>0</v>
      </c>
      <c r="V7" s="710" t="s">
        <v>17</v>
      </c>
      <c r="W7" s="711">
        <f t="shared" ref="W7:W15" si="2">J7</f>
        <v>0</v>
      </c>
      <c r="X7" s="712"/>
      <c r="Y7" s="3448" t="s">
        <v>2128</v>
      </c>
      <c r="Z7" s="3449"/>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48" t="s">
        <v>2131</v>
      </c>
      <c r="Q8" s="3449"/>
      <c r="R8" s="710" t="s">
        <v>17</v>
      </c>
      <c r="S8" s="711">
        <f t="shared" si="0"/>
        <v>0</v>
      </c>
      <c r="T8" s="710" t="s">
        <v>17</v>
      </c>
      <c r="U8" s="711">
        <f t="shared" si="1"/>
        <v>0</v>
      </c>
      <c r="V8" s="710" t="s">
        <v>17</v>
      </c>
      <c r="W8" s="711">
        <f t="shared" si="2"/>
        <v>0</v>
      </c>
      <c r="X8" s="712"/>
      <c r="Y8" s="3448" t="s">
        <v>2131</v>
      </c>
      <c r="Z8" s="3449"/>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0"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0"/>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0"/>
      <c r="Q11" s="1478"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0"/>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0"/>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0"/>
      <c r="Q14" s="1478">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2138</v>
      </c>
      <c r="B15" s="65" t="s">
        <v>2282</v>
      </c>
      <c r="C15" s="2108"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2" t="s">
        <v>2139</v>
      </c>
      <c r="Q15" s="1487" t="str">
        <f t="shared" si="6"/>
        <v>产业集聚程度</v>
      </c>
      <c r="R15" s="714" t="s">
        <v>17</v>
      </c>
      <c r="S15" s="715">
        <f t="shared" si="0"/>
        <v>100</v>
      </c>
      <c r="T15" s="714" t="s">
        <v>17</v>
      </c>
      <c r="U15" s="715">
        <f t="shared" si="1"/>
        <v>100</v>
      </c>
      <c r="V15" s="714" t="s">
        <v>17</v>
      </c>
      <c r="W15" s="715">
        <f t="shared" si="2"/>
        <v>100</v>
      </c>
      <c r="X15" s="1490"/>
      <c r="Y15" s="3482"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3"/>
      <c r="Q16" s="1487"/>
      <c r="R16" s="714"/>
      <c r="S16" s="715"/>
      <c r="T16" s="714"/>
      <c r="U16" s="715"/>
      <c r="V16" s="714"/>
      <c r="W16" s="715"/>
      <c r="X16" s="1490"/>
      <c r="Y16" s="3483"/>
      <c r="Z16" s="1491"/>
      <c r="AA16" s="1488">
        <v>1</v>
      </c>
      <c r="AB16" s="1488">
        <v>1</v>
      </c>
      <c r="AC16" s="1488">
        <v>1</v>
      </c>
    </row>
    <row r="17" spans="1:29" ht="85.5">
      <c r="A17" s="387"/>
      <c r="B17" s="410" t="s">
        <v>1703</v>
      </c>
      <c r="C17" s="2037"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3"/>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3"/>
      <c r="Q18" s="1487"/>
      <c r="R18" s="714"/>
      <c r="S18" s="715"/>
      <c r="T18" s="714"/>
      <c r="U18" s="715"/>
      <c r="V18" s="714"/>
      <c r="W18" s="715"/>
      <c r="X18" s="1490"/>
      <c r="Y18" s="3483"/>
      <c r="Z18" s="1491"/>
      <c r="AA18" s="1488">
        <v>1</v>
      </c>
      <c r="AB18" s="1488">
        <v>1</v>
      </c>
      <c r="AC18" s="1488">
        <v>1</v>
      </c>
    </row>
    <row r="19" spans="1:29" ht="42.75">
      <c r="A19" s="387"/>
      <c r="B19" s="410" t="s">
        <v>2267</v>
      </c>
      <c r="C19" s="2037"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3"/>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3"/>
      <c r="Q20" s="1487"/>
      <c r="R20" s="714"/>
      <c r="S20" s="715"/>
      <c r="T20" s="714"/>
      <c r="U20" s="715"/>
      <c r="V20" s="714"/>
      <c r="W20" s="715"/>
      <c r="X20" s="1490"/>
      <c r="Y20" s="3483"/>
      <c r="Z20" s="1491"/>
      <c r="AA20" s="1488">
        <v>1</v>
      </c>
      <c r="AB20" s="1488">
        <v>1</v>
      </c>
      <c r="AC20" s="1488">
        <v>1</v>
      </c>
    </row>
    <row r="21" spans="1:29" ht="28.5">
      <c r="A21" s="387"/>
      <c r="B21" s="1246" t="s">
        <v>2268</v>
      </c>
      <c r="C21" s="2037"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3"/>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3"/>
      <c r="Q22" s="1487"/>
      <c r="R22" s="714"/>
      <c r="S22" s="715"/>
      <c r="T22" s="714"/>
      <c r="U22" s="715"/>
      <c r="V22" s="714"/>
      <c r="W22" s="715"/>
      <c r="X22" s="1490"/>
      <c r="Y22" s="3483"/>
      <c r="Z22" s="1491"/>
      <c r="AA22" s="1488">
        <v>1</v>
      </c>
      <c r="AB22" s="1488">
        <v>1</v>
      </c>
      <c r="AC22" s="1488">
        <v>1</v>
      </c>
    </row>
    <row r="23" spans="1:29" ht="71.25">
      <c r="A23" s="387"/>
      <c r="B23" s="410" t="s">
        <v>2269</v>
      </c>
      <c r="C23" s="2037"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3"/>
      <c r="Q23" s="1487" t="str">
        <f>B23</f>
        <v>环境质量</v>
      </c>
      <c r="R23" s="714" t="s">
        <v>17</v>
      </c>
      <c r="S23" s="715">
        <f>F23</f>
        <v>100</v>
      </c>
      <c r="T23" s="714" t="s">
        <v>17</v>
      </c>
      <c r="U23" s="715">
        <f>H23</f>
        <v>100</v>
      </c>
      <c r="V23" s="714" t="s">
        <v>17</v>
      </c>
      <c r="W23" s="715">
        <f>J23</f>
        <v>100</v>
      </c>
      <c r="X23" s="1490"/>
      <c r="Y23" s="348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3"/>
      <c r="Q24" s="1487"/>
      <c r="R24" s="714"/>
      <c r="S24" s="715"/>
      <c r="T24" s="714"/>
      <c r="U24" s="715"/>
      <c r="V24" s="714"/>
      <c r="W24" s="715"/>
      <c r="X24" s="1490"/>
      <c r="Y24" s="348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3"/>
      <c r="Q25" s="1487">
        <f>B25</f>
        <v>111</v>
      </c>
      <c r="R25" s="714" t="s">
        <v>17</v>
      </c>
      <c r="S25" s="715">
        <f>F25</f>
        <v>100</v>
      </c>
      <c r="T25" s="714" t="s">
        <v>17</v>
      </c>
      <c r="U25" s="715">
        <f>H25</f>
        <v>100</v>
      </c>
      <c r="V25" s="714" t="s">
        <v>17</v>
      </c>
      <c r="W25" s="715">
        <f>J25</f>
        <v>100</v>
      </c>
      <c r="X25" s="1490"/>
      <c r="Y25" s="348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3"/>
      <c r="Q26" s="1487">
        <f t="shared" ref="Q26:Q40" si="11">B26</f>
        <v>111</v>
      </c>
      <c r="R26" s="714" t="s">
        <v>17</v>
      </c>
      <c r="S26" s="715">
        <f>F26</f>
        <v>100</v>
      </c>
      <c r="T26" s="714" t="s">
        <v>17</v>
      </c>
      <c r="U26" s="715">
        <f>H26</f>
        <v>100</v>
      </c>
      <c r="V26" s="714" t="s">
        <v>17</v>
      </c>
      <c r="W26" s="715">
        <f>J26</f>
        <v>100</v>
      </c>
      <c r="X26" s="1490"/>
      <c r="Y26" s="348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3"/>
      <c r="Q27" s="1478">
        <f t="shared" si="11"/>
        <v>111</v>
      </c>
      <c r="R27" s="710" t="s">
        <v>17</v>
      </c>
      <c r="S27" s="711">
        <f>F27</f>
        <v>100</v>
      </c>
      <c r="T27" s="710" t="s">
        <v>17</v>
      </c>
      <c r="U27" s="711">
        <f>H27</f>
        <v>100</v>
      </c>
      <c r="V27" s="710" t="s">
        <v>17</v>
      </c>
      <c r="W27" s="711">
        <f>J27</f>
        <v>100</v>
      </c>
      <c r="X27" s="712"/>
      <c r="Y27" s="348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3"/>
      <c r="Q28" s="1487">
        <f t="shared" si="11"/>
        <v>111</v>
      </c>
      <c r="R28" s="714" t="s">
        <v>17</v>
      </c>
      <c r="S28" s="715">
        <f t="shared" ref="S28:S40" si="12">F28</f>
        <v>100</v>
      </c>
      <c r="T28" s="714" t="s">
        <v>17</v>
      </c>
      <c r="U28" s="715">
        <f t="shared" ref="U28:U40" si="13">H28</f>
        <v>100</v>
      </c>
      <c r="V28" s="714" t="s">
        <v>17</v>
      </c>
      <c r="W28" s="715">
        <f t="shared" ref="W28:W40" si="14">J28</f>
        <v>100</v>
      </c>
      <c r="X28" s="1490"/>
      <c r="Y28" s="3483"/>
      <c r="Z28" s="1491">
        <f t="shared" ref="Z28:Z40" si="15">Q28</f>
        <v>111</v>
      </c>
      <c r="AA28" s="1488">
        <f t="shared" si="3"/>
        <v>1</v>
      </c>
      <c r="AB28" s="1488">
        <f t="shared" si="4"/>
        <v>1</v>
      </c>
      <c r="AC28" s="1488">
        <f t="shared" si="5"/>
        <v>1</v>
      </c>
    </row>
    <row r="29" spans="1:29" ht="29.2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06" t="s">
        <v>2144</v>
      </c>
      <c r="Q29" s="1487" t="str">
        <f t="shared" si="11"/>
        <v>建筑类型</v>
      </c>
      <c r="R29" s="714" t="s">
        <v>17</v>
      </c>
      <c r="S29" s="715">
        <f t="shared" si="12"/>
        <v>100</v>
      </c>
      <c r="T29" s="714" t="s">
        <v>17</v>
      </c>
      <c r="U29" s="715">
        <f t="shared" si="13"/>
        <v>100</v>
      </c>
      <c r="V29" s="714" t="s">
        <v>17</v>
      </c>
      <c r="W29" s="715">
        <f t="shared" si="14"/>
        <v>100</v>
      </c>
      <c r="X29" s="1490"/>
      <c r="Y29" s="3487"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7"/>
      <c r="Q30" s="716" t="str">
        <f t="shared" si="11"/>
        <v>项目建筑规模</v>
      </c>
      <c r="R30" s="717" t="s">
        <v>17</v>
      </c>
      <c r="S30" s="718" t="e">
        <f t="shared" si="12"/>
        <v>#N/A</v>
      </c>
      <c r="T30" s="717" t="s">
        <v>17</v>
      </c>
      <c r="U30" s="718" t="e">
        <f t="shared" si="13"/>
        <v>#N/A</v>
      </c>
      <c r="V30" s="717" t="s">
        <v>17</v>
      </c>
      <c r="W30" s="718" t="e">
        <f t="shared" si="14"/>
        <v>#N/A</v>
      </c>
      <c r="X30" s="719"/>
      <c r="Y30" s="3487"/>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7"/>
      <c r="Q31" s="1487" t="str">
        <f t="shared" si="11"/>
        <v>建筑结构</v>
      </c>
      <c r="R31" s="714" t="s">
        <v>17</v>
      </c>
      <c r="S31" s="715">
        <f t="shared" si="12"/>
        <v>100</v>
      </c>
      <c r="T31" s="714" t="s">
        <v>17</v>
      </c>
      <c r="U31" s="715">
        <f t="shared" si="13"/>
        <v>100</v>
      </c>
      <c r="V31" s="714" t="s">
        <v>17</v>
      </c>
      <c r="W31" s="715">
        <f t="shared" si="14"/>
        <v>100</v>
      </c>
      <c r="X31" s="1490"/>
      <c r="Y31" s="3487"/>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7"/>
      <c r="Q32" s="1487" t="str">
        <f t="shared" si="11"/>
        <v>公共部分装修</v>
      </c>
      <c r="R32" s="714" t="s">
        <v>17</v>
      </c>
      <c r="S32" s="715">
        <f t="shared" si="12"/>
        <v>100</v>
      </c>
      <c r="T32" s="714" t="s">
        <v>17</v>
      </c>
      <c r="U32" s="715">
        <f t="shared" si="13"/>
        <v>100</v>
      </c>
      <c r="V32" s="714" t="s">
        <v>17</v>
      </c>
      <c r="W32" s="715">
        <f t="shared" si="14"/>
        <v>100</v>
      </c>
      <c r="X32" s="1490"/>
      <c r="Y32" s="3487"/>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7"/>
      <c r="Q33" s="1487" t="str">
        <f t="shared" si="11"/>
        <v>成新度</v>
      </c>
      <c r="R33" s="714" t="s">
        <v>17</v>
      </c>
      <c r="S33" s="715" t="e">
        <f t="shared" si="12"/>
        <v>#N/A</v>
      </c>
      <c r="T33" s="714" t="s">
        <v>17</v>
      </c>
      <c r="U33" s="715" t="e">
        <f t="shared" si="13"/>
        <v>#N/A</v>
      </c>
      <c r="V33" s="714" t="s">
        <v>17</v>
      </c>
      <c r="W33" s="715" t="e">
        <f t="shared" si="14"/>
        <v>#N/A</v>
      </c>
      <c r="X33" s="1490"/>
      <c r="Y33" s="3487"/>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7"/>
      <c r="Q34" s="1478" t="str">
        <f t="shared" si="11"/>
        <v>物业管理</v>
      </c>
      <c r="R34" s="710" t="s">
        <v>17</v>
      </c>
      <c r="S34" s="711">
        <f t="shared" si="12"/>
        <v>100</v>
      </c>
      <c r="T34" s="710" t="s">
        <v>17</v>
      </c>
      <c r="U34" s="711">
        <f t="shared" si="13"/>
        <v>100</v>
      </c>
      <c r="V34" s="710" t="s">
        <v>17</v>
      </c>
      <c r="W34" s="711">
        <f t="shared" si="14"/>
        <v>100</v>
      </c>
      <c r="X34" s="712"/>
      <c r="Y34" s="3487"/>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7" t="s">
        <v>2144</v>
      </c>
      <c r="Q35" s="1487" t="str">
        <f t="shared" si="11"/>
        <v>市政基础设施</v>
      </c>
      <c r="R35" s="714" t="s">
        <v>17</v>
      </c>
      <c r="S35" s="715">
        <f t="shared" si="12"/>
        <v>100</v>
      </c>
      <c r="T35" s="714" t="s">
        <v>17</v>
      </c>
      <c r="U35" s="715">
        <f t="shared" si="13"/>
        <v>100</v>
      </c>
      <c r="V35" s="714" t="s">
        <v>17</v>
      </c>
      <c r="W35" s="715">
        <f t="shared" si="14"/>
        <v>100</v>
      </c>
      <c r="X35" s="1490"/>
      <c r="Y35" s="3487"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7"/>
      <c r="Q36" s="1487" t="str">
        <f t="shared" si="11"/>
        <v>内部装修</v>
      </c>
      <c r="R36" s="714" t="s">
        <v>17</v>
      </c>
      <c r="S36" s="715">
        <f t="shared" si="12"/>
        <v>100</v>
      </c>
      <c r="T36" s="714" t="s">
        <v>17</v>
      </c>
      <c r="U36" s="715">
        <f t="shared" si="13"/>
        <v>100</v>
      </c>
      <c r="V36" s="714" t="s">
        <v>17</v>
      </c>
      <c r="W36" s="715">
        <f t="shared" si="14"/>
        <v>100</v>
      </c>
      <c r="X36" s="1490"/>
      <c r="Y36" s="3487"/>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7"/>
      <c r="Q37" s="1487" t="str">
        <f t="shared" si="11"/>
        <v>内部装修状况</v>
      </c>
      <c r="R37" s="714" t="s">
        <v>17</v>
      </c>
      <c r="S37" s="715">
        <f t="shared" si="12"/>
        <v>100</v>
      </c>
      <c r="T37" s="714" t="s">
        <v>17</v>
      </c>
      <c r="U37" s="715">
        <f t="shared" si="13"/>
        <v>100</v>
      </c>
      <c r="V37" s="714" t="s">
        <v>17</v>
      </c>
      <c r="W37" s="715">
        <f t="shared" si="14"/>
        <v>100</v>
      </c>
      <c r="X37" s="1490"/>
      <c r="Y37" s="348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7"/>
      <c r="Q38" s="716">
        <f t="shared" si="11"/>
        <v>111</v>
      </c>
      <c r="R38" s="717" t="s">
        <v>17</v>
      </c>
      <c r="S38" s="718">
        <f t="shared" si="12"/>
        <v>100</v>
      </c>
      <c r="T38" s="717" t="s">
        <v>17</v>
      </c>
      <c r="U38" s="718">
        <f t="shared" si="13"/>
        <v>100</v>
      </c>
      <c r="V38" s="717" t="s">
        <v>17</v>
      </c>
      <c r="W38" s="718">
        <f t="shared" si="14"/>
        <v>100</v>
      </c>
      <c r="X38" s="719"/>
      <c r="Y38" s="348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7"/>
      <c r="Q39" s="1487">
        <f t="shared" si="11"/>
        <v>111</v>
      </c>
      <c r="R39" s="714" t="s">
        <v>17</v>
      </c>
      <c r="S39" s="715">
        <f t="shared" si="12"/>
        <v>100</v>
      </c>
      <c r="T39" s="714" t="s">
        <v>17</v>
      </c>
      <c r="U39" s="715">
        <f t="shared" si="13"/>
        <v>100</v>
      </c>
      <c r="V39" s="714" t="s">
        <v>17</v>
      </c>
      <c r="W39" s="715">
        <f t="shared" si="14"/>
        <v>100</v>
      </c>
      <c r="X39" s="1490"/>
      <c r="Y39" s="348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8"/>
      <c r="Q40" s="1487">
        <f t="shared" si="11"/>
        <v>111</v>
      </c>
      <c r="R40" s="714" t="s">
        <v>17</v>
      </c>
      <c r="S40" s="715">
        <f t="shared" si="12"/>
        <v>100</v>
      </c>
      <c r="T40" s="714" t="s">
        <v>17</v>
      </c>
      <c r="U40" s="715">
        <f t="shared" si="13"/>
        <v>100</v>
      </c>
      <c r="V40" s="714" t="s">
        <v>17</v>
      </c>
      <c r="W40" s="715">
        <f t="shared" si="14"/>
        <v>100</v>
      </c>
      <c r="X40" s="1490"/>
      <c r="Y40" s="3488"/>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80" t="str">
        <f>A41</f>
        <v>成交单价（元/平方米）</v>
      </c>
      <c r="Q41" s="3480"/>
      <c r="R41" s="3481">
        <f>E41</f>
        <v>0</v>
      </c>
      <c r="S41" s="3481"/>
      <c r="T41" s="3481">
        <f>G41</f>
        <v>0</v>
      </c>
      <c r="U41" s="3481"/>
      <c r="V41" s="3481">
        <f>I41</f>
        <v>0</v>
      </c>
      <c r="W41" s="3481"/>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0" t="str">
        <f>A42</f>
        <v>比较价值（元/平方米）</v>
      </c>
      <c r="Q42" s="348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77" t="str">
        <f>A43</f>
        <v>估价对象XX用房的比较价值（楼面单价，元/平方米）</v>
      </c>
      <c r="Q43" s="3478"/>
      <c r="R43" s="3479" t="e">
        <f>IF(F1="售价",ROUND(IF(D42="简单平均",AVERAGE(R42:V42),R42*F42+T42*H42+V42*J42),0),ROUND(IF(D42="简单平均",AVERAGE(R42:V42),R42*F42+T42*H42+V42*J42),1))</f>
        <v>#DIV/0!</v>
      </c>
      <c r="S43" s="3479"/>
      <c r="T43" s="3479"/>
      <c r="U43" s="3479"/>
      <c r="V43" s="3479"/>
      <c r="W43" s="3479"/>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5"/>
      <c r="O54" s="2946"/>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ht="15">
      <c r="A4" s="361" t="s">
        <v>2224</v>
      </c>
      <c r="B4" s="362"/>
      <c r="C4" s="3463" t="s">
        <v>2225</v>
      </c>
      <c r="D4" s="3464"/>
      <c r="E4" s="3465" t="s">
        <v>2226</v>
      </c>
      <c r="F4" s="3466"/>
      <c r="G4" s="3463" t="s">
        <v>2227</v>
      </c>
      <c r="H4" s="3464"/>
      <c r="I4" s="3463" t="s">
        <v>2228</v>
      </c>
      <c r="J4" s="3464"/>
      <c r="K4" s="567" t="s">
        <v>2229</v>
      </c>
      <c r="L4" s="2890"/>
      <c r="M4" s="2891"/>
      <c r="N4" s="2891"/>
      <c r="O4" s="2891"/>
      <c r="P4" s="3467" t="s">
        <v>2230</v>
      </c>
      <c r="Q4" s="3468"/>
      <c r="R4" s="3450" t="s">
        <v>2226</v>
      </c>
      <c r="S4" s="3451"/>
      <c r="T4" s="3450" t="s">
        <v>2227</v>
      </c>
      <c r="U4" s="3451"/>
      <c r="V4" s="3475" t="s">
        <v>2228</v>
      </c>
      <c r="W4" s="3475"/>
      <c r="X4" s="1490"/>
      <c r="Y4" s="3450" t="s">
        <v>2230</v>
      </c>
      <c r="Z4" s="3451"/>
      <c r="AA4" s="3445" t="s">
        <v>2226</v>
      </c>
      <c r="AB4" s="3446" t="s">
        <v>2227</v>
      </c>
      <c r="AC4" s="3445" t="s">
        <v>2228</v>
      </c>
    </row>
    <row r="5" spans="1:29" ht="15">
      <c r="A5" s="364"/>
      <c r="B5" s="365"/>
      <c r="C5" s="3456" t="s">
        <v>2121</v>
      </c>
      <c r="D5" s="3457"/>
      <c r="E5" s="3454" t="s">
        <v>2122</v>
      </c>
      <c r="F5" s="3455"/>
      <c r="G5" s="3456" t="s">
        <v>2123</v>
      </c>
      <c r="H5" s="3457"/>
      <c r="I5" s="3456" t="s">
        <v>2124</v>
      </c>
      <c r="J5" s="3457"/>
      <c r="K5" s="567"/>
      <c r="L5" s="2890"/>
      <c r="M5" s="2891"/>
      <c r="N5" s="2891"/>
      <c r="O5" s="2891"/>
      <c r="P5" s="3469"/>
      <c r="Q5" s="3470"/>
      <c r="R5" s="3452"/>
      <c r="S5" s="3453"/>
      <c r="T5" s="3452"/>
      <c r="U5" s="3453"/>
      <c r="V5" s="3475"/>
      <c r="W5" s="3475"/>
      <c r="X5" s="1490"/>
      <c r="Y5" s="3452"/>
      <c r="Z5" s="3453"/>
      <c r="AA5" s="3446"/>
      <c r="AB5" s="3446"/>
      <c r="AC5" s="3446"/>
    </row>
    <row r="6" spans="1:29" ht="15.75" thickBot="1">
      <c r="A6" s="366"/>
      <c r="B6" s="367"/>
      <c r="C6" s="3458" t="s">
        <v>2125</v>
      </c>
      <c r="D6" s="3459"/>
      <c r="E6" s="3460" t="s">
        <v>2125</v>
      </c>
      <c r="F6" s="3461"/>
      <c r="G6" s="3458" t="s">
        <v>2125</v>
      </c>
      <c r="H6" s="3459"/>
      <c r="I6" s="3458" t="s">
        <v>2125</v>
      </c>
      <c r="J6" s="3459"/>
      <c r="K6" s="567" t="s">
        <v>2126</v>
      </c>
      <c r="L6" s="2890"/>
      <c r="M6" s="2891"/>
      <c r="N6" s="2891"/>
      <c r="O6" s="2891"/>
      <c r="P6" s="3471"/>
      <c r="Q6" s="3472"/>
      <c r="R6" s="3452"/>
      <c r="S6" s="3453"/>
      <c r="T6" s="3473"/>
      <c r="U6" s="3474"/>
      <c r="V6" s="3475"/>
      <c r="W6" s="3475"/>
      <c r="X6" s="1490"/>
      <c r="Y6" s="3473"/>
      <c r="Z6" s="3474"/>
      <c r="AA6" s="3447"/>
      <c r="AB6" s="3447"/>
      <c r="AC6" s="3447"/>
    </row>
    <row r="7" spans="1:29" s="113" customFormat="1" ht="15.75" thickBot="1">
      <c r="A7" s="368" t="s">
        <v>2127</v>
      </c>
      <c r="B7" s="369"/>
      <c r="C7" s="370">
        <f>'数据-取费表'!B2</f>
        <v>44700</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48" t="s">
        <v>2128</v>
      </c>
      <c r="Q7" s="3476"/>
      <c r="R7" s="710" t="s">
        <v>17</v>
      </c>
      <c r="S7" s="711">
        <f t="shared" ref="S7:S14" si="0">F7</f>
        <v>0</v>
      </c>
      <c r="T7" s="710" t="s">
        <v>17</v>
      </c>
      <c r="U7" s="711">
        <f t="shared" ref="U7:U14" si="1">H7</f>
        <v>0</v>
      </c>
      <c r="V7" s="710" t="s">
        <v>17</v>
      </c>
      <c r="W7" s="711">
        <f t="shared" ref="W7:W14" si="2">J7</f>
        <v>0</v>
      </c>
      <c r="X7" s="712"/>
      <c r="Y7" s="3448" t="s">
        <v>2128</v>
      </c>
      <c r="Z7" s="3449"/>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48" t="s">
        <v>2131</v>
      </c>
      <c r="Q8" s="3449"/>
      <c r="R8" s="710" t="s">
        <v>17</v>
      </c>
      <c r="S8" s="711">
        <f t="shared" si="0"/>
        <v>0</v>
      </c>
      <c r="T8" s="710" t="s">
        <v>17</v>
      </c>
      <c r="U8" s="711">
        <f t="shared" si="1"/>
        <v>0</v>
      </c>
      <c r="V8" s="710" t="s">
        <v>17</v>
      </c>
      <c r="W8" s="711">
        <f t="shared" si="2"/>
        <v>0</v>
      </c>
      <c r="X8" s="712"/>
      <c r="Y8" s="3448" t="s">
        <v>2131</v>
      </c>
      <c r="Z8" s="3449"/>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80" t="s">
        <v>2134</v>
      </c>
      <c r="Q9" s="1478" t="str">
        <f t="shared" ref="Q9:Q14" si="6">B9</f>
        <v>用途</v>
      </c>
      <c r="R9" s="710" t="s">
        <v>17</v>
      </c>
      <c r="S9" s="711">
        <f t="shared" si="0"/>
        <v>100</v>
      </c>
      <c r="T9" s="710" t="s">
        <v>17</v>
      </c>
      <c r="U9" s="711">
        <f t="shared" si="1"/>
        <v>100</v>
      </c>
      <c r="V9" s="710" t="s">
        <v>17</v>
      </c>
      <c r="W9" s="711">
        <f t="shared" si="2"/>
        <v>100</v>
      </c>
      <c r="X9" s="712"/>
      <c r="Y9" s="339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80"/>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80"/>
      <c r="Q11" s="1478">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80"/>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80"/>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82" t="s">
        <v>2139</v>
      </c>
      <c r="Q14" s="1487" t="str">
        <f t="shared" si="6"/>
        <v>交通便捷度</v>
      </c>
      <c r="R14" s="714" t="s">
        <v>17</v>
      </c>
      <c r="S14" s="715">
        <f t="shared" si="0"/>
        <v>100</v>
      </c>
      <c r="T14" s="714" t="s">
        <v>17</v>
      </c>
      <c r="U14" s="715">
        <f t="shared" si="1"/>
        <v>100</v>
      </c>
      <c r="V14" s="714" t="s">
        <v>17</v>
      </c>
      <c r="W14" s="715">
        <f t="shared" si="2"/>
        <v>100</v>
      </c>
      <c r="X14" s="1490"/>
      <c r="Y14" s="3482"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7"/>
      <c r="M15" s="2891"/>
      <c r="N15" s="2891"/>
      <c r="O15" s="2891"/>
      <c r="P15" s="3483"/>
      <c r="Q15" s="1487"/>
      <c r="R15" s="714"/>
      <c r="S15" s="715"/>
      <c r="T15" s="714"/>
      <c r="U15" s="715"/>
      <c r="V15" s="714"/>
      <c r="W15" s="715"/>
      <c r="X15" s="1490"/>
      <c r="Y15" s="3483"/>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83"/>
      <c r="Q16" s="1487" t="str">
        <f>B16</f>
        <v>公共配套设施</v>
      </c>
      <c r="R16" s="714" t="s">
        <v>17</v>
      </c>
      <c r="S16" s="715">
        <f>F16</f>
        <v>100</v>
      </c>
      <c r="T16" s="714" t="s">
        <v>17</v>
      </c>
      <c r="U16" s="715">
        <f>H16</f>
        <v>100</v>
      </c>
      <c r="V16" s="714" t="s">
        <v>17</v>
      </c>
      <c r="W16" s="715">
        <f>J16</f>
        <v>100</v>
      </c>
      <c r="X16" s="1490"/>
      <c r="Y16" s="348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7"/>
      <c r="M17" s="2891"/>
      <c r="N17" s="2891"/>
      <c r="O17" s="2891"/>
      <c r="P17" s="3483"/>
      <c r="Q17" s="1487"/>
      <c r="R17" s="714"/>
      <c r="S17" s="715"/>
      <c r="T17" s="714"/>
      <c r="U17" s="715"/>
      <c r="V17" s="714"/>
      <c r="W17" s="715"/>
      <c r="X17" s="1490"/>
      <c r="Y17" s="3483"/>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83"/>
      <c r="Q18" s="1487" t="str">
        <f>B18</f>
        <v>基础设施水平</v>
      </c>
      <c r="R18" s="714" t="s">
        <v>17</v>
      </c>
      <c r="S18" s="715">
        <f>F18</f>
        <v>100</v>
      </c>
      <c r="T18" s="714" t="s">
        <v>17</v>
      </c>
      <c r="U18" s="715">
        <f>H18</f>
        <v>100</v>
      </c>
      <c r="V18" s="714" t="s">
        <v>17</v>
      </c>
      <c r="W18" s="715">
        <f>J18</f>
        <v>100</v>
      </c>
      <c r="X18" s="1490"/>
      <c r="Y18" s="348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7"/>
      <c r="M19" s="2891"/>
      <c r="N19" s="2891"/>
      <c r="O19" s="2891"/>
      <c r="P19" s="3483"/>
      <c r="Q19" s="1487"/>
      <c r="R19" s="714"/>
      <c r="S19" s="715"/>
      <c r="T19" s="714"/>
      <c r="U19" s="715"/>
      <c r="V19" s="714"/>
      <c r="W19" s="715"/>
      <c r="X19" s="1490"/>
      <c r="Y19" s="3483"/>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83"/>
      <c r="Q20" s="1487" t="str">
        <f>B20</f>
        <v>自然及人文环境</v>
      </c>
      <c r="R20" s="714" t="s">
        <v>17</v>
      </c>
      <c r="S20" s="715">
        <f>F20</f>
        <v>100</v>
      </c>
      <c r="T20" s="714" t="s">
        <v>17</v>
      </c>
      <c r="U20" s="715">
        <f>H20</f>
        <v>100</v>
      </c>
      <c r="V20" s="714" t="s">
        <v>17</v>
      </c>
      <c r="W20" s="715">
        <f>J20</f>
        <v>100</v>
      </c>
      <c r="X20" s="1490"/>
      <c r="Y20" s="348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7"/>
      <c r="M21" s="2891"/>
      <c r="N21" s="2891"/>
      <c r="O21" s="2891"/>
      <c r="P21" s="3483"/>
      <c r="Q21" s="1487"/>
      <c r="R21" s="714"/>
      <c r="S21" s="715"/>
      <c r="T21" s="714"/>
      <c r="U21" s="715"/>
      <c r="V21" s="714"/>
      <c r="W21" s="715"/>
      <c r="X21" s="1490"/>
      <c r="Y21" s="3483"/>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83"/>
      <c r="Q22" s="1487" t="str">
        <f>B22</f>
        <v>楼层</v>
      </c>
      <c r="R22" s="714" t="s">
        <v>17</v>
      </c>
      <c r="S22" s="715">
        <f>F22</f>
        <v>100</v>
      </c>
      <c r="T22" s="714" t="s">
        <v>17</v>
      </c>
      <c r="U22" s="715">
        <f>H22</f>
        <v>100</v>
      </c>
      <c r="V22" s="714" t="s">
        <v>17</v>
      </c>
      <c r="W22" s="715">
        <f>J22</f>
        <v>100</v>
      </c>
      <c r="X22" s="1490"/>
      <c r="Y22" s="348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83"/>
      <c r="Q23" s="1487">
        <f>B23</f>
        <v>111</v>
      </c>
      <c r="R23" s="714" t="s">
        <v>17</v>
      </c>
      <c r="S23" s="715">
        <f>F23</f>
        <v>100</v>
      </c>
      <c r="T23" s="714" t="s">
        <v>17</v>
      </c>
      <c r="U23" s="715">
        <f>H23</f>
        <v>100</v>
      </c>
      <c r="V23" s="714" t="s">
        <v>17</v>
      </c>
      <c r="W23" s="715">
        <f>J23</f>
        <v>100</v>
      </c>
      <c r="X23" s="1490"/>
      <c r="Y23" s="348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83"/>
      <c r="Q24" s="1487">
        <f t="shared" ref="Q24:Q36" si="11">B24</f>
        <v>111</v>
      </c>
      <c r="R24" s="714" t="s">
        <v>17</v>
      </c>
      <c r="S24" s="715">
        <f>F24</f>
        <v>100</v>
      </c>
      <c r="T24" s="714" t="s">
        <v>17</v>
      </c>
      <c r="U24" s="715">
        <f>H24</f>
        <v>100</v>
      </c>
      <c r="V24" s="714" t="s">
        <v>17</v>
      </c>
      <c r="W24" s="715">
        <f>J24</f>
        <v>100</v>
      </c>
      <c r="X24" s="1490"/>
      <c r="Y24" s="348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83"/>
      <c r="Q25" s="1478">
        <f t="shared" si="11"/>
        <v>111</v>
      </c>
      <c r="R25" s="710" t="s">
        <v>17</v>
      </c>
      <c r="S25" s="711">
        <f>F25</f>
        <v>100</v>
      </c>
      <c r="T25" s="710" t="s">
        <v>17</v>
      </c>
      <c r="U25" s="711">
        <f>H25</f>
        <v>100</v>
      </c>
      <c r="V25" s="710" t="s">
        <v>17</v>
      </c>
      <c r="W25" s="711">
        <f>J25</f>
        <v>100</v>
      </c>
      <c r="X25" s="712"/>
      <c r="Y25" s="3483"/>
      <c r="Z25" s="55">
        <f>Q25</f>
        <v>111</v>
      </c>
      <c r="AA25" s="1488">
        <f>D25/F25</f>
        <v>1</v>
      </c>
      <c r="AB25" s="1488">
        <f>D25/H25</f>
        <v>1</v>
      </c>
      <c r="AC25" s="1488">
        <f>D25/J25</f>
        <v>1</v>
      </c>
    </row>
    <row r="26" spans="1:29" ht="29.2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06"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7"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87"/>
      <c r="Q27" s="716" t="str">
        <f t="shared" si="11"/>
        <v>项目停车位配比</v>
      </c>
      <c r="R27" s="717" t="s">
        <v>17</v>
      </c>
      <c r="S27" s="718">
        <f t="shared" si="12"/>
        <v>100</v>
      </c>
      <c r="T27" s="717" t="s">
        <v>17</v>
      </c>
      <c r="U27" s="718">
        <f t="shared" si="13"/>
        <v>100</v>
      </c>
      <c r="V27" s="717" t="s">
        <v>17</v>
      </c>
      <c r="W27" s="718">
        <f t="shared" si="14"/>
        <v>100</v>
      </c>
      <c r="X27" s="719"/>
      <c r="Y27" s="3487"/>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87"/>
      <c r="Q28" s="1487" t="str">
        <f t="shared" si="11"/>
        <v>公共部分装修</v>
      </c>
      <c r="R28" s="714" t="s">
        <v>17</v>
      </c>
      <c r="S28" s="715">
        <f t="shared" si="12"/>
        <v>100</v>
      </c>
      <c r="T28" s="714" t="s">
        <v>17</v>
      </c>
      <c r="U28" s="715">
        <f t="shared" si="13"/>
        <v>100</v>
      </c>
      <c r="V28" s="714" t="s">
        <v>17</v>
      </c>
      <c r="W28" s="715">
        <f t="shared" si="14"/>
        <v>100</v>
      </c>
      <c r="X28" s="1490"/>
      <c r="Y28" s="3487"/>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87"/>
      <c r="Q29" s="1487" t="str">
        <f t="shared" si="11"/>
        <v>成新率</v>
      </c>
      <c r="R29" s="714" t="s">
        <v>17</v>
      </c>
      <c r="S29" s="715" t="e">
        <f t="shared" si="12"/>
        <v>#N/A</v>
      </c>
      <c r="T29" s="714" t="s">
        <v>17</v>
      </c>
      <c r="U29" s="715" t="e">
        <f t="shared" si="13"/>
        <v>#N/A</v>
      </c>
      <c r="V29" s="714" t="s">
        <v>17</v>
      </c>
      <c r="W29" s="715" t="e">
        <f t="shared" si="14"/>
        <v>#N/A</v>
      </c>
      <c r="X29" s="1490"/>
      <c r="Y29" s="3487"/>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87"/>
      <c r="Q30" s="1487" t="str">
        <f t="shared" si="11"/>
        <v>物业等级</v>
      </c>
      <c r="R30" s="714" t="s">
        <v>17</v>
      </c>
      <c r="S30" s="715">
        <f t="shared" si="12"/>
        <v>100</v>
      </c>
      <c r="T30" s="714" t="s">
        <v>17</v>
      </c>
      <c r="U30" s="715">
        <f t="shared" si="13"/>
        <v>100</v>
      </c>
      <c r="V30" s="714" t="s">
        <v>17</v>
      </c>
      <c r="W30" s="715">
        <f t="shared" si="14"/>
        <v>100</v>
      </c>
      <c r="X30" s="1490"/>
      <c r="Y30" s="3487"/>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87"/>
      <c r="Q31" s="1478" t="str">
        <f t="shared" si="11"/>
        <v>停车位面积</v>
      </c>
      <c r="R31" s="710" t="s">
        <v>17</v>
      </c>
      <c r="S31" s="711" t="e">
        <f t="shared" si="12"/>
        <v>#N/A</v>
      </c>
      <c r="T31" s="710" t="s">
        <v>17</v>
      </c>
      <c r="U31" s="711" t="e">
        <f t="shared" si="13"/>
        <v>#N/A</v>
      </c>
      <c r="V31" s="710" t="s">
        <v>17</v>
      </c>
      <c r="W31" s="711" t="e">
        <f t="shared" si="14"/>
        <v>#N/A</v>
      </c>
      <c r="X31" s="712"/>
      <c r="Y31" s="3487"/>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87" t="s">
        <v>2144</v>
      </c>
      <c r="Q32" s="1487" t="str">
        <f t="shared" si="11"/>
        <v>车位类型</v>
      </c>
      <c r="R32" s="714" t="s">
        <v>17</v>
      </c>
      <c r="S32" s="715">
        <f t="shared" si="12"/>
        <v>100</v>
      </c>
      <c r="T32" s="714" t="s">
        <v>17</v>
      </c>
      <c r="U32" s="715">
        <f t="shared" si="13"/>
        <v>100</v>
      </c>
      <c r="V32" s="714" t="s">
        <v>17</v>
      </c>
      <c r="W32" s="715">
        <f t="shared" si="14"/>
        <v>100</v>
      </c>
      <c r="X32" s="1490"/>
      <c r="Y32" s="3487"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87"/>
      <c r="Q33" s="1487" t="str">
        <f t="shared" si="11"/>
        <v>是否直接入户</v>
      </c>
      <c r="R33" s="714" t="s">
        <v>17</v>
      </c>
      <c r="S33" s="715">
        <f t="shared" si="12"/>
        <v>100</v>
      </c>
      <c r="T33" s="714" t="s">
        <v>17</v>
      </c>
      <c r="U33" s="715">
        <f t="shared" si="13"/>
        <v>100</v>
      </c>
      <c r="V33" s="714" t="s">
        <v>17</v>
      </c>
      <c r="W33" s="715">
        <f t="shared" si="14"/>
        <v>100</v>
      </c>
      <c r="X33" s="1490"/>
      <c r="Y33" s="348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87"/>
      <c r="Q34" s="1487">
        <f t="shared" si="11"/>
        <v>111</v>
      </c>
      <c r="R34" s="714" t="s">
        <v>17</v>
      </c>
      <c r="S34" s="715">
        <f t="shared" si="12"/>
        <v>100</v>
      </c>
      <c r="T34" s="714" t="s">
        <v>17</v>
      </c>
      <c r="U34" s="715">
        <f t="shared" si="13"/>
        <v>100</v>
      </c>
      <c r="V34" s="714" t="s">
        <v>17</v>
      </c>
      <c r="W34" s="715">
        <f t="shared" si="14"/>
        <v>100</v>
      </c>
      <c r="X34" s="1490"/>
      <c r="Y34" s="348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87"/>
      <c r="Q35" s="716">
        <f t="shared" si="11"/>
        <v>111</v>
      </c>
      <c r="R35" s="717" t="s">
        <v>17</v>
      </c>
      <c r="S35" s="718">
        <f t="shared" si="12"/>
        <v>100</v>
      </c>
      <c r="T35" s="717" t="s">
        <v>17</v>
      </c>
      <c r="U35" s="718">
        <f t="shared" si="13"/>
        <v>100</v>
      </c>
      <c r="V35" s="717" t="s">
        <v>17</v>
      </c>
      <c r="W35" s="718">
        <f t="shared" si="14"/>
        <v>100</v>
      </c>
      <c r="X35" s="719"/>
      <c r="Y35" s="348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87"/>
      <c r="Q36" s="1487">
        <f t="shared" si="11"/>
        <v>111</v>
      </c>
      <c r="R36" s="714" t="s">
        <v>17</v>
      </c>
      <c r="S36" s="715">
        <f t="shared" si="12"/>
        <v>100</v>
      </c>
      <c r="T36" s="714" t="s">
        <v>17</v>
      </c>
      <c r="U36" s="715">
        <f t="shared" si="13"/>
        <v>100</v>
      </c>
      <c r="V36" s="714" t="s">
        <v>17</v>
      </c>
      <c r="W36" s="715">
        <f t="shared" si="14"/>
        <v>100</v>
      </c>
      <c r="X36" s="1490"/>
      <c r="Y36" s="3487"/>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9"/>
      <c r="M37" s="2900"/>
      <c r="N37" s="2891"/>
      <c r="O37" s="2900"/>
      <c r="P37" s="3480" t="str">
        <f>A37</f>
        <v>成交单价</v>
      </c>
      <c r="Q37" s="3480"/>
      <c r="R37" s="3481">
        <f>E37</f>
        <v>0</v>
      </c>
      <c r="S37" s="3481"/>
      <c r="T37" s="3481">
        <f>G37</f>
        <v>0</v>
      </c>
      <c r="U37" s="3481"/>
      <c r="V37" s="3481">
        <f>I37</f>
        <v>0</v>
      </c>
      <c r="W37" s="3481"/>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80" t="str">
        <f>A38</f>
        <v>比较价值（元/平方米）</v>
      </c>
      <c r="Q38" s="348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9"/>
      <c r="M39" s="2900"/>
      <c r="N39" s="2900"/>
      <c r="O39" s="2900"/>
      <c r="P39" s="3477" t="str">
        <f>A39</f>
        <v>估价对象XX用房的比较价值（楼面单价，元/平方米）</v>
      </c>
      <c r="Q39" s="3478"/>
      <c r="R39" s="3507" t="e">
        <f>IF(F1="售价",ROUND(IF(D38="简单平均",AVERAGE(R38:W38),R38*F38+T38*H38+V38*J38),0),ROUND(IF(D38="简单平均",AVERAGE(R38:V38),R38*F38+T38*H38+V38*J38),1))</f>
        <v>#DIV/0!</v>
      </c>
      <c r="S39" s="3507"/>
      <c r="T39" s="3507"/>
      <c r="U39" s="3507"/>
      <c r="V39" s="3507"/>
      <c r="W39" s="3507"/>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4"/>
      <c r="Q48" s="2916"/>
      <c r="R48" s="2916"/>
      <c r="S48" s="2916"/>
      <c r="T48" s="2916"/>
      <c r="U48" s="2916"/>
      <c r="V48" s="2916"/>
      <c r="W48" s="2916"/>
      <c r="X48" s="2916"/>
      <c r="Y48" s="2916"/>
      <c r="Z48" s="2916"/>
      <c r="AA48" s="2916"/>
      <c r="AB48" s="2916"/>
      <c r="AC48" s="2916"/>
    </row>
    <row r="49" spans="1:29" s="113" customFormat="1" ht="15">
      <c r="A49" s="466"/>
      <c r="B49" s="467"/>
      <c r="C49" s="1292">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2164</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2129</v>
      </c>
      <c r="B51" s="467"/>
      <c r="C51" s="479" t="s">
        <v>2231</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63" t="s">
        <v>2225</v>
      </c>
      <c r="D4" s="3464"/>
      <c r="E4" s="3465" t="s">
        <v>2226</v>
      </c>
      <c r="F4" s="3466"/>
      <c r="G4" s="3463" t="s">
        <v>2227</v>
      </c>
      <c r="H4" s="3464"/>
      <c r="I4" s="3463" t="s">
        <v>2228</v>
      </c>
      <c r="J4" s="3464"/>
      <c r="K4" s="567" t="s">
        <v>2229</v>
      </c>
      <c r="L4" s="2890"/>
      <c r="M4" s="2891"/>
      <c r="N4" s="2891"/>
      <c r="O4" s="2891"/>
      <c r="P4" s="3467" t="s">
        <v>2230</v>
      </c>
      <c r="Q4" s="3468"/>
      <c r="R4" s="3450" t="s">
        <v>2226</v>
      </c>
      <c r="S4" s="3451"/>
      <c r="T4" s="3450" t="s">
        <v>2227</v>
      </c>
      <c r="U4" s="3451"/>
      <c r="V4" s="3475" t="s">
        <v>2228</v>
      </c>
      <c r="W4" s="3475"/>
      <c r="X4" s="1490"/>
      <c r="Y4" s="3450" t="s">
        <v>2230</v>
      </c>
      <c r="Z4" s="3451"/>
      <c r="AA4" s="3445" t="s">
        <v>2226</v>
      </c>
      <c r="AB4" s="3446" t="s">
        <v>2227</v>
      </c>
      <c r="AC4" s="3445" t="s">
        <v>2228</v>
      </c>
    </row>
    <row r="5" spans="1:29" ht="15">
      <c r="A5" s="364"/>
      <c r="B5" s="365"/>
      <c r="C5" s="3456" t="s">
        <v>2121</v>
      </c>
      <c r="D5" s="3457"/>
      <c r="E5" s="3454" t="s">
        <v>2122</v>
      </c>
      <c r="F5" s="3455"/>
      <c r="G5" s="3456" t="s">
        <v>2123</v>
      </c>
      <c r="H5" s="3457"/>
      <c r="I5" s="3456" t="s">
        <v>2124</v>
      </c>
      <c r="J5" s="3457"/>
      <c r="K5" s="567"/>
      <c r="L5" s="2890"/>
      <c r="M5" s="2891"/>
      <c r="N5" s="2891"/>
      <c r="O5" s="2891"/>
      <c r="P5" s="3469"/>
      <c r="Q5" s="3470"/>
      <c r="R5" s="3452"/>
      <c r="S5" s="3453"/>
      <c r="T5" s="3452"/>
      <c r="U5" s="3453"/>
      <c r="V5" s="3475"/>
      <c r="W5" s="3475"/>
      <c r="X5" s="1490"/>
      <c r="Y5" s="3452"/>
      <c r="Z5" s="3453"/>
      <c r="AA5" s="3446"/>
      <c r="AB5" s="3446"/>
      <c r="AC5" s="3446"/>
    </row>
    <row r="6" spans="1:29" ht="15.75" thickBot="1">
      <c r="A6" s="366"/>
      <c r="B6" s="367"/>
      <c r="C6" s="3458" t="s">
        <v>2125</v>
      </c>
      <c r="D6" s="3459"/>
      <c r="E6" s="3460" t="s">
        <v>2125</v>
      </c>
      <c r="F6" s="3461"/>
      <c r="G6" s="3458" t="s">
        <v>2125</v>
      </c>
      <c r="H6" s="3459"/>
      <c r="I6" s="3458" t="s">
        <v>2125</v>
      </c>
      <c r="J6" s="3459"/>
      <c r="K6" s="567" t="s">
        <v>2126</v>
      </c>
      <c r="L6" s="2890"/>
      <c r="M6" s="2891"/>
      <c r="N6" s="2891"/>
      <c r="O6" s="2891"/>
      <c r="P6" s="3471"/>
      <c r="Q6" s="3472"/>
      <c r="R6" s="3452"/>
      <c r="S6" s="3453"/>
      <c r="T6" s="3473"/>
      <c r="U6" s="3474"/>
      <c r="V6" s="3475"/>
      <c r="W6" s="3475"/>
      <c r="X6" s="1490"/>
      <c r="Y6" s="3473"/>
      <c r="Z6" s="3474"/>
      <c r="AA6" s="3447"/>
      <c r="AB6" s="3447"/>
      <c r="AC6" s="3447"/>
    </row>
    <row r="7" spans="1:29" s="113" customFormat="1" ht="15.75" thickBot="1">
      <c r="A7" s="368" t="s">
        <v>2127</v>
      </c>
      <c r="B7" s="369"/>
      <c r="C7" s="370">
        <f>'数据-取费表'!B2</f>
        <v>44700</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48" t="s">
        <v>2128</v>
      </c>
      <c r="Q7" s="3476"/>
      <c r="R7" s="710" t="s">
        <v>17</v>
      </c>
      <c r="S7" s="711">
        <f t="shared" ref="S7:S14" si="0">F7</f>
        <v>0</v>
      </c>
      <c r="T7" s="710" t="s">
        <v>17</v>
      </c>
      <c r="U7" s="711">
        <f t="shared" ref="U7:U14" si="1">H7</f>
        <v>0</v>
      </c>
      <c r="V7" s="710" t="s">
        <v>17</v>
      </c>
      <c r="W7" s="711">
        <f t="shared" ref="W7:W14" si="2">J7</f>
        <v>0</v>
      </c>
      <c r="X7" s="712"/>
      <c r="Y7" s="3448" t="s">
        <v>2128</v>
      </c>
      <c r="Z7" s="3449"/>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48" t="s">
        <v>2131</v>
      </c>
      <c r="Q8" s="3449"/>
      <c r="R8" s="710" t="s">
        <v>17</v>
      </c>
      <c r="S8" s="711">
        <f t="shared" si="0"/>
        <v>0</v>
      </c>
      <c r="T8" s="710" t="s">
        <v>17</v>
      </c>
      <c r="U8" s="711">
        <f t="shared" si="1"/>
        <v>0</v>
      </c>
      <c r="V8" s="710" t="s">
        <v>17</v>
      </c>
      <c r="W8" s="711">
        <f t="shared" si="2"/>
        <v>0</v>
      </c>
      <c r="X8" s="712"/>
      <c r="Y8" s="3448" t="s">
        <v>2131</v>
      </c>
      <c r="Z8" s="3449"/>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80" t="s">
        <v>2134</v>
      </c>
      <c r="Q9" s="1478" t="str">
        <f t="shared" ref="Q9:Q14" si="6">B9</f>
        <v>用途</v>
      </c>
      <c r="R9" s="710" t="s">
        <v>17</v>
      </c>
      <c r="S9" s="711">
        <f t="shared" si="0"/>
        <v>100</v>
      </c>
      <c r="T9" s="710" t="s">
        <v>17</v>
      </c>
      <c r="U9" s="711">
        <f t="shared" si="1"/>
        <v>100</v>
      </c>
      <c r="V9" s="710" t="s">
        <v>17</v>
      </c>
      <c r="W9" s="711">
        <f t="shared" si="2"/>
        <v>100</v>
      </c>
      <c r="X9" s="712"/>
      <c r="Y9" s="339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80"/>
      <c r="Q10" s="1478"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80"/>
      <c r="Q11" s="1478">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80"/>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80"/>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82" t="s">
        <v>2139</v>
      </c>
      <c r="Q14" s="1487" t="str">
        <f t="shared" si="6"/>
        <v>交通便捷度</v>
      </c>
      <c r="R14" s="714" t="s">
        <v>17</v>
      </c>
      <c r="S14" s="715">
        <f t="shared" si="0"/>
        <v>100</v>
      </c>
      <c r="T14" s="714" t="s">
        <v>17</v>
      </c>
      <c r="U14" s="715">
        <f t="shared" si="1"/>
        <v>100</v>
      </c>
      <c r="V14" s="714" t="s">
        <v>17</v>
      </c>
      <c r="W14" s="715">
        <f t="shared" si="2"/>
        <v>100</v>
      </c>
      <c r="X14" s="1490"/>
      <c r="Y14" s="3482"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7"/>
      <c r="M15" s="2891"/>
      <c r="N15" s="2891"/>
      <c r="O15" s="2949"/>
      <c r="P15" s="3483"/>
      <c r="Q15" s="1487"/>
      <c r="R15" s="714"/>
      <c r="S15" s="715"/>
      <c r="T15" s="714"/>
      <c r="U15" s="715"/>
      <c r="V15" s="714"/>
      <c r="W15" s="715"/>
      <c r="X15" s="1490"/>
      <c r="Y15" s="3483"/>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83"/>
      <c r="Q16" s="1487" t="str">
        <f>B16</f>
        <v>公共配套设施</v>
      </c>
      <c r="R16" s="714" t="s">
        <v>17</v>
      </c>
      <c r="S16" s="715">
        <f>F16</f>
        <v>100</v>
      </c>
      <c r="T16" s="714" t="s">
        <v>17</v>
      </c>
      <c r="U16" s="715">
        <f>H16</f>
        <v>100</v>
      </c>
      <c r="V16" s="714" t="s">
        <v>17</v>
      </c>
      <c r="W16" s="715">
        <f>J16</f>
        <v>100</v>
      </c>
      <c r="X16" s="1490"/>
      <c r="Y16" s="348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7"/>
      <c r="M17" s="2891"/>
      <c r="N17" s="2891"/>
      <c r="O17" s="2949"/>
      <c r="P17" s="3483"/>
      <c r="Q17" s="1487"/>
      <c r="R17" s="714"/>
      <c r="S17" s="715"/>
      <c r="T17" s="714"/>
      <c r="U17" s="715"/>
      <c r="V17" s="714"/>
      <c r="W17" s="715"/>
      <c r="X17" s="1490"/>
      <c r="Y17" s="3483"/>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83"/>
      <c r="Q18" s="1487" t="str">
        <f>B18</f>
        <v>基础设施水平</v>
      </c>
      <c r="R18" s="714" t="s">
        <v>17</v>
      </c>
      <c r="S18" s="715">
        <f>F18</f>
        <v>100</v>
      </c>
      <c r="T18" s="714" t="s">
        <v>17</v>
      </c>
      <c r="U18" s="715">
        <f>H18</f>
        <v>100</v>
      </c>
      <c r="V18" s="714" t="s">
        <v>17</v>
      </c>
      <c r="W18" s="715">
        <f>J18</f>
        <v>100</v>
      </c>
      <c r="X18" s="1490"/>
      <c r="Y18" s="348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7"/>
      <c r="M19" s="2891"/>
      <c r="N19" s="2891"/>
      <c r="O19" s="2949"/>
      <c r="P19" s="3483"/>
      <c r="Q19" s="1487"/>
      <c r="R19" s="714"/>
      <c r="S19" s="715"/>
      <c r="T19" s="714"/>
      <c r="U19" s="715"/>
      <c r="V19" s="714"/>
      <c r="W19" s="715"/>
      <c r="X19" s="1490"/>
      <c r="Y19" s="3483"/>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83"/>
      <c r="Q20" s="1487" t="str">
        <f>B20</f>
        <v>自然及人文环境</v>
      </c>
      <c r="R20" s="714" t="s">
        <v>17</v>
      </c>
      <c r="S20" s="715">
        <f>F20</f>
        <v>100</v>
      </c>
      <c r="T20" s="714" t="s">
        <v>17</v>
      </c>
      <c r="U20" s="715">
        <f>H20</f>
        <v>100</v>
      </c>
      <c r="V20" s="714" t="s">
        <v>17</v>
      </c>
      <c r="W20" s="715">
        <f>J20</f>
        <v>100</v>
      </c>
      <c r="X20" s="1490"/>
      <c r="Y20" s="348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7"/>
      <c r="M21" s="2891"/>
      <c r="N21" s="2891"/>
      <c r="O21" s="2949"/>
      <c r="P21" s="3483"/>
      <c r="Q21" s="1487"/>
      <c r="R21" s="714"/>
      <c r="S21" s="715"/>
      <c r="T21" s="714"/>
      <c r="U21" s="715"/>
      <c r="V21" s="714"/>
      <c r="W21" s="715"/>
      <c r="X21" s="1490"/>
      <c r="Y21" s="3483"/>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83"/>
      <c r="Q22" s="1487" t="str">
        <f>B22</f>
        <v>楼层</v>
      </c>
      <c r="R22" s="714" t="s">
        <v>17</v>
      </c>
      <c r="S22" s="715">
        <f>F22</f>
        <v>100</v>
      </c>
      <c r="T22" s="714" t="s">
        <v>17</v>
      </c>
      <c r="U22" s="715">
        <f>H22</f>
        <v>100</v>
      </c>
      <c r="V22" s="714" t="s">
        <v>17</v>
      </c>
      <c r="W22" s="715">
        <f>J22</f>
        <v>100</v>
      </c>
      <c r="X22" s="1490"/>
      <c r="Y22" s="348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83"/>
      <c r="Q23" s="1487">
        <f>B23</f>
        <v>111</v>
      </c>
      <c r="R23" s="714" t="s">
        <v>17</v>
      </c>
      <c r="S23" s="715">
        <f>F23</f>
        <v>100</v>
      </c>
      <c r="T23" s="714" t="s">
        <v>17</v>
      </c>
      <c r="U23" s="715">
        <f>H23</f>
        <v>100</v>
      </c>
      <c r="V23" s="714" t="s">
        <v>17</v>
      </c>
      <c r="W23" s="715">
        <f>J23</f>
        <v>100</v>
      </c>
      <c r="X23" s="1490"/>
      <c r="Y23" s="348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83"/>
      <c r="Q24" s="1487">
        <f t="shared" ref="Q24:Q34" si="11">B24</f>
        <v>111</v>
      </c>
      <c r="R24" s="714" t="s">
        <v>17</v>
      </c>
      <c r="S24" s="715">
        <f>F24</f>
        <v>100</v>
      </c>
      <c r="T24" s="714" t="s">
        <v>17</v>
      </c>
      <c r="U24" s="715">
        <f>H24</f>
        <v>100</v>
      </c>
      <c r="V24" s="714" t="s">
        <v>17</v>
      </c>
      <c r="W24" s="715">
        <f>J24</f>
        <v>100</v>
      </c>
      <c r="X24" s="1490"/>
      <c r="Y24" s="348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83"/>
      <c r="Q25" s="1478">
        <f t="shared" si="11"/>
        <v>111</v>
      </c>
      <c r="R25" s="710" t="s">
        <v>17</v>
      </c>
      <c r="S25" s="711">
        <f>F25</f>
        <v>100</v>
      </c>
      <c r="T25" s="710" t="s">
        <v>17</v>
      </c>
      <c r="U25" s="711">
        <f>H25</f>
        <v>100</v>
      </c>
      <c r="V25" s="710" t="s">
        <v>17</v>
      </c>
      <c r="W25" s="711">
        <f>J25</f>
        <v>100</v>
      </c>
      <c r="X25" s="712"/>
      <c r="Y25" s="3483"/>
      <c r="Z25" s="55">
        <f>Q25</f>
        <v>111</v>
      </c>
      <c r="AA25" s="1488">
        <f>D25/F25</f>
        <v>1</v>
      </c>
      <c r="AB25" s="1488">
        <f>D25/H25</f>
        <v>1</v>
      </c>
      <c r="AC25" s="1488">
        <f>D25/J25</f>
        <v>1</v>
      </c>
    </row>
    <row r="26" spans="1:29" ht="29.2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06"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7"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87"/>
      <c r="Q27" s="716" t="str">
        <f t="shared" si="11"/>
        <v>成新率</v>
      </c>
      <c r="R27" s="717" t="s">
        <v>17</v>
      </c>
      <c r="S27" s="718" t="e">
        <f t="shared" si="12"/>
        <v>#N/A</v>
      </c>
      <c r="T27" s="717" t="s">
        <v>17</v>
      </c>
      <c r="U27" s="718" t="e">
        <f t="shared" si="13"/>
        <v>#N/A</v>
      </c>
      <c r="V27" s="717" t="s">
        <v>17</v>
      </c>
      <c r="W27" s="718" t="e">
        <f t="shared" si="14"/>
        <v>#N/A</v>
      </c>
      <c r="X27" s="719"/>
      <c r="Y27" s="3487"/>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87"/>
      <c r="Q28" s="1487" t="str">
        <f t="shared" si="11"/>
        <v>物业等级</v>
      </c>
      <c r="R28" s="714" t="s">
        <v>17</v>
      </c>
      <c r="S28" s="715">
        <f t="shared" si="12"/>
        <v>100</v>
      </c>
      <c r="T28" s="714" t="s">
        <v>17</v>
      </c>
      <c r="U28" s="715">
        <f t="shared" si="13"/>
        <v>100</v>
      </c>
      <c r="V28" s="714" t="s">
        <v>17</v>
      </c>
      <c r="W28" s="715">
        <f t="shared" si="14"/>
        <v>100</v>
      </c>
      <c r="X28" s="1490"/>
      <c r="Y28" s="3487"/>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87"/>
      <c r="Q29" s="1487" t="str">
        <f t="shared" si="11"/>
        <v>有无电梯</v>
      </c>
      <c r="R29" s="714" t="s">
        <v>17</v>
      </c>
      <c r="S29" s="715">
        <f t="shared" si="12"/>
        <v>100</v>
      </c>
      <c r="T29" s="714" t="s">
        <v>17</v>
      </c>
      <c r="U29" s="715">
        <f t="shared" si="13"/>
        <v>100</v>
      </c>
      <c r="V29" s="714" t="s">
        <v>17</v>
      </c>
      <c r="W29" s="715">
        <f t="shared" si="14"/>
        <v>100</v>
      </c>
      <c r="X29" s="1490"/>
      <c r="Y29" s="3487"/>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87"/>
      <c r="Q30" s="1487" t="str">
        <f t="shared" si="11"/>
        <v>建筑面积</v>
      </c>
      <c r="R30" s="714" t="s">
        <v>17</v>
      </c>
      <c r="S30" s="715" t="e">
        <f t="shared" si="12"/>
        <v>#N/A</v>
      </c>
      <c r="T30" s="714" t="s">
        <v>17</v>
      </c>
      <c r="U30" s="715" t="e">
        <f t="shared" si="13"/>
        <v>#N/A</v>
      </c>
      <c r="V30" s="714" t="s">
        <v>17</v>
      </c>
      <c r="W30" s="715" t="e">
        <f t="shared" si="14"/>
        <v>#N/A</v>
      </c>
      <c r="X30" s="1490"/>
      <c r="Y30" s="3487"/>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87"/>
      <c r="Q31" s="1478" t="str">
        <f t="shared" si="11"/>
        <v>是否封闭</v>
      </c>
      <c r="R31" s="710" t="s">
        <v>17</v>
      </c>
      <c r="S31" s="711">
        <f t="shared" si="12"/>
        <v>100</v>
      </c>
      <c r="T31" s="710" t="s">
        <v>17</v>
      </c>
      <c r="U31" s="711">
        <f t="shared" si="13"/>
        <v>100</v>
      </c>
      <c r="V31" s="710" t="s">
        <v>17</v>
      </c>
      <c r="W31" s="711">
        <f t="shared" si="14"/>
        <v>100</v>
      </c>
      <c r="X31" s="712"/>
      <c r="Y31" s="348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87" t="s">
        <v>2144</v>
      </c>
      <c r="Q32" s="1487">
        <f t="shared" si="11"/>
        <v>111</v>
      </c>
      <c r="R32" s="714" t="s">
        <v>17</v>
      </c>
      <c r="S32" s="715">
        <f t="shared" si="12"/>
        <v>100</v>
      </c>
      <c r="T32" s="714" t="s">
        <v>17</v>
      </c>
      <c r="U32" s="715">
        <f t="shared" si="13"/>
        <v>100</v>
      </c>
      <c r="V32" s="714" t="s">
        <v>17</v>
      </c>
      <c r="W32" s="715">
        <f t="shared" si="14"/>
        <v>100</v>
      </c>
      <c r="X32" s="1490"/>
      <c r="Y32" s="3487"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87"/>
      <c r="Q33" s="1487">
        <f t="shared" si="11"/>
        <v>111</v>
      </c>
      <c r="R33" s="714" t="s">
        <v>17</v>
      </c>
      <c r="S33" s="715">
        <f t="shared" si="12"/>
        <v>100</v>
      </c>
      <c r="T33" s="714" t="s">
        <v>17</v>
      </c>
      <c r="U33" s="715">
        <f t="shared" si="13"/>
        <v>100</v>
      </c>
      <c r="V33" s="714" t="s">
        <v>17</v>
      </c>
      <c r="W33" s="715">
        <f t="shared" si="14"/>
        <v>100</v>
      </c>
      <c r="X33" s="1490"/>
      <c r="Y33" s="348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87"/>
      <c r="Q34" s="1487">
        <f t="shared" si="11"/>
        <v>111</v>
      </c>
      <c r="R34" s="714" t="s">
        <v>17</v>
      </c>
      <c r="S34" s="715">
        <f t="shared" si="12"/>
        <v>100</v>
      </c>
      <c r="T34" s="714" t="s">
        <v>17</v>
      </c>
      <c r="U34" s="715">
        <f t="shared" si="13"/>
        <v>100</v>
      </c>
      <c r="V34" s="714" t="s">
        <v>17</v>
      </c>
      <c r="W34" s="715">
        <f t="shared" si="14"/>
        <v>100</v>
      </c>
      <c r="X34" s="1490"/>
      <c r="Y34" s="3487"/>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9"/>
      <c r="M35" s="2900"/>
      <c r="N35" s="2891"/>
      <c r="O35" s="2900"/>
      <c r="P35" s="3480" t="str">
        <f>A35</f>
        <v>成交单价（元/平方米）</v>
      </c>
      <c r="Q35" s="3480"/>
      <c r="R35" s="3481">
        <f>E35</f>
        <v>0</v>
      </c>
      <c r="S35" s="3481"/>
      <c r="T35" s="3481">
        <f>G35</f>
        <v>0</v>
      </c>
      <c r="U35" s="3481"/>
      <c r="V35" s="3481">
        <f>I35</f>
        <v>0</v>
      </c>
      <c r="W35" s="3481"/>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80" t="str">
        <f>A36</f>
        <v>比较价值（元/平方米）</v>
      </c>
      <c r="Q36" s="348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9"/>
      <c r="M37" s="2900"/>
      <c r="N37" s="2900"/>
      <c r="O37" s="2900"/>
      <c r="P37" s="3477" t="str">
        <f>A37</f>
        <v>估价对象XX用房的比较价值（楼面单价，元/平方米）</v>
      </c>
      <c r="Q37" s="3478"/>
      <c r="R37" s="3507" t="e">
        <f>IF(F1="售价",ROUND(IF(D36="简单平均",AVERAGE(R36:W36),R36*F36+T36*H36+V36*J36),0),ROUND(IF(D36="简单平均",AVERAGE(R36:V36),R36*F36+T36*H36+V36*J36),1))</f>
        <v>#DIV/0!</v>
      </c>
      <c r="S37" s="3507"/>
      <c r="T37" s="3507"/>
      <c r="U37" s="3507"/>
      <c r="V37" s="3507"/>
      <c r="W37" s="3507"/>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8">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2164</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2129</v>
      </c>
      <c r="B49" s="467"/>
      <c r="C49" s="479" t="s">
        <v>2231</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ht="15">
      <c r="A4" s="361" t="s">
        <v>2224</v>
      </c>
      <c r="B4" s="362"/>
      <c r="C4" s="3463" t="s">
        <v>2225</v>
      </c>
      <c r="D4" s="3464"/>
      <c r="E4" s="3465" t="s">
        <v>2226</v>
      </c>
      <c r="F4" s="3466"/>
      <c r="G4" s="3463" t="s">
        <v>2227</v>
      </c>
      <c r="H4" s="3464"/>
      <c r="I4" s="3463" t="s">
        <v>2228</v>
      </c>
      <c r="J4" s="3464"/>
      <c r="K4" s="567" t="s">
        <v>2229</v>
      </c>
      <c r="L4" s="2890"/>
      <c r="M4" s="2891"/>
      <c r="N4" s="2891"/>
      <c r="O4" s="2891"/>
      <c r="P4" s="3467" t="s">
        <v>2230</v>
      </c>
      <c r="Q4" s="3468"/>
      <c r="R4" s="3450" t="s">
        <v>2226</v>
      </c>
      <c r="S4" s="3451"/>
      <c r="T4" s="3450" t="s">
        <v>2227</v>
      </c>
      <c r="U4" s="3451"/>
      <c r="V4" s="3475" t="s">
        <v>2228</v>
      </c>
      <c r="W4" s="3475"/>
      <c r="X4" s="1490"/>
      <c r="Y4" s="3450" t="s">
        <v>2230</v>
      </c>
      <c r="Z4" s="3451"/>
      <c r="AA4" s="3445" t="s">
        <v>2226</v>
      </c>
      <c r="AB4" s="3446" t="s">
        <v>2227</v>
      </c>
      <c r="AC4" s="3445" t="s">
        <v>2228</v>
      </c>
    </row>
    <row r="5" spans="1:30" ht="15">
      <c r="A5" s="364"/>
      <c r="B5" s="365"/>
      <c r="C5" s="3456" t="s">
        <v>2121</v>
      </c>
      <c r="D5" s="3457"/>
      <c r="E5" s="3454" t="s">
        <v>2122</v>
      </c>
      <c r="F5" s="3455"/>
      <c r="G5" s="3456" t="s">
        <v>2123</v>
      </c>
      <c r="H5" s="3457"/>
      <c r="I5" s="3456" t="s">
        <v>2124</v>
      </c>
      <c r="J5" s="3457"/>
      <c r="K5" s="567"/>
      <c r="L5" s="2890"/>
      <c r="M5" s="2891"/>
      <c r="N5" s="2891"/>
      <c r="O5" s="2891"/>
      <c r="P5" s="3469"/>
      <c r="Q5" s="3470"/>
      <c r="R5" s="3452"/>
      <c r="S5" s="3453"/>
      <c r="T5" s="3452"/>
      <c r="U5" s="3453"/>
      <c r="V5" s="3475"/>
      <c r="W5" s="3475"/>
      <c r="X5" s="1490"/>
      <c r="Y5" s="3452"/>
      <c r="Z5" s="3453"/>
      <c r="AA5" s="3446"/>
      <c r="AB5" s="3446"/>
      <c r="AC5" s="3446"/>
    </row>
    <row r="6" spans="1:30" ht="15.75" thickBot="1">
      <c r="A6" s="366"/>
      <c r="B6" s="367"/>
      <c r="C6" s="3458" t="s">
        <v>2125</v>
      </c>
      <c r="D6" s="3459"/>
      <c r="E6" s="3460" t="s">
        <v>2125</v>
      </c>
      <c r="F6" s="3461"/>
      <c r="G6" s="3458" t="s">
        <v>2125</v>
      </c>
      <c r="H6" s="3459"/>
      <c r="I6" s="3458" t="s">
        <v>2125</v>
      </c>
      <c r="J6" s="3459"/>
      <c r="K6" s="567" t="s">
        <v>2126</v>
      </c>
      <c r="L6" s="2890"/>
      <c r="M6" s="2891"/>
      <c r="N6" s="2891"/>
      <c r="O6" s="2891"/>
      <c r="P6" s="3471"/>
      <c r="Q6" s="3472"/>
      <c r="R6" s="3452"/>
      <c r="S6" s="3453"/>
      <c r="T6" s="3473"/>
      <c r="U6" s="3474"/>
      <c r="V6" s="3475"/>
      <c r="W6" s="3475"/>
      <c r="X6" s="1490"/>
      <c r="Y6" s="3473"/>
      <c r="Z6" s="3474"/>
      <c r="AA6" s="3447"/>
      <c r="AB6" s="3447"/>
      <c r="AC6" s="3447"/>
    </row>
    <row r="7" spans="1:30" s="113" customFormat="1" ht="15.75" thickBot="1">
      <c r="A7" s="368" t="s">
        <v>2127</v>
      </c>
      <c r="B7" s="369"/>
      <c r="C7" s="370">
        <f>'数据-取费表'!B2</f>
        <v>44700</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48" t="s">
        <v>2128</v>
      </c>
      <c r="Q7" s="3476"/>
      <c r="R7" s="710" t="s">
        <v>17</v>
      </c>
      <c r="S7" s="711">
        <f t="shared" ref="S7:S15" si="0">F7</f>
        <v>0</v>
      </c>
      <c r="T7" s="710" t="s">
        <v>17</v>
      </c>
      <c r="U7" s="711">
        <f t="shared" ref="U7:U15" si="1">H7</f>
        <v>0</v>
      </c>
      <c r="V7" s="710" t="s">
        <v>17</v>
      </c>
      <c r="W7" s="711">
        <f t="shared" ref="W7:W15" si="2">J7</f>
        <v>0</v>
      </c>
      <c r="X7" s="712"/>
      <c r="Y7" s="3448" t="s">
        <v>2128</v>
      </c>
      <c r="Z7" s="3449"/>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48" t="s">
        <v>2131</v>
      </c>
      <c r="Q8" s="3449"/>
      <c r="R8" s="710" t="s">
        <v>17</v>
      </c>
      <c r="S8" s="711">
        <f t="shared" si="0"/>
        <v>0</v>
      </c>
      <c r="T8" s="710" t="s">
        <v>17</v>
      </c>
      <c r="U8" s="711">
        <f t="shared" si="1"/>
        <v>0</v>
      </c>
      <c r="V8" s="710" t="s">
        <v>17</v>
      </c>
      <c r="W8" s="711">
        <f t="shared" si="2"/>
        <v>0</v>
      </c>
      <c r="X8" s="712"/>
      <c r="Y8" s="3448" t="s">
        <v>2131</v>
      </c>
      <c r="Z8" s="3449"/>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80"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115</v>
      </c>
      <c r="G10" s="422"/>
      <c r="H10" s="132">
        <f>ROUND(100/'数据-取费表'!G16,0)</f>
        <v>115</v>
      </c>
      <c r="I10" s="422"/>
      <c r="J10" s="132">
        <f>ROUND(100/'数据-取费表'!G16,0)</f>
        <v>115</v>
      </c>
      <c r="K10" s="628"/>
      <c r="L10" s="2894"/>
      <c r="M10" s="2895"/>
      <c r="N10" s="2895"/>
      <c r="O10" s="2948"/>
      <c r="P10" s="3480"/>
      <c r="Q10" s="1478" t="str">
        <f t="shared" si="6"/>
        <v>土地使用年限（年）</v>
      </c>
      <c r="R10" s="710" t="s">
        <v>17</v>
      </c>
      <c r="S10" s="711">
        <f t="shared" si="0"/>
        <v>115</v>
      </c>
      <c r="T10" s="710" t="s">
        <v>17</v>
      </c>
      <c r="U10" s="711">
        <f t="shared" si="1"/>
        <v>115</v>
      </c>
      <c r="V10" s="710" t="s">
        <v>17</v>
      </c>
      <c r="W10" s="711">
        <f t="shared" si="2"/>
        <v>115</v>
      </c>
      <c r="X10" s="712"/>
      <c r="Y10" s="3392"/>
      <c r="Z10" s="55" t="str">
        <f t="shared" si="7"/>
        <v>土地使用年限（年）</v>
      </c>
      <c r="AA10" s="713">
        <f t="shared" si="3"/>
        <v>0.86956521739130432</v>
      </c>
      <c r="AB10" s="713">
        <f t="shared" si="4"/>
        <v>0.86956521739130432</v>
      </c>
      <c r="AC10" s="713">
        <f t="shared" si="5"/>
        <v>0.86956521739130432</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80"/>
      <c r="Q11" s="1478"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80"/>
      <c r="Q12" s="1478" t="str">
        <f t="shared" si="6"/>
        <v>配建</v>
      </c>
      <c r="R12" s="710" t="s">
        <v>17</v>
      </c>
      <c r="S12" s="711">
        <f t="shared" si="0"/>
        <v>100</v>
      </c>
      <c r="T12" s="710" t="s">
        <v>17</v>
      </c>
      <c r="U12" s="711">
        <f t="shared" si="1"/>
        <v>100</v>
      </c>
      <c r="V12" s="710" t="s">
        <v>17</v>
      </c>
      <c r="W12" s="711">
        <f t="shared" si="2"/>
        <v>100</v>
      </c>
      <c r="X12" s="712"/>
      <c r="Y12" s="339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80"/>
      <c r="Q13" s="1478">
        <f t="shared" si="6"/>
        <v>111</v>
      </c>
      <c r="R13" s="710" t="s">
        <v>17</v>
      </c>
      <c r="S13" s="711">
        <f t="shared" si="0"/>
        <v>100</v>
      </c>
      <c r="T13" s="710" t="s">
        <v>17</v>
      </c>
      <c r="U13" s="711">
        <f t="shared" si="1"/>
        <v>100</v>
      </c>
      <c r="V13" s="710" t="s">
        <v>17</v>
      </c>
      <c r="W13" s="711">
        <f t="shared" si="2"/>
        <v>100</v>
      </c>
      <c r="X13" s="712"/>
      <c r="Y13" s="339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80"/>
      <c r="Q14" s="1478">
        <f t="shared" si="6"/>
        <v>111</v>
      </c>
      <c r="R14" s="710" t="s">
        <v>17</v>
      </c>
      <c r="S14" s="711">
        <f t="shared" si="0"/>
        <v>100</v>
      </c>
      <c r="T14" s="710" t="s">
        <v>17</v>
      </c>
      <c r="U14" s="711">
        <f t="shared" si="1"/>
        <v>100</v>
      </c>
      <c r="V14" s="710" t="s">
        <v>17</v>
      </c>
      <c r="W14" s="711">
        <f t="shared" si="2"/>
        <v>100</v>
      </c>
      <c r="X14" s="712"/>
      <c r="Y14" s="3392"/>
      <c r="Z14" s="55">
        <f t="shared" si="7"/>
        <v>111</v>
      </c>
      <c r="AA14" s="713">
        <f>D14/F14</f>
        <v>1</v>
      </c>
      <c r="AB14" s="713">
        <f>D14/H14</f>
        <v>1</v>
      </c>
      <c r="AC14" s="713">
        <f>D14/J14</f>
        <v>1</v>
      </c>
    </row>
    <row r="15" spans="1:30" ht="99.7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82" t="s">
        <v>2139</v>
      </c>
      <c r="Q15" s="1487" t="str">
        <f t="shared" si="6"/>
        <v>居住社区成熟度</v>
      </c>
      <c r="R15" s="714" t="s">
        <v>17</v>
      </c>
      <c r="S15" s="715">
        <f t="shared" si="0"/>
        <v>100</v>
      </c>
      <c r="T15" s="714" t="s">
        <v>17</v>
      </c>
      <c r="U15" s="715">
        <f t="shared" si="1"/>
        <v>100</v>
      </c>
      <c r="V15" s="714" t="s">
        <v>17</v>
      </c>
      <c r="W15" s="715">
        <f t="shared" si="2"/>
        <v>100</v>
      </c>
      <c r="X15" s="1490"/>
      <c r="Y15" s="3482"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7"/>
      <c r="M16" s="2891"/>
      <c r="N16" s="2891"/>
      <c r="O16" s="2949"/>
      <c r="P16" s="3483"/>
      <c r="Q16" s="1487"/>
      <c r="R16" s="714"/>
      <c r="S16" s="715"/>
      <c r="T16" s="714"/>
      <c r="U16" s="715"/>
      <c r="V16" s="714"/>
      <c r="W16" s="715"/>
      <c r="X16" s="1490"/>
      <c r="Y16" s="3483"/>
      <c r="Z16" s="1491"/>
      <c r="AA16" s="1488">
        <v>1</v>
      </c>
      <c r="AB16" s="1488">
        <v>1</v>
      </c>
      <c r="AC16" s="1488">
        <v>1</v>
      </c>
    </row>
    <row r="17" spans="1:29" ht="71.2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83"/>
      <c r="Q17" s="1487" t="str">
        <f>B17</f>
        <v>商业繁华度</v>
      </c>
      <c r="R17" s="714" t="s">
        <v>17</v>
      </c>
      <c r="S17" s="715">
        <f>F17</f>
        <v>100</v>
      </c>
      <c r="T17" s="714" t="s">
        <v>17</v>
      </c>
      <c r="U17" s="715">
        <f>H17</f>
        <v>100</v>
      </c>
      <c r="V17" s="714" t="s">
        <v>17</v>
      </c>
      <c r="W17" s="715">
        <f>J17</f>
        <v>100</v>
      </c>
      <c r="X17" s="1490"/>
      <c r="Y17" s="348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7"/>
      <c r="M18" s="2891"/>
      <c r="N18" s="2891"/>
      <c r="O18" s="2949"/>
      <c r="P18" s="3483"/>
      <c r="Q18" s="1487"/>
      <c r="R18" s="714"/>
      <c r="S18" s="715"/>
      <c r="T18" s="714"/>
      <c r="U18" s="715"/>
      <c r="V18" s="714"/>
      <c r="W18" s="715"/>
      <c r="X18" s="1490"/>
      <c r="Y18" s="3483"/>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83"/>
      <c r="Q19" s="1487" t="str">
        <f>B19</f>
        <v>办公集聚程度</v>
      </c>
      <c r="R19" s="714" t="s">
        <v>17</v>
      </c>
      <c r="S19" s="715">
        <f>F19</f>
        <v>100</v>
      </c>
      <c r="T19" s="714" t="s">
        <v>17</v>
      </c>
      <c r="U19" s="715">
        <f>H19</f>
        <v>100</v>
      </c>
      <c r="V19" s="714" t="s">
        <v>17</v>
      </c>
      <c r="W19" s="715">
        <f>J19</f>
        <v>100</v>
      </c>
      <c r="X19" s="1490"/>
      <c r="Y19" s="348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7"/>
      <c r="M20" s="2891"/>
      <c r="N20" s="2891"/>
      <c r="O20" s="2949"/>
      <c r="P20" s="3483"/>
      <c r="Q20" s="1487"/>
      <c r="R20" s="714"/>
      <c r="S20" s="715"/>
      <c r="T20" s="714"/>
      <c r="U20" s="715"/>
      <c r="V20" s="714"/>
      <c r="W20" s="715"/>
      <c r="X20" s="1490"/>
      <c r="Y20" s="3483"/>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83"/>
      <c r="Q21" s="1487" t="str">
        <f>B21</f>
        <v>交通便捷度</v>
      </c>
      <c r="R21" s="714" t="s">
        <v>17</v>
      </c>
      <c r="S21" s="715">
        <f>F21</f>
        <v>100</v>
      </c>
      <c r="T21" s="714" t="s">
        <v>17</v>
      </c>
      <c r="U21" s="715">
        <f>H21</f>
        <v>100</v>
      </c>
      <c r="V21" s="714" t="s">
        <v>17</v>
      </c>
      <c r="W21" s="715">
        <f>J21</f>
        <v>100</v>
      </c>
      <c r="X21" s="1490"/>
      <c r="Y21" s="348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7"/>
      <c r="M22" s="2891"/>
      <c r="N22" s="2891"/>
      <c r="O22" s="2949"/>
      <c r="P22" s="3483"/>
      <c r="Q22" s="1487"/>
      <c r="R22" s="714"/>
      <c r="S22" s="715"/>
      <c r="T22" s="714"/>
      <c r="U22" s="715"/>
      <c r="V22" s="714"/>
      <c r="W22" s="715"/>
      <c r="X22" s="1490"/>
      <c r="Y22" s="3483"/>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83"/>
      <c r="Q23" s="1487" t="str">
        <f t="shared" ref="Q23:Q37" si="8">B23</f>
        <v>区域土地利用方向</v>
      </c>
      <c r="R23" s="714" t="s">
        <v>17</v>
      </c>
      <c r="S23" s="715">
        <f>F23</f>
        <v>100</v>
      </c>
      <c r="T23" s="714" t="s">
        <v>17</v>
      </c>
      <c r="U23" s="715">
        <f>H23</f>
        <v>100</v>
      </c>
      <c r="V23" s="714" t="s">
        <v>17</v>
      </c>
      <c r="W23" s="715">
        <f>J23</f>
        <v>100</v>
      </c>
      <c r="X23" s="1490"/>
      <c r="Y23" s="348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7"/>
      <c r="M24" s="2891"/>
      <c r="N24" s="2891"/>
      <c r="O24" s="2949"/>
      <c r="P24" s="3483"/>
      <c r="Q24" s="1487"/>
      <c r="R24" s="714"/>
      <c r="S24" s="715"/>
      <c r="T24" s="714"/>
      <c r="U24" s="715"/>
      <c r="V24" s="714"/>
      <c r="W24" s="715"/>
      <c r="X24" s="1490"/>
      <c r="Y24" s="3483"/>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83"/>
      <c r="Q25" s="1487" t="str">
        <f t="shared" si="8"/>
        <v>自然及人文环境状况</v>
      </c>
      <c r="R25" s="714" t="s">
        <v>17</v>
      </c>
      <c r="S25" s="715">
        <f>F25</f>
        <v>100</v>
      </c>
      <c r="T25" s="714" t="s">
        <v>17</v>
      </c>
      <c r="U25" s="715">
        <f>H25</f>
        <v>100</v>
      </c>
      <c r="V25" s="714" t="s">
        <v>17</v>
      </c>
      <c r="W25" s="715">
        <f>J25</f>
        <v>100</v>
      </c>
      <c r="X25" s="1490"/>
      <c r="Y25" s="348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7"/>
      <c r="M26" s="2891"/>
      <c r="N26" s="2891"/>
      <c r="O26" s="2949"/>
      <c r="P26" s="3483"/>
      <c r="Q26" s="1487"/>
      <c r="R26" s="714"/>
      <c r="S26" s="715"/>
      <c r="T26" s="714"/>
      <c r="U26" s="715"/>
      <c r="V26" s="714"/>
      <c r="W26" s="715"/>
      <c r="X26" s="1490"/>
      <c r="Y26" s="3483"/>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83"/>
      <c r="Q27" s="1478" t="str">
        <f t="shared" si="8"/>
        <v>公共配套设施</v>
      </c>
      <c r="R27" s="710" t="s">
        <v>17</v>
      </c>
      <c r="S27" s="711">
        <f>F27</f>
        <v>100</v>
      </c>
      <c r="T27" s="710" t="s">
        <v>17</v>
      </c>
      <c r="U27" s="711">
        <f>H27</f>
        <v>100</v>
      </c>
      <c r="V27" s="710" t="s">
        <v>17</v>
      </c>
      <c r="W27" s="711">
        <f>J27</f>
        <v>100</v>
      </c>
      <c r="X27" s="712"/>
      <c r="Y27" s="348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2"/>
      <c r="M28" s="2893"/>
      <c r="N28" s="2893"/>
      <c r="O28" s="2947"/>
      <c r="P28" s="3483"/>
      <c r="Q28" s="1478"/>
      <c r="R28" s="710"/>
      <c r="S28" s="711"/>
      <c r="T28" s="710"/>
      <c r="U28" s="711"/>
      <c r="V28" s="710"/>
      <c r="W28" s="711"/>
      <c r="X28" s="712"/>
      <c r="Y28" s="3483"/>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83"/>
      <c r="Q29" s="1478"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2"/>
      <c r="M30" s="2893"/>
      <c r="N30" s="2893"/>
      <c r="O30" s="2947"/>
      <c r="P30" s="3483"/>
      <c r="Q30" s="1478"/>
      <c r="R30" s="710"/>
      <c r="S30" s="711"/>
      <c r="T30" s="710"/>
      <c r="U30" s="711"/>
      <c r="V30" s="710"/>
      <c r="W30" s="711"/>
      <c r="X30" s="712"/>
      <c r="Y30" s="3483"/>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8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3"/>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83"/>
      <c r="Q32" s="1487" t="str">
        <f t="shared" si="8"/>
        <v>毗邻道路的类型与等级</v>
      </c>
      <c r="R32" s="714" t="s">
        <v>17</v>
      </c>
      <c r="S32" s="715">
        <f t="shared" si="10"/>
        <v>100</v>
      </c>
      <c r="T32" s="714" t="s">
        <v>17</v>
      </c>
      <c r="U32" s="715">
        <f t="shared" si="11"/>
        <v>100</v>
      </c>
      <c r="V32" s="714" t="s">
        <v>17</v>
      </c>
      <c r="W32" s="715">
        <f t="shared" si="12"/>
        <v>100</v>
      </c>
      <c r="X32" s="1490"/>
      <c r="Y32" s="348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7"/>
      <c r="M33" s="2891"/>
      <c r="N33" s="2891"/>
      <c r="O33" s="2949"/>
      <c r="P33" s="3483"/>
      <c r="Q33" s="1487"/>
      <c r="R33" s="714"/>
      <c r="S33" s="715"/>
      <c r="T33" s="714"/>
      <c r="U33" s="715"/>
      <c r="V33" s="714"/>
      <c r="W33" s="715"/>
      <c r="X33" s="1490"/>
      <c r="Y33" s="3483"/>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83"/>
      <c r="Q34" s="1487" t="str">
        <f t="shared" si="8"/>
        <v>土地级别</v>
      </c>
      <c r="R34" s="714" t="s">
        <v>17</v>
      </c>
      <c r="S34" s="715">
        <f t="shared" si="10"/>
        <v>100</v>
      </c>
      <c r="T34" s="714" t="s">
        <v>17</v>
      </c>
      <c r="U34" s="715">
        <f t="shared" si="11"/>
        <v>100</v>
      </c>
      <c r="V34" s="714" t="s">
        <v>17</v>
      </c>
      <c r="W34" s="715">
        <f t="shared" si="12"/>
        <v>100</v>
      </c>
      <c r="X34" s="1490"/>
      <c r="Y34" s="348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83"/>
      <c r="Q35" s="1487">
        <f t="shared" si="8"/>
        <v>111</v>
      </c>
      <c r="R35" s="714" t="s">
        <v>17</v>
      </c>
      <c r="S35" s="715">
        <f t="shared" si="10"/>
        <v>100</v>
      </c>
      <c r="T35" s="714" t="s">
        <v>17</v>
      </c>
      <c r="U35" s="715">
        <f t="shared" si="11"/>
        <v>100</v>
      </c>
      <c r="V35" s="714" t="s">
        <v>17</v>
      </c>
      <c r="W35" s="715">
        <f t="shared" si="12"/>
        <v>100</v>
      </c>
      <c r="X35" s="1490"/>
      <c r="Y35" s="348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06" t="s">
        <v>2144</v>
      </c>
      <c r="Q36" s="1487">
        <f t="shared" si="8"/>
        <v>111</v>
      </c>
      <c r="R36" s="714" t="s">
        <v>17</v>
      </c>
      <c r="S36" s="715">
        <f t="shared" si="10"/>
        <v>100</v>
      </c>
      <c r="T36" s="714" t="s">
        <v>17</v>
      </c>
      <c r="U36" s="715">
        <f t="shared" si="11"/>
        <v>100</v>
      </c>
      <c r="V36" s="714" t="s">
        <v>17</v>
      </c>
      <c r="W36" s="715">
        <f t="shared" si="12"/>
        <v>100</v>
      </c>
      <c r="X36" s="1490"/>
      <c r="Y36" s="3487"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87"/>
      <c r="Q37" s="1487">
        <f t="shared" si="8"/>
        <v>111</v>
      </c>
      <c r="R37" s="717" t="s">
        <v>17</v>
      </c>
      <c r="S37" s="718">
        <f t="shared" si="10"/>
        <v>100</v>
      </c>
      <c r="T37" s="717" t="s">
        <v>17</v>
      </c>
      <c r="U37" s="718">
        <f t="shared" si="11"/>
        <v>100</v>
      </c>
      <c r="V37" s="717" t="s">
        <v>17</v>
      </c>
      <c r="W37" s="718">
        <f t="shared" si="12"/>
        <v>100</v>
      </c>
      <c r="X37" s="719"/>
      <c r="Y37" s="3487"/>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87"/>
      <c r="Q38" s="1487" t="str">
        <f>B38</f>
        <v>宗地面积</v>
      </c>
      <c r="R38" s="714" t="s">
        <v>17</v>
      </c>
      <c r="S38" s="715" t="e">
        <f t="shared" si="10"/>
        <v>#N/A</v>
      </c>
      <c r="T38" s="714" t="s">
        <v>17</v>
      </c>
      <c r="U38" s="715" t="e">
        <f t="shared" si="11"/>
        <v>#N/A</v>
      </c>
      <c r="V38" s="714" t="s">
        <v>17</v>
      </c>
      <c r="W38" s="715" t="e">
        <f t="shared" si="12"/>
        <v>#N/A</v>
      </c>
      <c r="X38" s="1490"/>
      <c r="Y38" s="3487"/>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87"/>
      <c r="Q39" s="1487" t="str">
        <f t="shared" ref="Q39:Q45" si="14">B39</f>
        <v>宗地形状</v>
      </c>
      <c r="R39" s="714" t="s">
        <v>17</v>
      </c>
      <c r="S39" s="715">
        <f t="shared" si="10"/>
        <v>100</v>
      </c>
      <c r="T39" s="714" t="s">
        <v>17</v>
      </c>
      <c r="U39" s="715">
        <f t="shared" si="11"/>
        <v>100</v>
      </c>
      <c r="V39" s="714" t="s">
        <v>17</v>
      </c>
      <c r="W39" s="715">
        <f t="shared" si="12"/>
        <v>100</v>
      </c>
      <c r="X39" s="1490"/>
      <c r="Y39" s="3487"/>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87"/>
      <c r="Q40" s="1487" t="str">
        <f t="shared" si="14"/>
        <v>临街宽度及深度</v>
      </c>
      <c r="R40" s="714" t="s">
        <v>17</v>
      </c>
      <c r="S40" s="715">
        <f t="shared" si="10"/>
        <v>100</v>
      </c>
      <c r="T40" s="714" t="s">
        <v>17</v>
      </c>
      <c r="U40" s="715">
        <f t="shared" si="11"/>
        <v>100</v>
      </c>
      <c r="V40" s="714" t="s">
        <v>17</v>
      </c>
      <c r="W40" s="715">
        <f t="shared" si="12"/>
        <v>100</v>
      </c>
      <c r="X40" s="1490"/>
      <c r="Y40" s="3487"/>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87"/>
      <c r="Q41" s="1487" t="str">
        <f t="shared" si="14"/>
        <v>宗地开发程度</v>
      </c>
      <c r="R41" s="710" t="s">
        <v>17</v>
      </c>
      <c r="S41" s="711">
        <f t="shared" si="10"/>
        <v>100</v>
      </c>
      <c r="T41" s="710" t="s">
        <v>17</v>
      </c>
      <c r="U41" s="711">
        <f t="shared" si="11"/>
        <v>100</v>
      </c>
      <c r="V41" s="710" t="s">
        <v>17</v>
      </c>
      <c r="W41" s="711">
        <f t="shared" si="12"/>
        <v>100</v>
      </c>
      <c r="X41" s="712"/>
      <c r="Y41" s="3487"/>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87" t="s">
        <v>2144</v>
      </c>
      <c r="Q42" s="1487" t="str">
        <f t="shared" si="14"/>
        <v>工程地质条件</v>
      </c>
      <c r="R42" s="714" t="s">
        <v>17</v>
      </c>
      <c r="S42" s="715">
        <f t="shared" si="10"/>
        <v>100</v>
      </c>
      <c r="T42" s="714" t="s">
        <v>17</v>
      </c>
      <c r="U42" s="715">
        <f t="shared" si="11"/>
        <v>100</v>
      </c>
      <c r="V42" s="714" t="s">
        <v>17</v>
      </c>
      <c r="W42" s="715">
        <f t="shared" si="12"/>
        <v>100</v>
      </c>
      <c r="X42" s="1490"/>
      <c r="Y42" s="3487"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87"/>
      <c r="Q43" s="1487">
        <f t="shared" si="14"/>
        <v>111</v>
      </c>
      <c r="R43" s="714" t="s">
        <v>17</v>
      </c>
      <c r="S43" s="715">
        <f t="shared" si="10"/>
        <v>100</v>
      </c>
      <c r="T43" s="714" t="s">
        <v>17</v>
      </c>
      <c r="U43" s="715">
        <f t="shared" si="11"/>
        <v>100</v>
      </c>
      <c r="V43" s="714" t="s">
        <v>17</v>
      </c>
      <c r="W43" s="715">
        <f t="shared" si="12"/>
        <v>100</v>
      </c>
      <c r="X43" s="1490"/>
      <c r="Y43" s="348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87"/>
      <c r="Q44" s="1487">
        <f t="shared" si="14"/>
        <v>111</v>
      </c>
      <c r="R44" s="714" t="s">
        <v>17</v>
      </c>
      <c r="S44" s="715">
        <f t="shared" si="10"/>
        <v>100</v>
      </c>
      <c r="T44" s="714" t="s">
        <v>17</v>
      </c>
      <c r="U44" s="715">
        <f t="shared" si="11"/>
        <v>100</v>
      </c>
      <c r="V44" s="714" t="s">
        <v>17</v>
      </c>
      <c r="W44" s="715">
        <f t="shared" si="12"/>
        <v>100</v>
      </c>
      <c r="X44" s="1490"/>
      <c r="Y44" s="348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87"/>
      <c r="Q45" s="1487">
        <f t="shared" si="14"/>
        <v>111</v>
      </c>
      <c r="R45" s="717" t="s">
        <v>17</v>
      </c>
      <c r="S45" s="718">
        <f t="shared" si="10"/>
        <v>100</v>
      </c>
      <c r="T45" s="717" t="s">
        <v>17</v>
      </c>
      <c r="U45" s="718">
        <f t="shared" si="11"/>
        <v>100</v>
      </c>
      <c r="V45" s="717" t="s">
        <v>17</v>
      </c>
      <c r="W45" s="718">
        <f t="shared" si="12"/>
        <v>100</v>
      </c>
      <c r="X45" s="719"/>
      <c r="Y45" s="3487"/>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9"/>
      <c r="M46" s="2900"/>
      <c r="N46" s="2891"/>
      <c r="O46" s="2900"/>
      <c r="P46" s="3480" t="str">
        <f>A46</f>
        <v>成交单价</v>
      </c>
      <c r="Q46" s="3480"/>
      <c r="R46" s="3475">
        <f>E46</f>
        <v>0</v>
      </c>
      <c r="S46" s="3475"/>
      <c r="T46" s="3475">
        <f>G46</f>
        <v>0</v>
      </c>
      <c r="U46" s="3475"/>
      <c r="V46" s="3475">
        <f>I46</f>
        <v>0</v>
      </c>
      <c r="W46" s="3475"/>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80" t="str">
        <f>A47</f>
        <v>比较价值（元/平方米）</v>
      </c>
      <c r="Q47" s="3480"/>
      <c r="R47" s="3508" t="e">
        <f>ROUND(PRODUCT(R46,AA7:AA45),0)</f>
        <v>#DIV/0!</v>
      </c>
      <c r="S47" s="3508"/>
      <c r="T47" s="3508" t="e">
        <f>ROUND(PRODUCT(T46,AB7:AB45),0)</f>
        <v>#DIV/0!</v>
      </c>
      <c r="U47" s="3508"/>
      <c r="V47" s="3508" t="e">
        <f>ROUND(PRODUCT(V46,AC7:AC45),0)</f>
        <v>#DIV/0!</v>
      </c>
      <c r="W47" s="350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9"/>
      <c r="M48" s="2900"/>
      <c r="N48" s="2900"/>
      <c r="O48" s="2900"/>
      <c r="P48" s="3477" t="str">
        <f>A48</f>
        <v>估价对象XX用房的比较价值（楼面单价，元/平方米）</v>
      </c>
      <c r="Q48" s="3478"/>
      <c r="R48" s="3509" t="e">
        <f>ROUND(IF(D47="简单平均",AVERAGE(R47:W47),R47*F47+T47*H47+V47*J47),0)</f>
        <v>#DIV/0!</v>
      </c>
      <c r="S48" s="3509"/>
      <c r="T48" s="3509"/>
      <c r="U48" s="3509"/>
      <c r="V48" s="3509"/>
      <c r="W48" s="3509"/>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63" t="s">
        <v>2343</v>
      </c>
      <c r="H55" s="3510"/>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20397.599999999999</v>
      </c>
      <c r="F56" s="998" t="e">
        <f t="shared" ref="F56:F64" si="15">ROUND(B56*E56/10000,0)</f>
        <v>#DIV/0!</v>
      </c>
      <c r="G56" s="3462"/>
      <c r="H56" s="3480"/>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7460.6399999999994</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2359</v>
      </c>
      <c r="B65" s="652" t="s">
        <v>28</v>
      </c>
      <c r="C65" s="652" t="s">
        <v>29</v>
      </c>
      <c r="D65" s="652" t="s">
        <v>816</v>
      </c>
      <c r="E65" s="652">
        <f>IF(B46="楼面地价",SUM(E56:E64),'数据-汇总表'!D3)</f>
        <v>27858.239999999998</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0"/>
      <c r="Q67" s="2900"/>
      <c r="R67" s="2900"/>
      <c r="S67" s="2900"/>
      <c r="T67" s="2900"/>
      <c r="U67" s="2900"/>
      <c r="V67" s="2900"/>
      <c r="W67" s="2900"/>
      <c r="X67" s="2900"/>
      <c r="Y67" s="2900"/>
      <c r="Z67" s="2900"/>
      <c r="AA67" s="2900"/>
      <c r="AB67" s="2900"/>
      <c r="AC67" s="2900"/>
    </row>
    <row r="68" spans="1:29" ht="21.7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4"/>
      <c r="R70" s="2834"/>
      <c r="S70" s="2834"/>
      <c r="T70" s="2834"/>
      <c r="U70" s="2834"/>
      <c r="V70" s="2834"/>
      <c r="W70" s="2834"/>
      <c r="X70" s="2834"/>
      <c r="Y70" s="2834"/>
      <c r="Z70" s="2834"/>
      <c r="AA70" s="2834"/>
      <c r="AB70" s="2834"/>
      <c r="AC70" s="2834"/>
    </row>
    <row r="71" spans="1:29" s="113" customFormat="1" ht="15.75" thickBot="1">
      <c r="A71" s="472" t="s">
        <v>2164</v>
      </c>
      <c r="B71" s="473"/>
      <c r="C71" s="474"/>
      <c r="D71" s="475"/>
      <c r="E71" s="475"/>
      <c r="F71" s="475"/>
      <c r="G71" s="475"/>
      <c r="H71" s="475"/>
      <c r="I71" s="475"/>
      <c r="J71" s="475"/>
      <c r="K71" s="475"/>
      <c r="L71" s="475"/>
      <c r="M71" s="476"/>
      <c r="N71" s="475"/>
      <c r="O71" s="1055"/>
      <c r="P71" s="2914"/>
      <c r="Q71" s="2914"/>
      <c r="R71" s="2834"/>
      <c r="S71" s="2834"/>
      <c r="T71" s="2834"/>
      <c r="U71" s="2834"/>
      <c r="V71" s="2834"/>
      <c r="W71" s="2834"/>
      <c r="X71" s="2834"/>
      <c r="Y71" s="2834"/>
      <c r="Z71" s="2834"/>
      <c r="AA71" s="2834"/>
      <c r="AB71" s="2834"/>
      <c r="AC71" s="2834"/>
    </row>
    <row r="72" spans="1:29" s="113" customFormat="1" ht="15">
      <c r="A72" s="478" t="s">
        <v>2129</v>
      </c>
      <c r="B72" s="467"/>
      <c r="C72" s="479" t="s">
        <v>2231</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63" t="s">
        <v>2225</v>
      </c>
      <c r="D4" s="3464"/>
      <c r="E4" s="3465" t="s">
        <v>2226</v>
      </c>
      <c r="F4" s="3466"/>
      <c r="G4" s="3463" t="s">
        <v>2227</v>
      </c>
      <c r="H4" s="3464"/>
      <c r="I4" s="3463" t="s">
        <v>2228</v>
      </c>
      <c r="J4" s="3464"/>
      <c r="K4" s="567" t="s">
        <v>2229</v>
      </c>
      <c r="L4" s="2890"/>
      <c r="M4" s="2891"/>
      <c r="N4" s="2891"/>
      <c r="O4" s="2891"/>
      <c r="P4" s="3467" t="s">
        <v>2230</v>
      </c>
      <c r="Q4" s="3468"/>
      <c r="R4" s="3450" t="s">
        <v>2226</v>
      </c>
      <c r="S4" s="3451"/>
      <c r="T4" s="3450" t="s">
        <v>2227</v>
      </c>
      <c r="U4" s="3451"/>
      <c r="V4" s="3475" t="s">
        <v>2228</v>
      </c>
      <c r="W4" s="3475"/>
      <c r="X4" s="1490"/>
      <c r="Y4" s="3450" t="s">
        <v>2230</v>
      </c>
      <c r="Z4" s="3451"/>
      <c r="AA4" s="3445" t="s">
        <v>2226</v>
      </c>
      <c r="AB4" s="3446" t="s">
        <v>2227</v>
      </c>
      <c r="AC4" s="3445" t="s">
        <v>2228</v>
      </c>
    </row>
    <row r="5" spans="1:29" ht="15">
      <c r="A5" s="364"/>
      <c r="B5" s="365"/>
      <c r="C5" s="3456" t="s">
        <v>2121</v>
      </c>
      <c r="D5" s="3457"/>
      <c r="E5" s="3454" t="s">
        <v>2122</v>
      </c>
      <c r="F5" s="3455"/>
      <c r="G5" s="3456" t="s">
        <v>2123</v>
      </c>
      <c r="H5" s="3457"/>
      <c r="I5" s="3456" t="s">
        <v>2124</v>
      </c>
      <c r="J5" s="3457"/>
      <c r="K5" s="567"/>
      <c r="L5" s="2890"/>
      <c r="M5" s="2891"/>
      <c r="N5" s="2891"/>
      <c r="O5" s="2891"/>
      <c r="P5" s="3469"/>
      <c r="Q5" s="3470"/>
      <c r="R5" s="3452"/>
      <c r="S5" s="3453"/>
      <c r="T5" s="3452"/>
      <c r="U5" s="3453"/>
      <c r="V5" s="3475"/>
      <c r="W5" s="3475"/>
      <c r="X5" s="1490"/>
      <c r="Y5" s="3452"/>
      <c r="Z5" s="3453"/>
      <c r="AA5" s="3446"/>
      <c r="AB5" s="3446"/>
      <c r="AC5" s="3446"/>
    </row>
    <row r="6" spans="1:29" ht="15.75" thickBot="1">
      <c r="A6" s="366"/>
      <c r="B6" s="367"/>
      <c r="C6" s="3511" t="s">
        <v>2375</v>
      </c>
      <c r="D6" s="3512"/>
      <c r="E6" s="3513" t="s">
        <v>2375</v>
      </c>
      <c r="F6" s="3514"/>
      <c r="G6" s="3511" t="s">
        <v>2375</v>
      </c>
      <c r="H6" s="3512"/>
      <c r="I6" s="3511" t="s">
        <v>2375</v>
      </c>
      <c r="J6" s="3512"/>
      <c r="K6" s="567" t="s">
        <v>2126</v>
      </c>
      <c r="L6" s="2890"/>
      <c r="M6" s="2891"/>
      <c r="N6" s="2891"/>
      <c r="O6" s="2891"/>
      <c r="P6" s="3471"/>
      <c r="Q6" s="3472"/>
      <c r="R6" s="3452"/>
      <c r="S6" s="3453"/>
      <c r="T6" s="3473"/>
      <c r="U6" s="3474"/>
      <c r="V6" s="3475"/>
      <c r="W6" s="3475"/>
      <c r="X6" s="1490"/>
      <c r="Y6" s="3473"/>
      <c r="Z6" s="3474"/>
      <c r="AA6" s="3447"/>
      <c r="AB6" s="3447"/>
      <c r="AC6" s="3447"/>
    </row>
    <row r="7" spans="1:29" s="113" customFormat="1" ht="15.75" thickBot="1">
      <c r="A7" s="368" t="s">
        <v>2127</v>
      </c>
      <c r="B7" s="369"/>
      <c r="C7" s="370">
        <f>'数据-取费表'!B2</f>
        <v>44700</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48" t="s">
        <v>2128</v>
      </c>
      <c r="Q7" s="3476"/>
      <c r="R7" s="710" t="s">
        <v>17</v>
      </c>
      <c r="S7" s="711">
        <f t="shared" ref="S7:S15" si="0">F7</f>
        <v>0</v>
      </c>
      <c r="T7" s="710" t="s">
        <v>17</v>
      </c>
      <c r="U7" s="711">
        <f t="shared" ref="U7:U15" si="1">H7</f>
        <v>0</v>
      </c>
      <c r="V7" s="710" t="s">
        <v>17</v>
      </c>
      <c r="W7" s="711">
        <f t="shared" ref="W7:W15" si="2">J7</f>
        <v>0</v>
      </c>
      <c r="X7" s="712"/>
      <c r="Y7" s="3448" t="s">
        <v>2128</v>
      </c>
      <c r="Z7" s="3449"/>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48" t="s">
        <v>2131</v>
      </c>
      <c r="Q8" s="3449"/>
      <c r="R8" s="710" t="s">
        <v>17</v>
      </c>
      <c r="S8" s="711">
        <f t="shared" si="0"/>
        <v>0</v>
      </c>
      <c r="T8" s="710" t="s">
        <v>17</v>
      </c>
      <c r="U8" s="711">
        <f t="shared" si="1"/>
        <v>0</v>
      </c>
      <c r="V8" s="710" t="s">
        <v>17</v>
      </c>
      <c r="W8" s="711">
        <f t="shared" si="2"/>
        <v>0</v>
      </c>
      <c r="X8" s="712"/>
      <c r="Y8" s="3448" t="s">
        <v>2131</v>
      </c>
      <c r="Z8" s="3449"/>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80" t="s">
        <v>2134</v>
      </c>
      <c r="Q9" s="1478" t="str">
        <f t="shared" ref="Q9:Q15" si="6">B9</f>
        <v>用途</v>
      </c>
      <c r="R9" s="710" t="s">
        <v>17</v>
      </c>
      <c r="S9" s="711">
        <f t="shared" si="0"/>
        <v>100</v>
      </c>
      <c r="T9" s="710" t="s">
        <v>17</v>
      </c>
      <c r="U9" s="711">
        <f t="shared" si="1"/>
        <v>100</v>
      </c>
      <c r="V9" s="710" t="s">
        <v>17</v>
      </c>
      <c r="W9" s="711">
        <f t="shared" si="2"/>
        <v>100</v>
      </c>
      <c r="X9" s="712"/>
      <c r="Y9" s="339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115</v>
      </c>
      <c r="G10" s="391"/>
      <c r="H10" s="132">
        <f>ROUND(100/'数据-取费表'!G16,0)</f>
        <v>115</v>
      </c>
      <c r="I10" s="391"/>
      <c r="J10" s="132">
        <f>ROUND(100/'数据-取费表'!G16,0)</f>
        <v>115</v>
      </c>
      <c r="K10" s="628"/>
      <c r="L10" s="2894"/>
      <c r="M10" s="2895"/>
      <c r="N10" s="2895"/>
      <c r="O10" s="2948"/>
      <c r="P10" s="3480"/>
      <c r="Q10" s="1478" t="str">
        <f t="shared" si="6"/>
        <v>土地使用年限（年）</v>
      </c>
      <c r="R10" s="710" t="s">
        <v>17</v>
      </c>
      <c r="S10" s="711">
        <f t="shared" si="0"/>
        <v>115</v>
      </c>
      <c r="T10" s="710" t="s">
        <v>17</v>
      </c>
      <c r="U10" s="711">
        <f t="shared" si="1"/>
        <v>115</v>
      </c>
      <c r="V10" s="710" t="s">
        <v>17</v>
      </c>
      <c r="W10" s="711">
        <f t="shared" si="2"/>
        <v>115</v>
      </c>
      <c r="X10" s="712"/>
      <c r="Y10" s="3392"/>
      <c r="Z10" s="55" t="str">
        <f t="shared" si="7"/>
        <v>土地使用年限（年）</v>
      </c>
      <c r="AA10" s="713">
        <f t="shared" si="3"/>
        <v>0.86956521739130432</v>
      </c>
      <c r="AB10" s="713">
        <f t="shared" si="4"/>
        <v>0.86956521739130432</v>
      </c>
      <c r="AC10" s="713">
        <f t="shared" si="5"/>
        <v>0.86956521739130432</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80"/>
      <c r="Q11" s="1478"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80"/>
      <c r="Q12" s="1478">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80"/>
      <c r="Q13" s="1478">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80"/>
      <c r="Q14" s="1478">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2138</v>
      </c>
      <c r="B15" s="585" t="s">
        <v>2376</v>
      </c>
      <c r="C15" s="2108"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82" t="s">
        <v>2139</v>
      </c>
      <c r="Q15" s="1487" t="str">
        <f t="shared" si="6"/>
        <v>产业集聚程度</v>
      </c>
      <c r="R15" s="714" t="s">
        <v>17</v>
      </c>
      <c r="S15" s="715">
        <f t="shared" si="0"/>
        <v>100</v>
      </c>
      <c r="T15" s="714" t="s">
        <v>17</v>
      </c>
      <c r="U15" s="715">
        <f t="shared" si="1"/>
        <v>100</v>
      </c>
      <c r="V15" s="714" t="s">
        <v>17</v>
      </c>
      <c r="W15" s="715">
        <f t="shared" si="2"/>
        <v>100</v>
      </c>
      <c r="X15" s="1490"/>
      <c r="Y15" s="3482"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7"/>
      <c r="M16" s="2891"/>
      <c r="N16" s="2891"/>
      <c r="O16" s="2949"/>
      <c r="P16" s="3483"/>
      <c r="Q16" s="1487"/>
      <c r="R16" s="714"/>
      <c r="S16" s="715"/>
      <c r="T16" s="714"/>
      <c r="U16" s="715"/>
      <c r="V16" s="714"/>
      <c r="W16" s="715"/>
      <c r="X16" s="1490"/>
      <c r="Y16" s="3483"/>
      <c r="Z16" s="1491"/>
      <c r="AA16" s="1488">
        <v>1</v>
      </c>
      <c r="AB16" s="1488">
        <v>1</v>
      </c>
      <c r="AC16" s="1488">
        <v>1</v>
      </c>
    </row>
    <row r="17" spans="1:29" ht="85.5">
      <c r="A17" s="387"/>
      <c r="B17" s="587" t="s">
        <v>2288</v>
      </c>
      <c r="C17" s="2037"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83"/>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7"/>
      <c r="M18" s="2891"/>
      <c r="N18" s="2891"/>
      <c r="O18" s="2949"/>
      <c r="P18" s="3483"/>
      <c r="Q18" s="1487"/>
      <c r="R18" s="714"/>
      <c r="S18" s="715"/>
      <c r="T18" s="714"/>
      <c r="U18" s="715"/>
      <c r="V18" s="714"/>
      <c r="W18" s="715"/>
      <c r="X18" s="1490"/>
      <c r="Y18" s="3483"/>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83"/>
      <c r="Q19" s="1487" t="str">
        <f t="shared" ref="Q19:Q33" si="8">B19</f>
        <v>区域土地利用方向</v>
      </c>
      <c r="R19" s="714" t="s">
        <v>17</v>
      </c>
      <c r="S19" s="715">
        <f>F19</f>
        <v>100</v>
      </c>
      <c r="T19" s="714" t="s">
        <v>17</v>
      </c>
      <c r="U19" s="715">
        <f>H19</f>
        <v>100</v>
      </c>
      <c r="V19" s="714" t="s">
        <v>17</v>
      </c>
      <c r="W19" s="715">
        <f>J19</f>
        <v>100</v>
      </c>
      <c r="X19" s="1490"/>
      <c r="Y19" s="348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7"/>
      <c r="M20" s="2891"/>
      <c r="N20" s="2891"/>
      <c r="O20" s="2949"/>
      <c r="P20" s="3483"/>
      <c r="Q20" s="1487"/>
      <c r="R20" s="714"/>
      <c r="S20" s="715"/>
      <c r="T20" s="714"/>
      <c r="U20" s="715"/>
      <c r="V20" s="714"/>
      <c r="W20" s="715"/>
      <c r="X20" s="1490"/>
      <c r="Y20" s="3483"/>
      <c r="Z20" s="1491"/>
      <c r="AA20" s="1488"/>
      <c r="AB20" s="1488"/>
      <c r="AC20" s="1488"/>
    </row>
    <row r="21" spans="1:29" ht="71.25">
      <c r="A21" s="364"/>
      <c r="B21" s="587" t="s">
        <v>2377</v>
      </c>
      <c r="C21" s="2037"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83"/>
      <c r="Q21" s="1487" t="str">
        <f t="shared" si="8"/>
        <v>环境状况</v>
      </c>
      <c r="R21" s="714" t="s">
        <v>17</v>
      </c>
      <c r="S21" s="715">
        <f>F21</f>
        <v>100</v>
      </c>
      <c r="T21" s="714" t="s">
        <v>17</v>
      </c>
      <c r="U21" s="715">
        <f>H21</f>
        <v>100</v>
      </c>
      <c r="V21" s="714" t="s">
        <v>17</v>
      </c>
      <c r="W21" s="715">
        <f>J21</f>
        <v>100</v>
      </c>
      <c r="X21" s="1490"/>
      <c r="Y21" s="348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7"/>
      <c r="M22" s="2891"/>
      <c r="N22" s="2891"/>
      <c r="O22" s="2949"/>
      <c r="P22" s="3483"/>
      <c r="Q22" s="1487"/>
      <c r="R22" s="714"/>
      <c r="S22" s="715"/>
      <c r="T22" s="714"/>
      <c r="U22" s="715"/>
      <c r="V22" s="714"/>
      <c r="W22" s="715"/>
      <c r="X22" s="1490"/>
      <c r="Y22" s="3483"/>
      <c r="Z22" s="1491"/>
      <c r="AA22" s="1488">
        <v>1</v>
      </c>
      <c r="AB22" s="1488">
        <v>1</v>
      </c>
      <c r="AC22" s="1488">
        <v>1</v>
      </c>
    </row>
    <row r="23" spans="1:29" s="113" customFormat="1" ht="42.75">
      <c r="A23" s="605"/>
      <c r="B23" s="589" t="s">
        <v>2233</v>
      </c>
      <c r="C23" s="2037"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83"/>
      <c r="Q23" s="1478" t="str">
        <f t="shared" si="8"/>
        <v>公共配套设施</v>
      </c>
      <c r="R23" s="710" t="s">
        <v>17</v>
      </c>
      <c r="S23" s="711">
        <f>F23</f>
        <v>100</v>
      </c>
      <c r="T23" s="710" t="s">
        <v>17</v>
      </c>
      <c r="U23" s="711">
        <f>H23</f>
        <v>100</v>
      </c>
      <c r="V23" s="710" t="s">
        <v>17</v>
      </c>
      <c r="W23" s="711">
        <f>J23</f>
        <v>100</v>
      </c>
      <c r="X23" s="712"/>
      <c r="Y23" s="348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2"/>
      <c r="M24" s="2893"/>
      <c r="N24" s="2893"/>
      <c r="O24" s="2947"/>
      <c r="P24" s="3483"/>
      <c r="Q24" s="1478"/>
      <c r="R24" s="710"/>
      <c r="S24" s="711"/>
      <c r="T24" s="710"/>
      <c r="U24" s="711"/>
      <c r="V24" s="710"/>
      <c r="W24" s="711"/>
      <c r="X24" s="712"/>
      <c r="Y24" s="3483"/>
      <c r="Z24" s="55"/>
      <c r="AA24" s="713">
        <v>1</v>
      </c>
      <c r="AB24" s="713">
        <v>1</v>
      </c>
      <c r="AC24" s="713">
        <v>1</v>
      </c>
    </row>
    <row r="25" spans="1:29" s="113" customFormat="1" ht="28.5">
      <c r="A25" s="605"/>
      <c r="B25" s="589" t="s">
        <v>2234</v>
      </c>
      <c r="C25" s="2037"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83"/>
      <c r="Q25" s="1478"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2"/>
      <c r="M26" s="2893"/>
      <c r="N26" s="2893"/>
      <c r="O26" s="2947"/>
      <c r="P26" s="3483"/>
      <c r="Q26" s="1478"/>
      <c r="R26" s="710"/>
      <c r="S26" s="711"/>
      <c r="T26" s="710"/>
      <c r="U26" s="711"/>
      <c r="V26" s="710"/>
      <c r="W26" s="711"/>
      <c r="X26" s="712"/>
      <c r="Y26" s="348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8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3"/>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83"/>
      <c r="Q28" s="1487" t="str">
        <f t="shared" si="8"/>
        <v>毗邻道路的类型与等级</v>
      </c>
      <c r="R28" s="714" t="s">
        <v>17</v>
      </c>
      <c r="S28" s="715">
        <f t="shared" si="10"/>
        <v>100</v>
      </c>
      <c r="T28" s="714" t="s">
        <v>17</v>
      </c>
      <c r="U28" s="715">
        <f t="shared" si="11"/>
        <v>100</v>
      </c>
      <c r="V28" s="714" t="s">
        <v>17</v>
      </c>
      <c r="W28" s="715">
        <f t="shared" si="12"/>
        <v>100</v>
      </c>
      <c r="X28" s="1490"/>
      <c r="Y28" s="348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7"/>
      <c r="M29" s="2891"/>
      <c r="N29" s="2891"/>
      <c r="O29" s="2949"/>
      <c r="P29" s="3483"/>
      <c r="Q29" s="1487"/>
      <c r="R29" s="714"/>
      <c r="S29" s="715"/>
      <c r="T29" s="714"/>
      <c r="U29" s="715"/>
      <c r="V29" s="714"/>
      <c r="W29" s="715"/>
      <c r="X29" s="1490"/>
      <c r="Y29" s="3483"/>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83"/>
      <c r="Q30" s="1487" t="str">
        <f t="shared" si="8"/>
        <v>土地级别</v>
      </c>
      <c r="R30" s="714" t="s">
        <v>17</v>
      </c>
      <c r="S30" s="715">
        <f t="shared" si="10"/>
        <v>100</v>
      </c>
      <c r="T30" s="714" t="s">
        <v>17</v>
      </c>
      <c r="U30" s="715">
        <f t="shared" si="11"/>
        <v>100</v>
      </c>
      <c r="V30" s="714" t="s">
        <v>17</v>
      </c>
      <c r="W30" s="715">
        <f t="shared" si="12"/>
        <v>100</v>
      </c>
      <c r="X30" s="1490"/>
      <c r="Y30" s="348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83"/>
      <c r="Q31" s="1487">
        <f t="shared" si="8"/>
        <v>111</v>
      </c>
      <c r="R31" s="714" t="s">
        <v>17</v>
      </c>
      <c r="S31" s="715">
        <f t="shared" si="10"/>
        <v>100</v>
      </c>
      <c r="T31" s="714" t="s">
        <v>17</v>
      </c>
      <c r="U31" s="715">
        <f t="shared" si="11"/>
        <v>100</v>
      </c>
      <c r="V31" s="714" t="s">
        <v>17</v>
      </c>
      <c r="W31" s="715">
        <f t="shared" si="12"/>
        <v>100</v>
      </c>
      <c r="X31" s="1490"/>
      <c r="Y31" s="348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06" t="s">
        <v>2144</v>
      </c>
      <c r="Q32" s="1487">
        <f t="shared" si="8"/>
        <v>111</v>
      </c>
      <c r="R32" s="714" t="s">
        <v>17</v>
      </c>
      <c r="S32" s="715">
        <f t="shared" si="10"/>
        <v>100</v>
      </c>
      <c r="T32" s="714" t="s">
        <v>17</v>
      </c>
      <c r="U32" s="715">
        <f t="shared" si="11"/>
        <v>100</v>
      </c>
      <c r="V32" s="714" t="s">
        <v>17</v>
      </c>
      <c r="W32" s="715">
        <f t="shared" si="12"/>
        <v>100</v>
      </c>
      <c r="X32" s="1490"/>
      <c r="Y32" s="3487"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87"/>
      <c r="Q33" s="1487">
        <f t="shared" si="8"/>
        <v>111</v>
      </c>
      <c r="R33" s="717" t="s">
        <v>17</v>
      </c>
      <c r="S33" s="718">
        <f t="shared" si="10"/>
        <v>100</v>
      </c>
      <c r="T33" s="717" t="s">
        <v>17</v>
      </c>
      <c r="U33" s="718">
        <f t="shared" si="11"/>
        <v>100</v>
      </c>
      <c r="V33" s="717" t="s">
        <v>17</v>
      </c>
      <c r="W33" s="718">
        <f t="shared" si="12"/>
        <v>100</v>
      </c>
      <c r="X33" s="719"/>
      <c r="Y33" s="3487"/>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87"/>
      <c r="Q34" s="1487" t="str">
        <f>B34</f>
        <v>宗地面积</v>
      </c>
      <c r="R34" s="714" t="s">
        <v>17</v>
      </c>
      <c r="S34" s="715" t="e">
        <f t="shared" si="10"/>
        <v>#N/A</v>
      </c>
      <c r="T34" s="714" t="s">
        <v>17</v>
      </c>
      <c r="U34" s="715" t="e">
        <f t="shared" si="11"/>
        <v>#N/A</v>
      </c>
      <c r="V34" s="714" t="s">
        <v>17</v>
      </c>
      <c r="W34" s="715" t="e">
        <f t="shared" si="12"/>
        <v>#N/A</v>
      </c>
      <c r="X34" s="1490"/>
      <c r="Y34" s="3487"/>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87"/>
      <c r="Q35" s="1487" t="str">
        <f t="shared" ref="Q35:Q40" si="14">B35</f>
        <v>宗地形状</v>
      </c>
      <c r="R35" s="714" t="s">
        <v>17</v>
      </c>
      <c r="S35" s="715">
        <f t="shared" si="10"/>
        <v>100</v>
      </c>
      <c r="T35" s="714" t="s">
        <v>17</v>
      </c>
      <c r="U35" s="715">
        <f t="shared" si="11"/>
        <v>100</v>
      </c>
      <c r="V35" s="714" t="s">
        <v>17</v>
      </c>
      <c r="W35" s="715">
        <f t="shared" si="12"/>
        <v>100</v>
      </c>
      <c r="X35" s="1490"/>
      <c r="Y35" s="3487"/>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87"/>
      <c r="Q36" s="1487" t="str">
        <f t="shared" si="14"/>
        <v>宗地开发程度</v>
      </c>
      <c r="R36" s="710" t="s">
        <v>17</v>
      </c>
      <c r="S36" s="711">
        <f t="shared" si="10"/>
        <v>100</v>
      </c>
      <c r="T36" s="710" t="s">
        <v>17</v>
      </c>
      <c r="U36" s="711">
        <f t="shared" si="11"/>
        <v>100</v>
      </c>
      <c r="V36" s="710" t="s">
        <v>17</v>
      </c>
      <c r="W36" s="711">
        <f t="shared" si="12"/>
        <v>100</v>
      </c>
      <c r="X36" s="712"/>
      <c r="Y36" s="3487"/>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87" t="s">
        <v>2144</v>
      </c>
      <c r="Q37" s="1487" t="str">
        <f t="shared" si="14"/>
        <v>工程地质条件</v>
      </c>
      <c r="R37" s="714" t="s">
        <v>17</v>
      </c>
      <c r="S37" s="715">
        <f t="shared" si="10"/>
        <v>100</v>
      </c>
      <c r="T37" s="714" t="s">
        <v>17</v>
      </c>
      <c r="U37" s="715">
        <f t="shared" si="11"/>
        <v>100</v>
      </c>
      <c r="V37" s="714" t="s">
        <v>17</v>
      </c>
      <c r="W37" s="715">
        <f t="shared" si="12"/>
        <v>100</v>
      </c>
      <c r="X37" s="1490"/>
      <c r="Y37" s="3487"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87"/>
      <c r="Q38" s="1487">
        <f t="shared" si="14"/>
        <v>111</v>
      </c>
      <c r="R38" s="714" t="s">
        <v>17</v>
      </c>
      <c r="S38" s="715">
        <f t="shared" si="10"/>
        <v>100</v>
      </c>
      <c r="T38" s="714" t="s">
        <v>17</v>
      </c>
      <c r="U38" s="715">
        <f t="shared" si="11"/>
        <v>100</v>
      </c>
      <c r="V38" s="714" t="s">
        <v>17</v>
      </c>
      <c r="W38" s="715">
        <f t="shared" si="12"/>
        <v>100</v>
      </c>
      <c r="X38" s="1490"/>
      <c r="Y38" s="348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87"/>
      <c r="Q39" s="1487">
        <f t="shared" si="14"/>
        <v>111</v>
      </c>
      <c r="R39" s="714" t="s">
        <v>17</v>
      </c>
      <c r="S39" s="715">
        <f t="shared" si="10"/>
        <v>100</v>
      </c>
      <c r="T39" s="714" t="s">
        <v>17</v>
      </c>
      <c r="U39" s="715">
        <f t="shared" si="11"/>
        <v>100</v>
      </c>
      <c r="V39" s="714" t="s">
        <v>17</v>
      </c>
      <c r="W39" s="715">
        <f t="shared" si="12"/>
        <v>100</v>
      </c>
      <c r="X39" s="1490"/>
      <c r="Y39" s="348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87"/>
      <c r="Q40" s="1487">
        <f t="shared" si="14"/>
        <v>111</v>
      </c>
      <c r="R40" s="717" t="s">
        <v>17</v>
      </c>
      <c r="S40" s="718">
        <f t="shared" si="10"/>
        <v>100</v>
      </c>
      <c r="T40" s="717" t="s">
        <v>17</v>
      </c>
      <c r="U40" s="718">
        <f t="shared" si="11"/>
        <v>100</v>
      </c>
      <c r="V40" s="717" t="s">
        <v>17</v>
      </c>
      <c r="W40" s="718">
        <f t="shared" si="12"/>
        <v>100</v>
      </c>
      <c r="X40" s="719"/>
      <c r="Y40" s="3487"/>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9"/>
      <c r="M41" s="2891"/>
      <c r="N41" s="2891"/>
      <c r="O41" s="2900"/>
      <c r="P41" s="3480" t="str">
        <f>A41</f>
        <v>成交单价</v>
      </c>
      <c r="Q41" s="3480"/>
      <c r="R41" s="3475">
        <f>E41</f>
        <v>0</v>
      </c>
      <c r="S41" s="3475"/>
      <c r="T41" s="3475">
        <f>G41</f>
        <v>0</v>
      </c>
      <c r="U41" s="3475"/>
      <c r="V41" s="3475">
        <f>I41</f>
        <v>0</v>
      </c>
      <c r="W41" s="3475"/>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80" t="str">
        <f>A42</f>
        <v>比较价值（元/平方米）</v>
      </c>
      <c r="Q42" s="3480"/>
      <c r="R42" s="3508" t="e">
        <f>ROUND(PRODUCT(R41,AA7:AA40),0)</f>
        <v>#DIV/0!</v>
      </c>
      <c r="S42" s="3508"/>
      <c r="T42" s="3508" t="e">
        <f>ROUND(PRODUCT(T41,AB7:AB40),0)</f>
        <v>#DIV/0!</v>
      </c>
      <c r="U42" s="3508"/>
      <c r="V42" s="3508" t="e">
        <f>ROUND(PRODUCT(V41,AC7:AC40),0)</f>
        <v>#DIV/0!</v>
      </c>
      <c r="W42" s="3508"/>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9"/>
      <c r="M43" s="2891"/>
      <c r="N43" s="2891"/>
      <c r="O43" s="2900"/>
      <c r="P43" s="3477" t="str">
        <f>A43</f>
        <v>估价对象XX用房的比较价值（楼面单价，元/平方米）</v>
      </c>
      <c r="Q43" s="3478"/>
      <c r="R43" s="3509" t="e">
        <f>ROUND(IF(D42="简单平均",AVERAGE(R42:W42),R42*F42+T42*H42+V42*J42),0)</f>
        <v>#DIV/0!</v>
      </c>
      <c r="S43" s="3509"/>
      <c r="T43" s="3509"/>
      <c r="U43" s="3509"/>
      <c r="V43" s="3509"/>
      <c r="W43" s="3509"/>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2337</v>
      </c>
      <c r="B50" s="641" t="s">
        <v>2338</v>
      </c>
      <c r="C50" s="2120" t="s">
        <v>2339</v>
      </c>
      <c r="D50" s="2121" t="s">
        <v>2340</v>
      </c>
      <c r="E50" s="642" t="s">
        <v>2341</v>
      </c>
      <c r="F50" s="643" t="s">
        <v>2342</v>
      </c>
      <c r="G50" s="3463" t="s">
        <v>2343</v>
      </c>
      <c r="H50" s="3510"/>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20397.599999999999</v>
      </c>
      <c r="F51" s="647" t="e">
        <f t="shared" ref="F51:F60" si="15">ROUND(B51*E51/10000,0)</f>
        <v>#DIV/0!</v>
      </c>
      <c r="G51" s="3462"/>
      <c r="H51" s="3480"/>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7460.6399999999994</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2359</v>
      </c>
      <c r="B61" s="652" t="s">
        <v>28</v>
      </c>
      <c r="C61" s="652" t="s">
        <v>29</v>
      </c>
      <c r="D61" s="652" t="s">
        <v>816</v>
      </c>
      <c r="E61" s="652">
        <f>IF(B41="楼面地价",SUM(E51:E60),'数据-汇总表'!D3)</f>
        <v>9429.73</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0"/>
      <c r="Q63" s="2900"/>
      <c r="R63" s="2900"/>
      <c r="S63" s="2900"/>
      <c r="T63" s="2900"/>
      <c r="U63" s="2900"/>
      <c r="V63" s="2900"/>
      <c r="W63" s="2900"/>
      <c r="X63" s="2900"/>
      <c r="Y63" s="2900"/>
      <c r="Z63" s="2900"/>
      <c r="AA63" s="2900"/>
      <c r="AB63" s="2900"/>
      <c r="AC63" s="2900"/>
      <c r="AD63" s="2900"/>
      <c r="AE63" s="2900"/>
    </row>
    <row r="64" spans="1:31" ht="21.7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2164</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2129</v>
      </c>
      <c r="B68" s="467"/>
      <c r="C68" s="479" t="s">
        <v>2231</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五级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2.16</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4"/>
      <c r="B4" s="3535"/>
      <c r="C4" s="3535"/>
      <c r="D4" s="3536"/>
      <c r="E4" s="3536"/>
      <c r="F4" s="3536"/>
      <c r="G4" s="3536"/>
      <c r="H4" s="3536"/>
      <c r="I4" s="3536"/>
      <c r="J4" s="353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1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五级</v>
      </c>
      <c r="Y7" s="1329" t="s">
        <v>2414</v>
      </c>
      <c r="Z7" s="1330">
        <f>G3</f>
        <v>2.16</v>
      </c>
      <c r="AA7" s="1331"/>
      <c r="AB7" s="1331"/>
      <c r="AC7" s="1332"/>
      <c r="AD7" s="1333"/>
      <c r="AE7" s="1333"/>
      <c r="AF7" s="1333"/>
      <c r="AG7" s="1333"/>
      <c r="AH7" s="1333"/>
      <c r="AI7" s="1333"/>
      <c r="AJ7" s="1334"/>
    </row>
    <row r="8" spans="1:36" ht="15">
      <c r="A8" s="353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1" t="s">
        <v>2418</v>
      </c>
      <c r="X8" s="353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3" t="s">
        <v>2442</v>
      </c>
      <c r="X11" s="1339" t="s">
        <v>2443</v>
      </c>
      <c r="Y11" s="1340">
        <f>$G$3</f>
        <v>2.16</v>
      </c>
      <c r="Z11" s="1340">
        <f t="shared" ref="Z11:AJ11" si="3">$G$3</f>
        <v>2.16</v>
      </c>
      <c r="AA11" s="1340">
        <f t="shared" si="3"/>
        <v>2.16</v>
      </c>
      <c r="AB11" s="1340">
        <f t="shared" si="3"/>
        <v>2.16</v>
      </c>
      <c r="AC11" s="1340">
        <f t="shared" si="3"/>
        <v>2.16</v>
      </c>
      <c r="AD11" s="1340">
        <f t="shared" si="3"/>
        <v>2.16</v>
      </c>
      <c r="AE11" s="1340">
        <f t="shared" si="3"/>
        <v>2.16</v>
      </c>
      <c r="AF11" s="1340">
        <f t="shared" si="3"/>
        <v>2.16</v>
      </c>
      <c r="AG11" s="1340">
        <f t="shared" si="3"/>
        <v>2.16</v>
      </c>
      <c r="AH11" s="1340">
        <f t="shared" si="3"/>
        <v>2.16</v>
      </c>
      <c r="AI11" s="1340">
        <f t="shared" si="3"/>
        <v>2.16</v>
      </c>
      <c r="AJ11" s="1340">
        <f t="shared" si="3"/>
        <v>2.16</v>
      </c>
    </row>
    <row r="12" spans="1:36" ht="25.5" thickBot="1">
      <c r="A12" s="351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33"/>
      <c r="X13" s="1341"/>
      <c r="Y13" s="1338">
        <f>(-0.163*(Y12^2)-0.59*Y12+7617)*(10^(-4))/Y11</f>
        <v>0.35263888888888889</v>
      </c>
      <c r="Z13" s="1338">
        <f t="shared" ref="Z13:AJ13" si="5">(-0.163*(Z12^2)-0.59*Z12+7617)*(10^(-4))/Z11</f>
        <v>0.35263888888888889</v>
      </c>
      <c r="AA13" s="1338">
        <f t="shared" si="5"/>
        <v>0.35263888888888889</v>
      </c>
      <c r="AB13" s="1338">
        <f t="shared" si="5"/>
        <v>0.35263888888888889</v>
      </c>
      <c r="AC13" s="1338">
        <f t="shared" si="5"/>
        <v>0.35263888888888889</v>
      </c>
      <c r="AD13" s="1338">
        <f t="shared" si="5"/>
        <v>0.35263888888888889</v>
      </c>
      <c r="AE13" s="1338">
        <f t="shared" si="5"/>
        <v>0.35263888888888889</v>
      </c>
      <c r="AF13" s="1338">
        <f t="shared" si="5"/>
        <v>0.35263888888888889</v>
      </c>
      <c r="AG13" s="1338">
        <f t="shared" si="5"/>
        <v>0.35263888888888889</v>
      </c>
      <c r="AH13" s="1338">
        <f t="shared" si="5"/>
        <v>0.35263888888888889</v>
      </c>
      <c r="AI13" s="1338">
        <f t="shared" si="5"/>
        <v>0.35263888888888889</v>
      </c>
      <c r="AJ13" s="1338">
        <f t="shared" si="5"/>
        <v>0.35263888888888889</v>
      </c>
    </row>
    <row r="14" spans="1:36" ht="15">
      <c r="A14" s="353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5.75" thickBot="1">
      <c r="A15" s="354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 customHeight="1">
      <c r="A16" s="3515" t="s">
        <v>2461</v>
      </c>
      <c r="B16" s="2160" t="s">
        <v>2462</v>
      </c>
      <c r="C16" s="2322" t="e">
        <f>ROUND(IF(F17="与级别开发程度一致",0,(G17-E17)/C17),0)</f>
        <v>#DIV/0!</v>
      </c>
      <c r="D16" s="3528" t="s">
        <v>2466</v>
      </c>
      <c r="E16" s="3529"/>
      <c r="F16" s="3528" t="s">
        <v>2463</v>
      </c>
      <c r="G16" s="352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16"/>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44700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5">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25">
      <c r="A22" s="2092" t="s">
        <v>2483</v>
      </c>
      <c r="B22" s="2219" t="s">
        <v>2484</v>
      </c>
      <c r="C22" s="1487" t="s">
        <v>2485</v>
      </c>
      <c r="D22" s="1487">
        <f>IF(E22=G22,F22,IF(G3&lt;=10,ROUND(F22+(H22-F22)*(G3-E22)/(G22-E22),4),"——"))</f>
        <v>0.51300000000000001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0.85499999999999998</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5.7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25"/>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30" t="s">
        <v>2804</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26"/>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2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26"/>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2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2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2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较好</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较好</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七通</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较好</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17" t="s">
        <v>2549</v>
      </c>
      <c r="B90" s="3517"/>
      <c r="C90" s="3517"/>
      <c r="D90" s="3517"/>
      <c r="E90" s="3517"/>
      <c r="F90" s="3517"/>
      <c r="G90" s="3517"/>
      <c r="H90" s="3517"/>
      <c r="I90" s="3517"/>
      <c r="J90" s="3517"/>
      <c r="K90" s="2294"/>
      <c r="L90" s="2294"/>
      <c r="M90" s="2294"/>
      <c r="N90" s="2294"/>
    </row>
    <row r="91" spans="1:37">
      <c r="A91" s="3519" t="s">
        <v>2550</v>
      </c>
      <c r="B91" s="3519" t="s">
        <v>2551</v>
      </c>
      <c r="C91" s="2248" t="s">
        <v>2552</v>
      </c>
      <c r="D91" s="2249"/>
      <c r="E91" s="2249"/>
      <c r="F91" s="2249"/>
      <c r="G91" s="2249"/>
      <c r="H91" s="2249"/>
      <c r="I91" s="2249"/>
      <c r="J91" s="2295"/>
      <c r="K91" s="2296"/>
      <c r="L91" s="2296"/>
      <c r="M91" s="2296"/>
      <c r="N91" s="2296"/>
    </row>
    <row r="92" spans="1:37">
      <c r="A92" s="3519"/>
      <c r="B92" s="351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0" t="s">
        <v>2554</v>
      </c>
      <c r="B101" s="2301" t="s">
        <v>2555</v>
      </c>
      <c r="C101" s="2302">
        <f>$G$3</f>
        <v>2.16</v>
      </c>
      <c r="D101" s="2302">
        <f t="shared" ref="D101:N101" si="31">$G$3</f>
        <v>2.16</v>
      </c>
      <c r="E101" s="2302">
        <f t="shared" si="31"/>
        <v>2.16</v>
      </c>
      <c r="F101" s="2302">
        <f t="shared" si="31"/>
        <v>2.16</v>
      </c>
      <c r="G101" s="2302">
        <f t="shared" si="31"/>
        <v>2.16</v>
      </c>
      <c r="H101" s="2302">
        <f t="shared" si="31"/>
        <v>2.16</v>
      </c>
      <c r="I101" s="2302">
        <f t="shared" si="31"/>
        <v>2.16</v>
      </c>
      <c r="J101" s="2302">
        <f t="shared" si="31"/>
        <v>2.16</v>
      </c>
      <c r="K101" s="2302">
        <f t="shared" si="31"/>
        <v>2.16</v>
      </c>
      <c r="L101" s="2302">
        <f t="shared" si="31"/>
        <v>2.16</v>
      </c>
      <c r="M101" s="2302">
        <f t="shared" si="31"/>
        <v>2.16</v>
      </c>
      <c r="N101" s="2302">
        <f t="shared" si="31"/>
        <v>2.16</v>
      </c>
    </row>
    <row r="102" spans="1:14">
      <c r="A102" s="3521"/>
      <c r="B102" s="2297">
        <v>1</v>
      </c>
      <c r="C102" s="2298">
        <f>1.9362/C101</f>
        <v>0.89638888888888879</v>
      </c>
      <c r="D102" s="2298">
        <f>1.9362/D101</f>
        <v>0.89638888888888879</v>
      </c>
      <c r="E102" s="2298">
        <f>1.8629/E101</f>
        <v>0.86245370370370367</v>
      </c>
      <c r="F102" s="2298">
        <f>1.8629/F101</f>
        <v>0.86245370370370367</v>
      </c>
      <c r="G102" s="2298">
        <f>1.8629/G101</f>
        <v>0.86245370370370367</v>
      </c>
      <c r="H102" s="2298">
        <f>1.8629/H101</f>
        <v>0.86245370370370367</v>
      </c>
      <c r="I102" s="2298">
        <f>1.8629/I101</f>
        <v>0.86245370370370367</v>
      </c>
      <c r="J102" s="2298">
        <f>1.942/J101</f>
        <v>0.89907407407407403</v>
      </c>
      <c r="K102" s="2298">
        <f>1.942/K101</f>
        <v>0.89907407407407403</v>
      </c>
      <c r="L102" s="2298">
        <f>1.942/L101</f>
        <v>0.89907407407407403</v>
      </c>
      <c r="M102" s="2298">
        <f>1.942/M101</f>
        <v>0.89907407407407403</v>
      </c>
      <c r="N102" s="2298">
        <f>1.942/N101</f>
        <v>0.89907407407407403</v>
      </c>
    </row>
    <row r="103" spans="1:14">
      <c r="A103" s="3521"/>
      <c r="B103" s="2297">
        <v>2</v>
      </c>
      <c r="C103" s="2298">
        <f>1.4198/C101</f>
        <v>0.6573148148148148</v>
      </c>
      <c r="D103" s="2298">
        <f>1.4198/D101</f>
        <v>0.6573148148148148</v>
      </c>
      <c r="E103" s="2298">
        <f>1.3372/E101</f>
        <v>0.619074074074074</v>
      </c>
      <c r="F103" s="2298">
        <f>1.3372/F101</f>
        <v>0.619074074074074</v>
      </c>
      <c r="G103" s="2298">
        <f>1.3372/G101</f>
        <v>0.619074074074074</v>
      </c>
      <c r="H103" s="2298">
        <f>1.3372/H101</f>
        <v>0.619074074074074</v>
      </c>
      <c r="I103" s="2298">
        <f>1.3372/I101</f>
        <v>0.619074074074074</v>
      </c>
      <c r="J103" s="2298">
        <f>1.2799/J101</f>
        <v>0.59254629629629629</v>
      </c>
      <c r="K103" s="2298">
        <f>1.2799/K101</f>
        <v>0.59254629629629629</v>
      </c>
      <c r="L103" s="2298">
        <f>1.2799/L101</f>
        <v>0.59254629629629629</v>
      </c>
      <c r="M103" s="2298">
        <f>1.2799/M101</f>
        <v>0.59254629629629629</v>
      </c>
      <c r="N103" s="2298">
        <f>1.2799/N101</f>
        <v>0.59254629629629629</v>
      </c>
    </row>
    <row r="104" spans="1:14">
      <c r="A104" s="3521"/>
      <c r="B104" s="2297">
        <v>3</v>
      </c>
      <c r="C104" s="2298">
        <f>1.1594/C101</f>
        <v>0.53675925925925927</v>
      </c>
      <c r="D104" s="2298">
        <f>1.1594/D101</f>
        <v>0.53675925925925927</v>
      </c>
      <c r="E104" s="2298">
        <f>1.0788/E101</f>
        <v>0.49944444444444441</v>
      </c>
      <c r="F104" s="2298">
        <f>1.0788/F101</f>
        <v>0.49944444444444441</v>
      </c>
      <c r="G104" s="2298">
        <f>1.0788/G101</f>
        <v>0.49944444444444441</v>
      </c>
      <c r="H104" s="2298">
        <f>1.0788/H101</f>
        <v>0.49944444444444441</v>
      </c>
      <c r="I104" s="2298">
        <f>1.0788/I101</f>
        <v>0.49944444444444441</v>
      </c>
      <c r="J104" s="2298">
        <f>1.0072/J101</f>
        <v>0.46629629629629632</v>
      </c>
      <c r="K104" s="2298">
        <f>1.0072/K101</f>
        <v>0.46629629629629632</v>
      </c>
      <c r="L104" s="2298">
        <f>1.0072/L101</f>
        <v>0.46629629629629632</v>
      </c>
      <c r="M104" s="2298">
        <f>1.0072/M101</f>
        <v>0.46629629629629632</v>
      </c>
      <c r="N104" s="2298">
        <f>1.0072/N101</f>
        <v>0.46629629629629632</v>
      </c>
    </row>
    <row r="105" spans="1:14">
      <c r="A105" s="3521"/>
      <c r="B105" s="2297">
        <v>4</v>
      </c>
      <c r="C105" s="2298">
        <f>0.9622/C101</f>
        <v>0.44546296296296295</v>
      </c>
      <c r="D105" s="2298">
        <f>0.9622/D101</f>
        <v>0.44546296296296295</v>
      </c>
      <c r="E105" s="2298">
        <f>0.8656/E101</f>
        <v>0.40074074074074073</v>
      </c>
      <c r="F105" s="2298">
        <f>0.8656/F101</f>
        <v>0.40074074074074073</v>
      </c>
      <c r="G105" s="2298">
        <f>0.8656/G101</f>
        <v>0.40074074074074073</v>
      </c>
      <c r="H105" s="2298">
        <f>0.8656/H101</f>
        <v>0.40074074074074073</v>
      </c>
      <c r="I105" s="2298">
        <f>0.8656/I101</f>
        <v>0.40074074074074073</v>
      </c>
      <c r="J105" s="2298">
        <f>0.7525/J101</f>
        <v>0.34837962962962959</v>
      </c>
      <c r="K105" s="2298">
        <f>0.7525/K101</f>
        <v>0.34837962962962959</v>
      </c>
      <c r="L105" s="2298">
        <f>0.7525/L101</f>
        <v>0.34837962962962959</v>
      </c>
      <c r="M105" s="2298">
        <f>0.7525/M101</f>
        <v>0.34837962962962959</v>
      </c>
      <c r="N105" s="2298">
        <f>0.7525/N101</f>
        <v>0.34837962962962959</v>
      </c>
    </row>
    <row r="106" spans="1:14">
      <c r="A106" s="3521"/>
      <c r="B106" s="2297">
        <v>5</v>
      </c>
      <c r="C106" s="2298">
        <f>0.8417/C101</f>
        <v>0.38967592592592593</v>
      </c>
      <c r="D106" s="2298">
        <f>0.8417/D101</f>
        <v>0.38967592592592593</v>
      </c>
      <c r="E106" s="2298">
        <f>0.7371/E101</f>
        <v>0.34124999999999994</v>
      </c>
      <c r="F106" s="2298">
        <f>0.7371/F101</f>
        <v>0.34124999999999994</v>
      </c>
      <c r="G106" s="2298">
        <f>0.7371/G101</f>
        <v>0.34124999999999994</v>
      </c>
      <c r="H106" s="2298">
        <f>0.7371/H101</f>
        <v>0.34124999999999994</v>
      </c>
      <c r="I106" s="2298">
        <f>0.7371/I101</f>
        <v>0.34124999999999994</v>
      </c>
      <c r="J106" s="2298">
        <f>0.5659/J101</f>
        <v>0.26199074074074069</v>
      </c>
      <c r="K106" s="2298">
        <f>0.5659/K101</f>
        <v>0.26199074074074069</v>
      </c>
      <c r="L106" s="2298">
        <f>0.5659/L101</f>
        <v>0.26199074074074069</v>
      </c>
      <c r="M106" s="2298">
        <f>0.5659/M101</f>
        <v>0.26199074074074069</v>
      </c>
      <c r="N106" s="2298">
        <f>0.5659/N101</f>
        <v>0.26199074074074069</v>
      </c>
    </row>
    <row r="107" spans="1:14">
      <c r="A107" s="3521"/>
      <c r="B107" s="2297">
        <v>6</v>
      </c>
      <c r="C107" s="2298">
        <f>0.7608/C101</f>
        <v>0.35222222222222221</v>
      </c>
      <c r="D107" s="2298">
        <f>0.7608/D101</f>
        <v>0.35222222222222221</v>
      </c>
      <c r="E107" s="2298">
        <f>0.6482/E101</f>
        <v>0.30009259259259258</v>
      </c>
      <c r="F107" s="2298">
        <f>0.6482/F101</f>
        <v>0.30009259259259258</v>
      </c>
      <c r="G107" s="2298">
        <f>0.6482/G101</f>
        <v>0.30009259259259258</v>
      </c>
      <c r="H107" s="2298">
        <f>0.6482/H101</f>
        <v>0.30009259259259258</v>
      </c>
      <c r="I107" s="2298">
        <f>0.6482/I101</f>
        <v>0.30009259259259258</v>
      </c>
      <c r="J107" s="2298">
        <f>0.4525/J101</f>
        <v>0.20949074074074073</v>
      </c>
      <c r="K107" s="2298">
        <f>0.4525/K101</f>
        <v>0.20949074074074073</v>
      </c>
      <c r="L107" s="2298">
        <f>0.4525/L101</f>
        <v>0.20949074074074073</v>
      </c>
      <c r="M107" s="2298">
        <f>0.4525/M101</f>
        <v>0.20949074074074073</v>
      </c>
      <c r="N107" s="2298">
        <f>0.4525/N101</f>
        <v>0.20949074074074073</v>
      </c>
    </row>
    <row r="108" spans="1:14">
      <c r="A108" s="3521"/>
      <c r="B108" s="352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2"/>
      <c r="B109" s="3524"/>
      <c r="C109" s="2300">
        <f>(-0.163*(C108^2)-0.59*C108+7617)*(10^(-4))/C101</f>
        <v>0.35263888888888889</v>
      </c>
      <c r="D109" s="2300">
        <f>(-0.163*(D108^2)-0.59*D108+7617)*(10^(-4))/D101</f>
        <v>0.35263888888888889</v>
      </c>
      <c r="E109" s="2300">
        <f>(-0.161*(E108^2)-7.509*E108+6533)*(10^(-4))/E101</f>
        <v>0.30245370370370367</v>
      </c>
      <c r="F109" s="2300">
        <f>(-0.161*(F108^2)-7.509*F108+6533)*(10^(-4))/F101</f>
        <v>0.30245370370370367</v>
      </c>
      <c r="G109" s="2300">
        <f>(-0.161*(G108^2)-7.509*G108+6533)*(10^(-4))/G101</f>
        <v>0.30245370370370367</v>
      </c>
      <c r="H109" s="2300">
        <f>(-0.161*(H108^2)-7.509*H108+6533)*(10^(-4))/H101</f>
        <v>0.30245370370370367</v>
      </c>
      <c r="I109" s="2300">
        <f>(-0.161*(I108^2)-7.509*I108+6533)*(10^(-4))/I101</f>
        <v>0.30245370370370367</v>
      </c>
      <c r="J109" s="2300">
        <f>(-0.214*(J108^2)-21.991*J108+4665)*(10^(-4))/J101</f>
        <v>0.21597222222222223</v>
      </c>
      <c r="K109" s="2300">
        <f>(-0.214*(K108^2)-21.991*K108+4665)*(10^(-4))/K101</f>
        <v>0.21597222222222223</v>
      </c>
      <c r="L109" s="2300">
        <f>(-0.214*(L108^2)-21.991*L108+4665)*(10^(-4))/L101</f>
        <v>0.21597222222222223</v>
      </c>
      <c r="M109" s="2300">
        <f>(-0.214*(M108^2)-21.991*M108+4665)*(10^(-4))/M101</f>
        <v>0.21597222222222223</v>
      </c>
      <c r="N109" s="2300">
        <f>(-0.214*(N108^2)-21.991*N108+4665)*(10^(-4))/N101</f>
        <v>0.21597222222222223</v>
      </c>
    </row>
    <row r="110" spans="1:14">
      <c r="A110" s="3518" t="s">
        <v>2557</v>
      </c>
      <c r="B110" s="3518"/>
      <c r="C110" s="3518"/>
      <c r="D110" s="3518"/>
      <c r="E110" s="3518"/>
      <c r="F110" s="3518"/>
      <c r="G110" s="3518"/>
      <c r="H110" s="3518"/>
      <c r="I110" s="3518"/>
      <c r="J110" s="3518"/>
      <c r="K110" s="2303"/>
      <c r="L110" s="2303"/>
      <c r="M110" s="2303"/>
      <c r="N110" s="2303"/>
    </row>
    <row r="112" spans="1:14" ht="13.5" thickBot="1"/>
    <row r="113" spans="1:13" ht="25.5" thickBot="1">
      <c r="A113" s="824" t="s">
        <v>2558</v>
      </c>
      <c r="B113" s="1178">
        <f>G3</f>
        <v>2.16</v>
      </c>
      <c r="C113" s="825" t="s">
        <v>2559</v>
      </c>
      <c r="D113" s="826">
        <f>SUMPRODUCT((A115:A118=F113)*(B114:M114=H113)*B115:M118)</f>
        <v>0</v>
      </c>
      <c r="E113" s="2139" t="s">
        <v>2392</v>
      </c>
      <c r="F113" s="2305">
        <f>E2</f>
        <v>0</v>
      </c>
      <c r="G113" s="2139" t="s">
        <v>2393</v>
      </c>
      <c r="H113" s="2305" t="str">
        <f>G2</f>
        <v>五级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0.91320000000000001</v>
      </c>
      <c r="C115" s="831">
        <f>B115</f>
        <v>0.91320000000000001</v>
      </c>
      <c r="D115" s="831">
        <f>ROUND(0.8331-0.0109*B113,4)</f>
        <v>0.80959999999999999</v>
      </c>
      <c r="E115" s="831">
        <f>D115</f>
        <v>0.80959999999999999</v>
      </c>
      <c r="F115" s="831">
        <f>E115</f>
        <v>0.80959999999999999</v>
      </c>
      <c r="G115" s="831">
        <f>F115</f>
        <v>0.80959999999999999</v>
      </c>
      <c r="H115" s="831">
        <f>G115</f>
        <v>0.80959999999999999</v>
      </c>
      <c r="I115" s="831">
        <f>ROUND(0.689-0.0155*B113,4)</f>
        <v>0.65549999999999997</v>
      </c>
      <c r="J115" s="831">
        <f t="shared" ref="J115:M118" si="33">I115</f>
        <v>0.65549999999999997</v>
      </c>
      <c r="K115" s="831">
        <f t="shared" si="33"/>
        <v>0.65549999999999997</v>
      </c>
      <c r="L115" s="831">
        <f t="shared" si="33"/>
        <v>0.65549999999999997</v>
      </c>
      <c r="M115" s="832">
        <f t="shared" si="33"/>
        <v>0.65549999999999997</v>
      </c>
    </row>
    <row r="116" spans="1:13">
      <c r="A116" s="830" t="s">
        <v>2458</v>
      </c>
      <c r="B116" s="831">
        <f>ROUND(0.949-0.012*B113,4)</f>
        <v>0.92310000000000003</v>
      </c>
      <c r="C116" s="831">
        <f>B116</f>
        <v>0.92310000000000003</v>
      </c>
      <c r="D116" s="831">
        <f>ROUND(0.8567-0.013*B113,4)</f>
        <v>0.8286</v>
      </c>
      <c r="E116" s="831">
        <f t="shared" ref="E116:H117" si="34">D116</f>
        <v>0.8286</v>
      </c>
      <c r="F116" s="831">
        <f t="shared" si="34"/>
        <v>0.8286</v>
      </c>
      <c r="G116" s="831">
        <f t="shared" si="34"/>
        <v>0.8286</v>
      </c>
      <c r="H116" s="831">
        <f t="shared" si="34"/>
        <v>0.8286</v>
      </c>
      <c r="I116" s="831">
        <f>ROUND(0.7694-0.014*B113,4)</f>
        <v>0.73919999999999997</v>
      </c>
      <c r="J116" s="831">
        <f t="shared" si="33"/>
        <v>0.73919999999999997</v>
      </c>
      <c r="K116" s="831">
        <f t="shared" si="33"/>
        <v>0.73919999999999997</v>
      </c>
      <c r="L116" s="831">
        <f t="shared" si="33"/>
        <v>0.73919999999999997</v>
      </c>
      <c r="M116" s="832">
        <f t="shared" si="33"/>
        <v>0.73919999999999997</v>
      </c>
    </row>
    <row r="117" spans="1:13">
      <c r="A117" s="830" t="s">
        <v>2459</v>
      </c>
      <c r="B117" s="831">
        <f>ROUND(0.8808-0.006*B113,4)</f>
        <v>0.86780000000000002</v>
      </c>
      <c r="C117" s="831">
        <f>B117</f>
        <v>0.86780000000000002</v>
      </c>
      <c r="D117" s="831">
        <f>ROUND(0.8748-0.008*B113,4)</f>
        <v>0.85750000000000004</v>
      </c>
      <c r="E117" s="831">
        <f t="shared" si="34"/>
        <v>0.85750000000000004</v>
      </c>
      <c r="F117" s="831">
        <f t="shared" si="34"/>
        <v>0.85750000000000004</v>
      </c>
      <c r="G117" s="831">
        <f t="shared" si="34"/>
        <v>0.85750000000000004</v>
      </c>
      <c r="H117" s="831">
        <f t="shared" si="34"/>
        <v>0.85750000000000004</v>
      </c>
      <c r="I117" s="831">
        <f>ROUND(0.7412-0.0095*B113,4)</f>
        <v>0.72070000000000001</v>
      </c>
      <c r="J117" s="831">
        <f t="shared" si="33"/>
        <v>0.72070000000000001</v>
      </c>
      <c r="K117" s="831">
        <f t="shared" si="33"/>
        <v>0.72070000000000001</v>
      </c>
      <c r="L117" s="831">
        <f t="shared" si="33"/>
        <v>0.72070000000000001</v>
      </c>
      <c r="M117" s="832">
        <f t="shared" si="33"/>
        <v>0.72070000000000001</v>
      </c>
    </row>
    <row r="118" spans="1:13" ht="13.5" thickBot="1">
      <c r="A118" s="670" t="s">
        <v>2460</v>
      </c>
      <c r="B118" s="833">
        <f>ROUND(0.7275-0.01*B113,4)</f>
        <v>0.70589999999999997</v>
      </c>
      <c r="C118" s="833">
        <f>B118</f>
        <v>0.70589999999999997</v>
      </c>
      <c r="D118" s="833">
        <f>ROUND(0.7043-0.012*B113,4)</f>
        <v>0.6784</v>
      </c>
      <c r="E118" s="833">
        <f>D118</f>
        <v>0.6784</v>
      </c>
      <c r="F118" s="833">
        <f>E118</f>
        <v>0.6784</v>
      </c>
      <c r="G118" s="833">
        <f>ROUND(0.6299-0.0122*B113,4)</f>
        <v>0.60350000000000004</v>
      </c>
      <c r="H118" s="833">
        <f>G118</f>
        <v>0.60350000000000004</v>
      </c>
      <c r="I118" s="833">
        <f>ROUND(0.5667-0.0136*B113,4)</f>
        <v>0.5373</v>
      </c>
      <c r="J118" s="833">
        <f t="shared" si="33"/>
        <v>0.5373</v>
      </c>
      <c r="K118" s="833">
        <f t="shared" si="33"/>
        <v>0.5373</v>
      </c>
      <c r="L118" s="833">
        <f t="shared" si="33"/>
        <v>0.5373</v>
      </c>
      <c r="M118" s="834">
        <f t="shared" si="33"/>
        <v>0.5373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2938</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2939</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2940</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2941</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2942</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2943</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2944</v>
      </c>
      <c r="B19" s="3206" t="s">
        <v>2945</v>
      </c>
      <c r="C19" s="3207" t="s">
        <v>2946</v>
      </c>
      <c r="D19" s="3208"/>
      <c r="E19" s="3202" t="s">
        <v>2947</v>
      </c>
      <c r="F19" s="803"/>
      <c r="G19" s="803"/>
    </row>
    <row r="20" spans="1:13" s="808" customFormat="1" ht="19.5" customHeight="1">
      <c r="A20" s="3548" t="s">
        <v>2948</v>
      </c>
      <c r="B20" s="3541" t="s">
        <v>2949</v>
      </c>
      <c r="C20" s="3209" t="s">
        <v>2950</v>
      </c>
      <c r="D20" s="3210"/>
      <c r="E20" s="3211">
        <v>1</v>
      </c>
      <c r="F20" s="3212" t="s">
        <v>2951</v>
      </c>
      <c r="G20" s="807"/>
      <c r="H20" s="801"/>
      <c r="I20" s="801"/>
    </row>
    <row r="21" spans="1:13" s="808" customFormat="1" ht="19.5" customHeight="1">
      <c r="A21" s="3549"/>
      <c r="B21" s="3542"/>
      <c r="C21" s="805" t="s">
        <v>2952</v>
      </c>
      <c r="D21" s="806"/>
      <c r="E21" s="3213">
        <v>1</v>
      </c>
      <c r="F21" s="3212" t="s">
        <v>2953</v>
      </c>
      <c r="G21" s="807"/>
      <c r="H21" s="801"/>
      <c r="I21" s="801"/>
    </row>
    <row r="22" spans="1:13" s="808" customFormat="1" ht="19.5" customHeight="1">
      <c r="A22" s="3549"/>
      <c r="B22" s="3542"/>
      <c r="C22" s="805" t="s">
        <v>2954</v>
      </c>
      <c r="D22" s="806"/>
      <c r="E22" s="3213">
        <v>0.9</v>
      </c>
      <c r="F22" s="3212" t="s">
        <v>2955</v>
      </c>
      <c r="G22" s="807"/>
      <c r="H22" s="801"/>
      <c r="I22" s="801"/>
    </row>
    <row r="23" spans="1:13" s="808" customFormat="1" ht="19.5" customHeight="1">
      <c r="A23" s="3549"/>
      <c r="B23" s="3542"/>
      <c r="C23" s="805" t="s">
        <v>2956</v>
      </c>
      <c r="D23" s="806"/>
      <c r="E23" s="3213">
        <v>0.9</v>
      </c>
      <c r="F23" s="3212" t="s">
        <v>2957</v>
      </c>
      <c r="G23" s="807"/>
      <c r="H23" s="801"/>
      <c r="I23" s="801"/>
    </row>
    <row r="24" spans="1:13" s="808" customFormat="1" ht="19.5" customHeight="1">
      <c r="A24" s="3549"/>
      <c r="B24" s="3542"/>
      <c r="C24" s="805" t="s">
        <v>2958</v>
      </c>
      <c r="D24" s="806"/>
      <c r="E24" s="3213">
        <v>0.8</v>
      </c>
      <c r="F24" s="3212" t="s">
        <v>2959</v>
      </c>
      <c r="G24" s="807"/>
      <c r="H24" s="801"/>
      <c r="I24" s="801"/>
    </row>
    <row r="25" spans="1:13" s="808" customFormat="1" ht="19.5" customHeight="1" thickBot="1">
      <c r="A25" s="3550"/>
      <c r="B25" s="3543"/>
      <c r="C25" s="3214" t="s">
        <v>2960</v>
      </c>
      <c r="D25" s="3215"/>
      <c r="E25" s="3216">
        <v>0.8</v>
      </c>
      <c r="F25" s="3212" t="s">
        <v>2961</v>
      </c>
      <c r="G25" s="807"/>
      <c r="H25" s="801"/>
      <c r="I25" s="801"/>
    </row>
    <row r="26" spans="1:13" s="808" customFormat="1" ht="19.5" customHeight="1" thickBot="1">
      <c r="A26" s="3217" t="s">
        <v>2962</v>
      </c>
      <c r="B26" s="3218" t="s">
        <v>2949</v>
      </c>
      <c r="C26" s="3219" t="s">
        <v>2963</v>
      </c>
      <c r="D26" s="3220"/>
      <c r="E26" s="3221">
        <v>1</v>
      </c>
      <c r="F26" s="3212" t="s">
        <v>2964</v>
      </c>
      <c r="G26" s="807"/>
      <c r="H26" s="801"/>
      <c r="I26" s="801"/>
    </row>
    <row r="27" spans="1:13" s="808" customFormat="1" ht="19.5" customHeight="1">
      <c r="A27" s="3544" t="s">
        <v>2965</v>
      </c>
      <c r="B27" s="3541" t="s">
        <v>2965</v>
      </c>
      <c r="C27" s="3209" t="s">
        <v>2966</v>
      </c>
      <c r="D27" s="3210"/>
      <c r="E27" s="3211">
        <v>1</v>
      </c>
      <c r="F27" s="3212" t="s">
        <v>2967</v>
      </c>
      <c r="G27" s="807"/>
      <c r="H27" s="801"/>
      <c r="I27" s="801"/>
    </row>
    <row r="28" spans="1:13" s="808" customFormat="1" ht="19.5" customHeight="1">
      <c r="A28" s="3545"/>
      <c r="B28" s="3542"/>
      <c r="C28" s="805" t="s">
        <v>2968</v>
      </c>
      <c r="D28" s="806"/>
      <c r="E28" s="3213">
        <v>1</v>
      </c>
      <c r="F28" s="3212" t="s">
        <v>2969</v>
      </c>
      <c r="G28" s="807"/>
      <c r="H28" s="801"/>
      <c r="I28" s="801"/>
    </row>
    <row r="29" spans="1:13" s="808" customFormat="1" ht="19.5" customHeight="1">
      <c r="A29" s="3545"/>
      <c r="B29" s="3542"/>
      <c r="C29" s="805" t="s">
        <v>2970</v>
      </c>
      <c r="D29" s="806"/>
      <c r="E29" s="3213">
        <v>0.8</v>
      </c>
      <c r="F29" s="3212" t="s">
        <v>2971</v>
      </c>
      <c r="G29" s="807"/>
      <c r="H29" s="801"/>
      <c r="I29" s="801"/>
    </row>
    <row r="30" spans="1:13" s="808" customFormat="1" ht="19.5" customHeight="1">
      <c r="A30" s="3545"/>
      <c r="B30" s="3542"/>
      <c r="C30" s="805" t="s">
        <v>2972</v>
      </c>
      <c r="D30" s="806"/>
      <c r="E30" s="3213">
        <v>0.8</v>
      </c>
      <c r="F30" s="3212" t="s">
        <v>2973</v>
      </c>
      <c r="G30" s="807"/>
      <c r="H30" s="801"/>
      <c r="I30" s="801"/>
    </row>
    <row r="31" spans="1:13" s="808" customFormat="1" ht="19.5" customHeight="1">
      <c r="A31" s="3545"/>
      <c r="B31" s="3542"/>
      <c r="C31" s="805" t="s">
        <v>2974</v>
      </c>
      <c r="D31" s="806"/>
      <c r="E31" s="3213">
        <v>0.8</v>
      </c>
      <c r="F31" s="3212" t="s">
        <v>2975</v>
      </c>
      <c r="G31" s="807"/>
      <c r="H31" s="801"/>
      <c r="I31" s="801"/>
    </row>
    <row r="32" spans="1:13" s="808" customFormat="1" ht="19.5" customHeight="1">
      <c r="A32" s="3545"/>
      <c r="B32" s="3542"/>
      <c r="C32" s="805" t="s">
        <v>2976</v>
      </c>
      <c r="D32" s="806"/>
      <c r="E32" s="3213">
        <v>0.7</v>
      </c>
      <c r="F32" s="3212" t="s">
        <v>2977</v>
      </c>
      <c r="G32" s="807"/>
      <c r="H32" s="801"/>
      <c r="I32" s="801"/>
    </row>
    <row r="33" spans="1:9" s="808" customFormat="1" ht="19.5" customHeight="1">
      <c r="A33" s="3545"/>
      <c r="B33" s="3542"/>
      <c r="C33" s="805" t="s">
        <v>2978</v>
      </c>
      <c r="D33" s="806"/>
      <c r="E33" s="3213">
        <v>0.8</v>
      </c>
      <c r="F33" s="3212" t="s">
        <v>2979</v>
      </c>
      <c r="G33" s="807"/>
      <c r="H33" s="801"/>
      <c r="I33" s="801"/>
    </row>
    <row r="34" spans="1:9" s="808" customFormat="1" ht="19.5" customHeight="1">
      <c r="A34" s="3545"/>
      <c r="B34" s="3542"/>
      <c r="C34" s="805" t="s">
        <v>2980</v>
      </c>
      <c r="D34" s="806"/>
      <c r="E34" s="3213">
        <v>0.6</v>
      </c>
      <c r="F34" s="3212" t="s">
        <v>2981</v>
      </c>
      <c r="G34" s="807"/>
      <c r="H34" s="801"/>
      <c r="I34" s="801"/>
    </row>
    <row r="35" spans="1:9" s="808" customFormat="1" ht="19.5" customHeight="1">
      <c r="A35" s="3545"/>
      <c r="B35" s="3542"/>
      <c r="C35" s="805" t="s">
        <v>2982</v>
      </c>
      <c r="D35" s="806"/>
      <c r="E35" s="3213">
        <v>0.2</v>
      </c>
      <c r="F35" s="3212" t="s">
        <v>2983</v>
      </c>
      <c r="G35" s="807"/>
      <c r="H35" s="801"/>
      <c r="I35" s="801"/>
    </row>
    <row r="36" spans="1:9" s="808" customFormat="1" ht="19.5" customHeight="1">
      <c r="A36" s="3545"/>
      <c r="B36" s="3542"/>
      <c r="C36" s="805" t="s">
        <v>2984</v>
      </c>
      <c r="D36" s="806"/>
      <c r="E36" s="3213">
        <v>0.2</v>
      </c>
      <c r="F36" s="3212" t="s">
        <v>2985</v>
      </c>
      <c r="G36" s="807"/>
      <c r="H36" s="801"/>
      <c r="I36" s="801"/>
    </row>
    <row r="37" spans="1:9" s="808" customFormat="1" ht="19.5" customHeight="1">
      <c r="A37" s="3545"/>
      <c r="B37" s="3547" t="s">
        <v>2986</v>
      </c>
      <c r="C37" s="805" t="s">
        <v>2987</v>
      </c>
      <c r="D37" s="806"/>
      <c r="E37" s="3213">
        <v>0.6</v>
      </c>
      <c r="F37" s="3212" t="s">
        <v>2988</v>
      </c>
      <c r="G37" s="807"/>
      <c r="H37" s="801"/>
      <c r="I37" s="801"/>
    </row>
    <row r="38" spans="1:9" s="808" customFormat="1" ht="19.5" customHeight="1">
      <c r="A38" s="3545"/>
      <c r="B38" s="3542"/>
      <c r="C38" s="805" t="s">
        <v>2989</v>
      </c>
      <c r="D38" s="806"/>
      <c r="E38" s="3213">
        <v>0.6</v>
      </c>
      <c r="F38" s="3212" t="s">
        <v>2990</v>
      </c>
      <c r="G38" s="807"/>
      <c r="H38" s="801"/>
      <c r="I38" s="801"/>
    </row>
    <row r="39" spans="1:9" s="808" customFormat="1" ht="19.5" customHeight="1" thickBot="1">
      <c r="A39" s="3546"/>
      <c r="B39" s="3543"/>
      <c r="C39" s="3214" t="s">
        <v>2991</v>
      </c>
      <c r="D39" s="3215"/>
      <c r="E39" s="3216">
        <v>0.6</v>
      </c>
      <c r="F39" s="3212" t="s">
        <v>2992</v>
      </c>
      <c r="G39" s="807"/>
      <c r="H39" s="801"/>
      <c r="I39" s="801"/>
    </row>
    <row r="40" spans="1:9" s="808" customFormat="1" ht="19.5" customHeight="1" thickBot="1">
      <c r="A40" s="3217" t="s">
        <v>2993</v>
      </c>
      <c r="B40" s="3218" t="s">
        <v>2993</v>
      </c>
      <c r="C40" s="3219" t="s">
        <v>2994</v>
      </c>
      <c r="D40" s="3220"/>
      <c r="E40" s="3221">
        <v>1</v>
      </c>
      <c r="F40" s="3212" t="s">
        <v>2995</v>
      </c>
      <c r="G40" s="807"/>
      <c r="H40" s="801"/>
      <c r="I40" s="801"/>
    </row>
    <row r="41" spans="1:9" s="808" customFormat="1" ht="19.5" customHeight="1">
      <c r="A41" s="3548" t="s">
        <v>2996</v>
      </c>
      <c r="B41" s="3541" t="s">
        <v>2997</v>
      </c>
      <c r="C41" s="3209" t="s">
        <v>2998</v>
      </c>
      <c r="D41" s="3210"/>
      <c r="E41" s="3211">
        <v>1</v>
      </c>
      <c r="F41" s="3212" t="s">
        <v>2999</v>
      </c>
      <c r="G41" s="807"/>
      <c r="H41" s="801"/>
      <c r="I41" s="801"/>
    </row>
    <row r="42" spans="1:9" s="808" customFormat="1" ht="19.5" customHeight="1">
      <c r="A42" s="3549"/>
      <c r="B42" s="3542"/>
      <c r="C42" s="805" t="s">
        <v>3000</v>
      </c>
      <c r="D42" s="806"/>
      <c r="E42" s="3213">
        <v>1</v>
      </c>
      <c r="F42" s="3212" t="s">
        <v>3001</v>
      </c>
      <c r="G42" s="807"/>
      <c r="H42" s="801"/>
      <c r="I42" s="801"/>
    </row>
    <row r="43" spans="1:9" s="808" customFormat="1" ht="19.5" customHeight="1">
      <c r="A43" s="3549"/>
      <c r="B43" s="3551"/>
      <c r="C43" s="805" t="s">
        <v>3002</v>
      </c>
      <c r="D43" s="806"/>
      <c r="E43" s="3213">
        <v>1.5</v>
      </c>
      <c r="F43" s="3212" t="s">
        <v>3003</v>
      </c>
      <c r="G43" s="807"/>
      <c r="H43" s="801"/>
      <c r="I43" s="801"/>
    </row>
    <row r="44" spans="1:9" s="808" customFormat="1" ht="19.5" customHeight="1">
      <c r="A44" s="3549"/>
      <c r="B44" s="3222" t="s">
        <v>2965</v>
      </c>
      <c r="C44" s="805" t="s">
        <v>3004</v>
      </c>
      <c r="D44" s="806"/>
      <c r="E44" s="3213">
        <v>2</v>
      </c>
      <c r="F44" s="3212" t="s">
        <v>3005</v>
      </c>
      <c r="G44" s="807"/>
      <c r="H44" s="801"/>
      <c r="I44" s="801"/>
    </row>
    <row r="45" spans="1:9" s="808" customFormat="1" ht="19.5" customHeight="1">
      <c r="A45" s="3549"/>
      <c r="B45" s="3547" t="s">
        <v>3006</v>
      </c>
      <c r="C45" s="805" t="s">
        <v>3007</v>
      </c>
      <c r="D45" s="806"/>
      <c r="E45" s="3213">
        <v>1</v>
      </c>
      <c r="F45" s="3212" t="s">
        <v>3008</v>
      </c>
      <c r="G45" s="807"/>
      <c r="H45" s="801"/>
      <c r="I45" s="801"/>
    </row>
    <row r="46" spans="1:9" s="808" customFormat="1" ht="19.5" customHeight="1">
      <c r="A46" s="3549"/>
      <c r="B46" s="3542"/>
      <c r="C46" s="805" t="s">
        <v>3009</v>
      </c>
      <c r="D46" s="806"/>
      <c r="E46" s="3213">
        <v>1</v>
      </c>
      <c r="F46" s="3212" t="s">
        <v>3010</v>
      </c>
      <c r="G46" s="807"/>
      <c r="H46" s="801"/>
      <c r="I46" s="801"/>
    </row>
    <row r="47" spans="1:9" s="808" customFormat="1" ht="19.5" customHeight="1">
      <c r="A47" s="3549"/>
      <c r="B47" s="3542"/>
      <c r="C47" s="805" t="s">
        <v>3011</v>
      </c>
      <c r="D47" s="806"/>
      <c r="E47" s="3213">
        <v>1</v>
      </c>
      <c r="F47" s="3212" t="s">
        <v>3012</v>
      </c>
      <c r="G47" s="807"/>
      <c r="H47" s="801"/>
      <c r="I47" s="801"/>
    </row>
    <row r="48" spans="1:9" s="808" customFormat="1" ht="19.5" customHeight="1">
      <c r="A48" s="3549"/>
      <c r="B48" s="3542"/>
      <c r="C48" s="805" t="s">
        <v>3013</v>
      </c>
      <c r="D48" s="806"/>
      <c r="E48" s="3213">
        <v>1</v>
      </c>
      <c r="F48" s="3212" t="s">
        <v>3014</v>
      </c>
      <c r="G48" s="807"/>
      <c r="H48" s="801"/>
      <c r="I48" s="801"/>
    </row>
    <row r="49" spans="1:9" s="808" customFormat="1" ht="19.5" customHeight="1">
      <c r="A49" s="3549"/>
      <c r="B49" s="3542"/>
      <c r="C49" s="805" t="s">
        <v>3015</v>
      </c>
      <c r="D49" s="806"/>
      <c r="E49" s="3213">
        <v>1</v>
      </c>
      <c r="F49" s="3212" t="s">
        <v>3016</v>
      </c>
      <c r="G49" s="807"/>
      <c r="H49" s="801"/>
      <c r="I49" s="801"/>
    </row>
    <row r="50" spans="1:9" s="808" customFormat="1" ht="19.5" customHeight="1">
      <c r="A50" s="3549"/>
      <c r="B50" s="3542"/>
      <c r="C50" s="805" t="s">
        <v>3017</v>
      </c>
      <c r="D50" s="806"/>
      <c r="E50" s="3213">
        <v>1</v>
      </c>
      <c r="F50" s="3212" t="s">
        <v>3018</v>
      </c>
      <c r="G50" s="807"/>
      <c r="H50" s="801"/>
      <c r="I50" s="801"/>
    </row>
    <row r="51" spans="1:9" s="808" customFormat="1" ht="19.5" customHeight="1" thickBot="1">
      <c r="A51" s="3550"/>
      <c r="B51" s="3543"/>
      <c r="C51" s="3214" t="s">
        <v>3019</v>
      </c>
      <c r="D51" s="3215"/>
      <c r="E51" s="3216">
        <v>1</v>
      </c>
      <c r="F51" s="3212" t="s">
        <v>3020</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3021</v>
      </c>
      <c r="D72" s="859"/>
      <c r="E72" s="816" t="s">
        <v>1</v>
      </c>
      <c r="F72" s="859" t="s">
        <v>1</v>
      </c>
    </row>
    <row r="73" spans="1:7" s="801" customFormat="1" ht="13.5">
      <c r="A73" s="3222">
        <v>1</v>
      </c>
      <c r="B73" s="3547" t="s">
        <v>3022</v>
      </c>
      <c r="C73" s="3202" t="s">
        <v>3023</v>
      </c>
      <c r="D73" s="3202" t="s">
        <v>3024</v>
      </c>
      <c r="E73" s="3223">
        <v>0.2</v>
      </c>
      <c r="F73" s="3222">
        <v>25</v>
      </c>
    </row>
    <row r="74" spans="1:7" s="801" customFormat="1" ht="24">
      <c r="A74" s="3222">
        <v>2</v>
      </c>
      <c r="B74" s="3542"/>
      <c r="C74" s="3202" t="s">
        <v>3025</v>
      </c>
      <c r="D74" s="3202" t="s">
        <v>3026</v>
      </c>
      <c r="E74" s="3223">
        <v>0.2</v>
      </c>
      <c r="F74" s="3222">
        <v>25</v>
      </c>
    </row>
    <row r="75" spans="1:7" s="801" customFormat="1" ht="24">
      <c r="A75" s="3222">
        <v>3</v>
      </c>
      <c r="B75" s="3542"/>
      <c r="C75" s="3202" t="s">
        <v>3027</v>
      </c>
      <c r="D75" s="3202" t="s">
        <v>3028</v>
      </c>
      <c r="E75" s="3223">
        <v>0.2</v>
      </c>
      <c r="F75" s="3222">
        <v>25</v>
      </c>
    </row>
    <row r="76" spans="1:7" s="801" customFormat="1" ht="13.5">
      <c r="A76" s="3222">
        <v>4</v>
      </c>
      <c r="B76" s="3542"/>
      <c r="C76" s="3202" t="s">
        <v>3029</v>
      </c>
      <c r="D76" s="3202" t="s">
        <v>3030</v>
      </c>
      <c r="E76" s="3223">
        <v>0.15</v>
      </c>
      <c r="F76" s="3222">
        <v>20</v>
      </c>
    </row>
    <row r="77" spans="1:7" s="801" customFormat="1" ht="24">
      <c r="A77" s="3222">
        <v>5</v>
      </c>
      <c r="B77" s="3542"/>
      <c r="C77" s="3202" t="s">
        <v>3031</v>
      </c>
      <c r="D77" s="3202" t="s">
        <v>3032</v>
      </c>
      <c r="E77" s="3223">
        <v>0.15</v>
      </c>
      <c r="F77" s="3222">
        <v>20</v>
      </c>
    </row>
    <row r="78" spans="1:7" s="801" customFormat="1" ht="24">
      <c r="A78" s="3222">
        <v>6</v>
      </c>
      <c r="B78" s="3542"/>
      <c r="C78" s="3202" t="s">
        <v>3033</v>
      </c>
      <c r="D78" s="3202" t="s">
        <v>3034</v>
      </c>
      <c r="E78" s="3223">
        <v>0.15</v>
      </c>
      <c r="F78" s="3222">
        <v>20</v>
      </c>
    </row>
    <row r="79" spans="1:7" s="801" customFormat="1" ht="24">
      <c r="A79" s="3222">
        <v>7</v>
      </c>
      <c r="B79" s="3542"/>
      <c r="C79" s="3202" t="s">
        <v>3035</v>
      </c>
      <c r="D79" s="3202" t="s">
        <v>3036</v>
      </c>
      <c r="E79" s="3223">
        <v>0.15</v>
      </c>
      <c r="F79" s="3222">
        <v>20</v>
      </c>
    </row>
    <row r="80" spans="1:7" s="801" customFormat="1" ht="24">
      <c r="A80" s="3222">
        <v>8</v>
      </c>
      <c r="B80" s="3542"/>
      <c r="C80" s="3202" t="s">
        <v>3037</v>
      </c>
      <c r="D80" s="3202" t="s">
        <v>3038</v>
      </c>
      <c r="E80" s="3223">
        <v>0.1</v>
      </c>
      <c r="F80" s="3222">
        <v>15</v>
      </c>
    </row>
    <row r="81" spans="1:6" s="801" customFormat="1" ht="24">
      <c r="A81" s="3222">
        <v>9</v>
      </c>
      <c r="B81" s="3542"/>
      <c r="C81" s="3202" t="s">
        <v>3039</v>
      </c>
      <c r="D81" s="3202" t="s">
        <v>3040</v>
      </c>
      <c r="E81" s="3223">
        <v>0.1</v>
      </c>
      <c r="F81" s="3222">
        <v>15</v>
      </c>
    </row>
    <row r="82" spans="1:6" s="801" customFormat="1" ht="24">
      <c r="A82" s="3222">
        <v>10</v>
      </c>
      <c r="B82" s="3542"/>
      <c r="C82" s="3202" t="s">
        <v>3041</v>
      </c>
      <c r="D82" s="3202" t="s">
        <v>3042</v>
      </c>
      <c r="E82" s="3223">
        <v>0.1</v>
      </c>
      <c r="F82" s="3222">
        <v>15</v>
      </c>
    </row>
    <row r="83" spans="1:6" s="801" customFormat="1" ht="24">
      <c r="A83" s="3222">
        <v>11</v>
      </c>
      <c r="B83" s="3542"/>
      <c r="C83" s="3202" t="s">
        <v>3043</v>
      </c>
      <c r="D83" s="3202" t="s">
        <v>3044</v>
      </c>
      <c r="E83" s="3223">
        <v>0.1</v>
      </c>
      <c r="F83" s="3222">
        <v>15</v>
      </c>
    </row>
    <row r="84" spans="1:6" s="801" customFormat="1" ht="24">
      <c r="A84" s="3222">
        <v>12</v>
      </c>
      <c r="B84" s="3542"/>
      <c r="C84" s="3202" t="s">
        <v>3045</v>
      </c>
      <c r="D84" s="3202" t="s">
        <v>3046</v>
      </c>
      <c r="E84" s="3223">
        <v>0.1</v>
      </c>
      <c r="F84" s="3222">
        <v>15</v>
      </c>
    </row>
    <row r="85" spans="1:6" s="801" customFormat="1" ht="13.5">
      <c r="A85" s="3222">
        <v>13</v>
      </c>
      <c r="B85" s="3542"/>
      <c r="C85" s="3202" t="s">
        <v>3047</v>
      </c>
      <c r="D85" s="3202" t="s">
        <v>3048</v>
      </c>
      <c r="E85" s="3223">
        <v>0.1</v>
      </c>
      <c r="F85" s="3222">
        <v>15</v>
      </c>
    </row>
    <row r="86" spans="1:6" s="801" customFormat="1" ht="13.5">
      <c r="A86" s="3222">
        <v>14</v>
      </c>
      <c r="B86" s="3542"/>
      <c r="C86" s="3202" t="s">
        <v>3049</v>
      </c>
      <c r="D86" s="3202" t="s">
        <v>3050</v>
      </c>
      <c r="E86" s="3223">
        <v>0.1</v>
      </c>
      <c r="F86" s="3222">
        <v>15</v>
      </c>
    </row>
    <row r="87" spans="1:6" s="801" customFormat="1" ht="13.5">
      <c r="A87" s="3222">
        <v>15</v>
      </c>
      <c r="B87" s="3542"/>
      <c r="C87" s="3202" t="s">
        <v>3051</v>
      </c>
      <c r="D87" s="3202" t="s">
        <v>3052</v>
      </c>
      <c r="E87" s="3223">
        <v>0.1</v>
      </c>
      <c r="F87" s="3222">
        <v>15</v>
      </c>
    </row>
    <row r="88" spans="1:6" s="801" customFormat="1" ht="24">
      <c r="A88" s="3222">
        <v>16</v>
      </c>
      <c r="B88" s="3542"/>
      <c r="C88" s="3202" t="s">
        <v>3053</v>
      </c>
      <c r="D88" s="3202" t="s">
        <v>3054</v>
      </c>
      <c r="E88" s="3223">
        <v>0.1</v>
      </c>
      <c r="F88" s="3222">
        <v>15</v>
      </c>
    </row>
    <row r="89" spans="1:6" s="801" customFormat="1" ht="24">
      <c r="A89" s="3222">
        <v>17</v>
      </c>
      <c r="B89" s="3551"/>
      <c r="C89" s="3202" t="s">
        <v>3055</v>
      </c>
      <c r="D89" s="3202" t="s">
        <v>3056</v>
      </c>
      <c r="E89" s="3223">
        <v>0.1</v>
      </c>
      <c r="F89" s="3222">
        <v>15</v>
      </c>
    </row>
    <row r="90" spans="1:6" s="801" customFormat="1" ht="13.5">
      <c r="A90" s="3222">
        <v>18</v>
      </c>
      <c r="B90" s="3547" t="s">
        <v>3057</v>
      </c>
      <c r="C90" s="3202" t="s">
        <v>3058</v>
      </c>
      <c r="D90" s="3202" t="s">
        <v>3059</v>
      </c>
      <c r="E90" s="3223">
        <v>0.2</v>
      </c>
      <c r="F90" s="3222">
        <v>25</v>
      </c>
    </row>
    <row r="91" spans="1:6" s="801" customFormat="1" ht="24">
      <c r="A91" s="3222">
        <v>19</v>
      </c>
      <c r="B91" s="3542"/>
      <c r="C91" s="3202" t="s">
        <v>3060</v>
      </c>
      <c r="D91" s="3202" t="s">
        <v>3061</v>
      </c>
      <c r="E91" s="3223">
        <v>0.2</v>
      </c>
      <c r="F91" s="3222">
        <v>25</v>
      </c>
    </row>
    <row r="92" spans="1:6" s="801" customFormat="1" ht="13.5">
      <c r="A92" s="3222">
        <v>20</v>
      </c>
      <c r="B92" s="3542"/>
      <c r="C92" s="3202" t="s">
        <v>3062</v>
      </c>
      <c r="D92" s="3202" t="s">
        <v>3063</v>
      </c>
      <c r="E92" s="3223">
        <v>0.15</v>
      </c>
      <c r="F92" s="3222">
        <v>20</v>
      </c>
    </row>
    <row r="93" spans="1:6" s="801" customFormat="1" ht="24">
      <c r="A93" s="3222">
        <v>21</v>
      </c>
      <c r="B93" s="3542"/>
      <c r="C93" s="3202" t="s">
        <v>3064</v>
      </c>
      <c r="D93" s="3202" t="s">
        <v>3065</v>
      </c>
      <c r="E93" s="3223">
        <v>0.15</v>
      </c>
      <c r="F93" s="3222">
        <v>20</v>
      </c>
    </row>
    <row r="94" spans="1:6" s="801" customFormat="1" ht="24">
      <c r="A94" s="3222">
        <v>22</v>
      </c>
      <c r="B94" s="3542"/>
      <c r="C94" s="3202" t="s">
        <v>3066</v>
      </c>
      <c r="D94" s="3202" t="s">
        <v>3067</v>
      </c>
      <c r="E94" s="3223">
        <v>0.15</v>
      </c>
      <c r="F94" s="3222">
        <v>20</v>
      </c>
    </row>
    <row r="95" spans="1:6" s="801" customFormat="1" ht="36">
      <c r="A95" s="3222">
        <v>23</v>
      </c>
      <c r="B95" s="3542"/>
      <c r="C95" s="3202" t="s">
        <v>3068</v>
      </c>
      <c r="D95" s="3202" t="s">
        <v>3069</v>
      </c>
      <c r="E95" s="3223">
        <v>0.15</v>
      </c>
      <c r="F95" s="3222">
        <v>20</v>
      </c>
    </row>
    <row r="96" spans="1:6" s="801" customFormat="1" ht="13.5">
      <c r="A96" s="3222">
        <v>24</v>
      </c>
      <c r="B96" s="3542"/>
      <c r="C96" s="3202" t="s">
        <v>3070</v>
      </c>
      <c r="D96" s="3202" t="s">
        <v>3071</v>
      </c>
      <c r="E96" s="3223">
        <v>0.1</v>
      </c>
      <c r="F96" s="3222">
        <v>15</v>
      </c>
    </row>
    <row r="97" spans="1:6" s="801" customFormat="1" ht="24">
      <c r="A97" s="3222">
        <v>25</v>
      </c>
      <c r="B97" s="3542"/>
      <c r="C97" s="3202" t="s">
        <v>3072</v>
      </c>
      <c r="D97" s="3202" t="s">
        <v>3073</v>
      </c>
      <c r="E97" s="3223">
        <v>0.1</v>
      </c>
      <c r="F97" s="3222">
        <v>15</v>
      </c>
    </row>
    <row r="98" spans="1:6" s="801" customFormat="1" ht="24">
      <c r="A98" s="3222">
        <v>26</v>
      </c>
      <c r="B98" s="3542"/>
      <c r="C98" s="3202" t="s">
        <v>3074</v>
      </c>
      <c r="D98" s="3202" t="s">
        <v>3075</v>
      </c>
      <c r="E98" s="3223">
        <v>0.1</v>
      </c>
      <c r="F98" s="3222">
        <v>15</v>
      </c>
    </row>
    <row r="99" spans="1:6" s="801" customFormat="1" ht="24">
      <c r="A99" s="3222">
        <v>27</v>
      </c>
      <c r="B99" s="3542"/>
      <c r="C99" s="3202" t="s">
        <v>3076</v>
      </c>
      <c r="D99" s="3202" t="s">
        <v>3077</v>
      </c>
      <c r="E99" s="3223">
        <v>0.1</v>
      </c>
      <c r="F99" s="3222">
        <v>15</v>
      </c>
    </row>
    <row r="100" spans="1:6" s="801" customFormat="1" ht="24">
      <c r="A100" s="3222">
        <v>28</v>
      </c>
      <c r="B100" s="3542"/>
      <c r="C100" s="3202" t="s">
        <v>3078</v>
      </c>
      <c r="D100" s="3202" t="s">
        <v>3079</v>
      </c>
      <c r="E100" s="3223">
        <v>0.1</v>
      </c>
      <c r="F100" s="3222">
        <v>15</v>
      </c>
    </row>
    <row r="101" spans="1:6" s="801" customFormat="1" ht="24">
      <c r="A101" s="3222">
        <v>29</v>
      </c>
      <c r="B101" s="3542"/>
      <c r="C101" s="3202" t="s">
        <v>3080</v>
      </c>
      <c r="D101" s="3202" t="s">
        <v>3081</v>
      </c>
      <c r="E101" s="3223">
        <v>0.1</v>
      </c>
      <c r="F101" s="3222">
        <v>15</v>
      </c>
    </row>
    <row r="102" spans="1:6" s="801" customFormat="1" ht="24">
      <c r="A102" s="3222">
        <v>30</v>
      </c>
      <c r="B102" s="3542"/>
      <c r="C102" s="3202" t="s">
        <v>3082</v>
      </c>
      <c r="D102" s="3202" t="s">
        <v>3083</v>
      </c>
      <c r="E102" s="3223">
        <v>0.1</v>
      </c>
      <c r="F102" s="3222">
        <v>15</v>
      </c>
    </row>
    <row r="103" spans="1:6" s="801" customFormat="1" ht="24">
      <c r="A103" s="3222">
        <v>31</v>
      </c>
      <c r="B103" s="3542"/>
      <c r="C103" s="3202" t="s">
        <v>3084</v>
      </c>
      <c r="D103" s="3202" t="s">
        <v>3085</v>
      </c>
      <c r="E103" s="3223">
        <v>0.1</v>
      </c>
      <c r="F103" s="3222">
        <v>15</v>
      </c>
    </row>
    <row r="104" spans="1:6" s="801" customFormat="1" ht="24">
      <c r="A104" s="3222">
        <v>32</v>
      </c>
      <c r="B104" s="3542"/>
      <c r="C104" s="3202" t="s">
        <v>3086</v>
      </c>
      <c r="D104" s="3202" t="s">
        <v>3087</v>
      </c>
      <c r="E104" s="3223">
        <v>0.1</v>
      </c>
      <c r="F104" s="3222">
        <v>15</v>
      </c>
    </row>
    <row r="105" spans="1:6" s="801" customFormat="1" ht="24">
      <c r="A105" s="3222">
        <v>33</v>
      </c>
      <c r="B105" s="3542"/>
      <c r="C105" s="3202" t="s">
        <v>3088</v>
      </c>
      <c r="D105" s="3202" t="s">
        <v>3089</v>
      </c>
      <c r="E105" s="3223">
        <v>0.1</v>
      </c>
      <c r="F105" s="3222">
        <v>15</v>
      </c>
    </row>
    <row r="106" spans="1:6" s="801" customFormat="1" ht="24">
      <c r="A106" s="3222">
        <v>34</v>
      </c>
      <c r="B106" s="3551"/>
      <c r="C106" s="3202" t="s">
        <v>3090</v>
      </c>
      <c r="D106" s="3202" t="s">
        <v>3091</v>
      </c>
      <c r="E106" s="3223">
        <v>0.1</v>
      </c>
      <c r="F106" s="3222">
        <v>15</v>
      </c>
    </row>
    <row r="107" spans="1:6" s="801" customFormat="1" ht="24">
      <c r="A107" s="3222">
        <v>35</v>
      </c>
      <c r="B107" s="3547" t="s">
        <v>3092</v>
      </c>
      <c r="C107" s="3222" t="s">
        <v>3093</v>
      </c>
      <c r="D107" s="3202" t="s">
        <v>3094</v>
      </c>
      <c r="E107" s="3223">
        <v>0.15</v>
      </c>
      <c r="F107" s="3222">
        <v>20</v>
      </c>
    </row>
    <row r="108" spans="1:6" s="801" customFormat="1" ht="24">
      <c r="A108" s="3222">
        <v>36</v>
      </c>
      <c r="B108" s="3542"/>
      <c r="C108" s="3222" t="s">
        <v>3095</v>
      </c>
      <c r="D108" s="3202" t="s">
        <v>3096</v>
      </c>
      <c r="E108" s="3223">
        <v>0.15</v>
      </c>
      <c r="F108" s="3222">
        <v>20</v>
      </c>
    </row>
    <row r="109" spans="1:6" s="801" customFormat="1" ht="24">
      <c r="A109" s="3222">
        <v>37</v>
      </c>
      <c r="B109" s="3542"/>
      <c r="C109" s="3222" t="s">
        <v>3097</v>
      </c>
      <c r="D109" s="3202" t="s">
        <v>3098</v>
      </c>
      <c r="E109" s="3223">
        <v>0.15</v>
      </c>
      <c r="F109" s="3222">
        <v>20</v>
      </c>
    </row>
    <row r="110" spans="1:6" s="801" customFormat="1" ht="13.5">
      <c r="A110" s="3222">
        <v>38</v>
      </c>
      <c r="B110" s="3542"/>
      <c r="C110" s="3222" t="s">
        <v>3099</v>
      </c>
      <c r="D110" s="3202" t="s">
        <v>3100</v>
      </c>
      <c r="E110" s="3223">
        <v>0.1</v>
      </c>
      <c r="F110" s="3222">
        <v>15</v>
      </c>
    </row>
    <row r="111" spans="1:6" s="801" customFormat="1" ht="24">
      <c r="A111" s="3222">
        <v>39</v>
      </c>
      <c r="B111" s="3542"/>
      <c r="C111" s="3222" t="s">
        <v>3101</v>
      </c>
      <c r="D111" s="3202" t="s">
        <v>3102</v>
      </c>
      <c r="E111" s="3223">
        <v>0.1</v>
      </c>
      <c r="F111" s="3222">
        <v>15</v>
      </c>
    </row>
    <row r="112" spans="1:6" s="801" customFormat="1" ht="24">
      <c r="A112" s="3222">
        <v>40</v>
      </c>
      <c r="B112" s="3551"/>
      <c r="C112" s="3222" t="s">
        <v>3103</v>
      </c>
      <c r="D112" s="3202" t="s">
        <v>3104</v>
      </c>
      <c r="E112" s="3223">
        <v>0.1</v>
      </c>
      <c r="F112" s="3222">
        <v>15</v>
      </c>
    </row>
    <row r="113" spans="1:6" s="801" customFormat="1" ht="24">
      <c r="A113" s="3222">
        <v>41</v>
      </c>
      <c r="B113" s="3552" t="s">
        <v>3105</v>
      </c>
      <c r="C113" s="3222" t="s">
        <v>3106</v>
      </c>
      <c r="D113" s="3202" t="s">
        <v>3107</v>
      </c>
      <c r="E113" s="3223">
        <v>0.1</v>
      </c>
      <c r="F113" s="3222">
        <v>15</v>
      </c>
    </row>
    <row r="114" spans="1:6" s="801" customFormat="1" ht="13.5">
      <c r="A114" s="3222">
        <v>42</v>
      </c>
      <c r="B114" s="3552"/>
      <c r="C114" s="3222" t="s">
        <v>3108</v>
      </c>
      <c r="D114" s="3202" t="s">
        <v>3109</v>
      </c>
      <c r="E114" s="3223">
        <v>0.1</v>
      </c>
      <c r="F114" s="3222">
        <v>15</v>
      </c>
    </row>
    <row r="115" spans="1:6" s="801" customFormat="1" ht="24">
      <c r="A115" s="3222">
        <v>43</v>
      </c>
      <c r="B115" s="3552"/>
      <c r="C115" s="3222" t="s">
        <v>3110</v>
      </c>
      <c r="D115" s="3202" t="s">
        <v>3111</v>
      </c>
      <c r="E115" s="3223">
        <v>0.1</v>
      </c>
      <c r="F115" s="3222">
        <v>15</v>
      </c>
    </row>
    <row r="116" spans="1:6" s="801" customFormat="1" ht="24">
      <c r="A116" s="3222">
        <v>44</v>
      </c>
      <c r="B116" s="3547" t="s">
        <v>3112</v>
      </c>
      <c r="C116" s="3222" t="s">
        <v>3113</v>
      </c>
      <c r="D116" s="3202" t="s">
        <v>3114</v>
      </c>
      <c r="E116" s="3223">
        <v>0.1</v>
      </c>
      <c r="F116" s="3222">
        <v>15</v>
      </c>
    </row>
    <row r="117" spans="1:6" s="801" customFormat="1" ht="24">
      <c r="A117" s="3222">
        <v>45</v>
      </c>
      <c r="B117" s="3551"/>
      <c r="C117" s="3202" t="s">
        <v>3115</v>
      </c>
      <c r="D117" s="3202" t="s">
        <v>3116</v>
      </c>
      <c r="E117" s="3223">
        <v>0.1</v>
      </c>
      <c r="F117" s="3222">
        <v>15</v>
      </c>
    </row>
    <row r="118" spans="1:6" s="801" customFormat="1" ht="24">
      <c r="A118" s="3222">
        <v>46</v>
      </c>
      <c r="B118" s="3547" t="s">
        <v>3117</v>
      </c>
      <c r="C118" s="3222" t="s">
        <v>3118</v>
      </c>
      <c r="D118" s="3202" t="s">
        <v>3119</v>
      </c>
      <c r="E118" s="3223">
        <v>0.1</v>
      </c>
      <c r="F118" s="3222">
        <v>15</v>
      </c>
    </row>
    <row r="119" spans="1:6" s="801" customFormat="1" ht="24">
      <c r="A119" s="3222">
        <v>47</v>
      </c>
      <c r="B119" s="3551"/>
      <c r="C119" s="3222" t="s">
        <v>3120</v>
      </c>
      <c r="D119" s="3202" t="s">
        <v>3121</v>
      </c>
      <c r="E119" s="3223">
        <v>0.1</v>
      </c>
      <c r="F119" s="3222">
        <v>15</v>
      </c>
    </row>
    <row r="120" spans="1:6" s="801" customFormat="1" ht="24">
      <c r="A120" s="3222">
        <v>48</v>
      </c>
      <c r="B120" s="3547" t="s">
        <v>3122</v>
      </c>
      <c r="C120" s="3222" t="s">
        <v>3123</v>
      </c>
      <c r="D120" s="3202" t="s">
        <v>3124</v>
      </c>
      <c r="E120" s="3223">
        <v>0.1</v>
      </c>
      <c r="F120" s="3222">
        <v>15</v>
      </c>
    </row>
    <row r="121" spans="1:6" s="801" customFormat="1" ht="13.5">
      <c r="A121" s="3222">
        <v>49</v>
      </c>
      <c r="B121" s="3551"/>
      <c r="C121" s="3222" t="s">
        <v>3125</v>
      </c>
      <c r="D121" s="3202" t="s">
        <v>3126</v>
      </c>
      <c r="E121" s="3223">
        <v>0.1</v>
      </c>
      <c r="F121" s="3222">
        <v>15</v>
      </c>
    </row>
    <row r="122" spans="1:6" s="801" customFormat="1" ht="24">
      <c r="A122" s="3222">
        <v>50</v>
      </c>
      <c r="B122" s="3552" t="s">
        <v>3127</v>
      </c>
      <c r="C122" s="3222" t="s">
        <v>3128</v>
      </c>
      <c r="D122" s="3202" t="s">
        <v>3129</v>
      </c>
      <c r="E122" s="3223">
        <v>0.1</v>
      </c>
      <c r="F122" s="3222">
        <v>15</v>
      </c>
    </row>
    <row r="123" spans="1:6" s="801" customFormat="1" ht="24">
      <c r="A123" s="3222">
        <v>51</v>
      </c>
      <c r="B123" s="3552"/>
      <c r="C123" s="3222" t="s">
        <v>3130</v>
      </c>
      <c r="D123" s="3202" t="s">
        <v>3131</v>
      </c>
      <c r="E123" s="3223">
        <v>0.1</v>
      </c>
      <c r="F123" s="3222">
        <v>15</v>
      </c>
    </row>
    <row r="124" spans="1:6" s="801" customFormat="1" ht="24">
      <c r="A124" s="3222">
        <v>52</v>
      </c>
      <c r="B124" s="3552" t="s">
        <v>3132</v>
      </c>
      <c r="C124" s="3222" t="s">
        <v>3133</v>
      </c>
      <c r="D124" s="3202" t="s">
        <v>3134</v>
      </c>
      <c r="E124" s="3223">
        <v>0.1</v>
      </c>
      <c r="F124" s="3222">
        <v>15</v>
      </c>
    </row>
    <row r="125" spans="1:6" s="801" customFormat="1" ht="24">
      <c r="A125" s="3222">
        <v>53</v>
      </c>
      <c r="B125" s="3552"/>
      <c r="C125" s="3222" t="s">
        <v>3135</v>
      </c>
      <c r="D125" s="3202" t="s">
        <v>3136</v>
      </c>
      <c r="E125" s="3223">
        <v>0.1</v>
      </c>
      <c r="F125" s="3222">
        <v>15</v>
      </c>
    </row>
    <row r="126" spans="1:6" ht="24">
      <c r="A126" s="3222">
        <v>54</v>
      </c>
      <c r="B126" s="3222" t="s">
        <v>3137</v>
      </c>
      <c r="C126" s="3222" t="s">
        <v>3138</v>
      </c>
      <c r="D126" s="3202" t="s">
        <v>3139</v>
      </c>
      <c r="E126" s="3223">
        <v>0.1</v>
      </c>
      <c r="F126" s="3222">
        <v>15</v>
      </c>
    </row>
    <row r="127" spans="1:6" ht="13.5">
      <c r="A127" s="3222">
        <v>55</v>
      </c>
      <c r="B127" s="3552" t="s">
        <v>3140</v>
      </c>
      <c r="C127" s="3222" t="s">
        <v>3141</v>
      </c>
      <c r="D127" s="3202" t="s">
        <v>3142</v>
      </c>
      <c r="E127" s="3223">
        <v>0.1</v>
      </c>
      <c r="F127" s="3222">
        <v>15</v>
      </c>
    </row>
    <row r="128" spans="1:6" ht="13.5">
      <c r="A128" s="3222">
        <v>56</v>
      </c>
      <c r="B128" s="3552"/>
      <c r="C128" s="3222" t="s">
        <v>3143</v>
      </c>
      <c r="D128" s="3202" t="s">
        <v>3144</v>
      </c>
      <c r="E128" s="3223">
        <v>0.1</v>
      </c>
      <c r="F128" s="3222">
        <v>15</v>
      </c>
    </row>
    <row r="129" spans="1:6" ht="24">
      <c r="A129" s="3222">
        <v>57</v>
      </c>
      <c r="B129" s="3552"/>
      <c r="C129" s="3222" t="s">
        <v>3145</v>
      </c>
      <c r="D129" s="3202" t="s">
        <v>3146</v>
      </c>
      <c r="E129" s="3223">
        <v>0.1</v>
      </c>
      <c r="F129" s="3222">
        <v>15</v>
      </c>
    </row>
    <row r="130" spans="1:6" ht="24">
      <c r="A130" s="3222">
        <v>58</v>
      </c>
      <c r="B130" s="3552" t="s">
        <v>3147</v>
      </c>
      <c r="C130" s="3222" t="s">
        <v>3148</v>
      </c>
      <c r="D130" s="3202" t="s">
        <v>3149</v>
      </c>
      <c r="E130" s="3223">
        <v>0.1</v>
      </c>
      <c r="F130" s="3222">
        <v>15</v>
      </c>
    </row>
    <row r="131" spans="1:6" ht="24">
      <c r="A131" s="3222">
        <v>59</v>
      </c>
      <c r="B131" s="3552"/>
      <c r="C131" s="3222" t="s">
        <v>3150</v>
      </c>
      <c r="D131" s="3202" t="s">
        <v>3151</v>
      </c>
      <c r="E131" s="3223">
        <v>0.1</v>
      </c>
      <c r="F131" s="3222">
        <v>15</v>
      </c>
    </row>
    <row r="132" spans="1:6" ht="24">
      <c r="A132" s="3222">
        <v>60</v>
      </c>
      <c r="B132" s="3547" t="s">
        <v>3152</v>
      </c>
      <c r="C132" s="3222" t="s">
        <v>3153</v>
      </c>
      <c r="D132" s="3202" t="s">
        <v>3154</v>
      </c>
      <c r="E132" s="3223">
        <v>0.1</v>
      </c>
      <c r="F132" s="3222">
        <v>15</v>
      </c>
    </row>
    <row r="133" spans="1:6" ht="24">
      <c r="A133" s="3222">
        <v>61</v>
      </c>
      <c r="B133" s="3551"/>
      <c r="C133" s="3222" t="s">
        <v>3155</v>
      </c>
      <c r="D133" s="3202" t="s">
        <v>3156</v>
      </c>
      <c r="E133" s="3223">
        <v>0.1</v>
      </c>
      <c r="F133" s="3222">
        <v>15</v>
      </c>
    </row>
    <row r="134" spans="1:6" ht="24">
      <c r="A134" s="3222">
        <v>62</v>
      </c>
      <c r="B134" s="3222" t="s">
        <v>3157</v>
      </c>
      <c r="C134" s="3222" t="s">
        <v>3158</v>
      </c>
      <c r="D134" s="3202" t="s">
        <v>3159</v>
      </c>
      <c r="E134" s="3223">
        <v>0.1</v>
      </c>
      <c r="F134" s="3222">
        <v>15</v>
      </c>
    </row>
    <row r="135" spans="1:6" ht="24">
      <c r="A135" s="3222">
        <v>63</v>
      </c>
      <c r="B135" s="3552" t="s">
        <v>3160</v>
      </c>
      <c r="C135" s="3222" t="s">
        <v>3161</v>
      </c>
      <c r="D135" s="3202" t="s">
        <v>3162</v>
      </c>
      <c r="E135" s="3223">
        <v>0.1</v>
      </c>
      <c r="F135" s="3222">
        <v>15</v>
      </c>
    </row>
    <row r="136" spans="1:6" ht="13.5">
      <c r="A136" s="3222">
        <v>64</v>
      </c>
      <c r="B136" s="3552"/>
      <c r="C136" s="3222" t="s">
        <v>3163</v>
      </c>
      <c r="D136" s="3202" t="s">
        <v>3164</v>
      </c>
      <c r="E136" s="3223">
        <v>0.1</v>
      </c>
      <c r="F136" s="3222">
        <v>15</v>
      </c>
    </row>
    <row r="137" spans="1:6" ht="24">
      <c r="A137" s="3222">
        <v>65</v>
      </c>
      <c r="B137" s="3222" t="s">
        <v>3165</v>
      </c>
      <c r="C137" s="3222" t="s">
        <v>3166</v>
      </c>
      <c r="D137" s="3202" t="s">
        <v>3167</v>
      </c>
      <c r="E137" s="3223">
        <v>0.1</v>
      </c>
      <c r="F137" s="3222">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75">
      <c r="A2" s="2312" t="s">
        <v>2572</v>
      </c>
      <c r="B2" s="2774" t="e">
        <f ca="1">SUMIF(B6:B13,"&lt;&gt;#ref!",B6:B13)</f>
        <v>#DIV/0!</v>
      </c>
      <c r="C2" s="2312" t="s">
        <v>2573</v>
      </c>
      <c r="D2" s="2312" t="s">
        <v>2574</v>
      </c>
      <c r="E2" s="2784">
        <f ca="1">SUMIF(E6:E13,"&lt;&gt;#ref!",E6:E13)</f>
        <v>0</v>
      </c>
      <c r="F2" s="2970"/>
      <c r="G2" s="2970"/>
      <c r="H2" s="2970"/>
      <c r="I2" s="2970"/>
      <c r="J2" s="2970"/>
      <c r="K2" s="2970"/>
      <c r="L2" s="2970"/>
      <c r="M2" s="2970"/>
      <c r="N2" s="2970"/>
      <c r="O2" s="2970"/>
      <c r="P2" s="2970"/>
    </row>
    <row r="3" spans="1:16" ht="15.75">
      <c r="A3" s="2312" t="s">
        <v>2575</v>
      </c>
      <c r="B3" s="2774" t="e">
        <f ca="1">ROUND(B2*10000/E2,0)</f>
        <v>#DIV/0!</v>
      </c>
      <c r="C3" s="2312"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3"/>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2"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2"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2"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2"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2"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2"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2"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2"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58" t="s">
        <v>877</v>
      </c>
      <c r="C1" s="3558"/>
      <c r="D1" s="3558"/>
      <c r="E1" s="3558"/>
      <c r="F1" s="3558"/>
      <c r="G1" s="3554" t="s">
        <v>878</v>
      </c>
      <c r="H1" s="3554"/>
      <c r="I1" s="3554"/>
      <c r="J1" s="3554"/>
      <c r="K1" s="3554"/>
      <c r="L1" s="3554"/>
      <c r="N1" s="3554" t="s">
        <v>879</v>
      </c>
      <c r="O1" s="3554"/>
      <c r="P1" s="3554"/>
      <c r="Q1" s="3554"/>
      <c r="S1" s="3554" t="s">
        <v>880</v>
      </c>
      <c r="T1" s="3554"/>
      <c r="U1" s="3554"/>
      <c r="V1" s="3554"/>
      <c r="X1" s="3553" t="s">
        <v>881</v>
      </c>
      <c r="Y1" s="3554"/>
      <c r="Z1" s="3554"/>
      <c r="AA1" s="3554"/>
      <c r="AB1" s="3554"/>
      <c r="AD1" s="3553" t="s">
        <v>882</v>
      </c>
      <c r="AE1" s="3554"/>
      <c r="AF1" s="3554"/>
      <c r="AG1" s="3554"/>
      <c r="AH1" s="355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2935</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2934</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2811</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2810</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2809</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2807</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2806</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5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5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估价结果一览表（市场价值不需“结果表-1”）</v>
      </c>
      <c r="B3" s="3233"/>
      <c r="C3" s="3233"/>
      <c r="D3" s="3233"/>
      <c r="E3" s="3233"/>
    </row>
    <row r="4" spans="1:5" ht="19.5" thickBot="1">
      <c r="A4" s="1629"/>
      <c r="B4" s="3231" t="s">
        <v>1354</v>
      </c>
      <c r="C4" s="3231"/>
      <c r="D4" s="3231"/>
      <c r="E4" s="1629"/>
    </row>
    <row r="5" spans="1:5" ht="16.5" thickTop="1">
      <c r="A5" s="1627"/>
      <c r="B5" s="3229" t="s">
        <v>1346</v>
      </c>
      <c r="C5" s="1630" t="s">
        <v>1347</v>
      </c>
      <c r="D5" s="940">
        <f ca="1">结果表!H101</f>
        <v>30705</v>
      </c>
      <c r="E5" s="1627"/>
    </row>
    <row r="6" spans="1:5" ht="15.75">
      <c r="A6" s="1627"/>
      <c r="B6" s="3229"/>
      <c r="C6" s="1630" t="s">
        <v>1348</v>
      </c>
      <c r="D6" s="940" t="str">
        <f ca="1">NUMBERSTRING(INT(D5*10000),2)&amp;"元整"</f>
        <v>叁亿零柒佰零伍万元整</v>
      </c>
      <c r="E6" s="1627"/>
    </row>
    <row r="7" spans="1:5" ht="15.75">
      <c r="A7" s="1627"/>
      <c r="B7" s="3234"/>
      <c r="C7" s="1631" t="s">
        <v>1349</v>
      </c>
      <c r="D7" s="941">
        <f ca="1">结果表!H102</f>
        <v>11022</v>
      </c>
      <c r="E7" s="1627"/>
    </row>
    <row r="8" spans="1:5" ht="15.75">
      <c r="A8" s="1627"/>
      <c r="B8" s="3235" t="str">
        <f>结果表!E103</f>
        <v>2.估价师知悉的法定优先受偿款</v>
      </c>
      <c r="C8" s="1632" t="s">
        <v>1350</v>
      </c>
      <c r="D8" s="941">
        <f>结果表!H103</f>
        <v>0</v>
      </c>
      <c r="E8" s="1627"/>
    </row>
    <row r="9" spans="1:5" ht="15.75">
      <c r="A9" s="1627"/>
      <c r="B9" s="323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28" t="str">
        <f>结果表!E107</f>
        <v>3.房地产抵押价值</v>
      </c>
      <c r="C13" s="1635" t="s">
        <v>1347</v>
      </c>
      <c r="D13" s="943">
        <f ca="1">结果表!H107</f>
        <v>30705</v>
      </c>
      <c r="E13" s="1627"/>
    </row>
    <row r="14" spans="1:5" ht="15.75">
      <c r="A14" s="1627"/>
      <c r="B14" s="3229"/>
      <c r="C14" s="1630" t="s">
        <v>1348</v>
      </c>
      <c r="D14" s="940" t="str">
        <f ca="1">NUMBERSTRING(INT(D13*10000),2)&amp;"元整"</f>
        <v>叁亿零柒佰零伍万元整</v>
      </c>
      <c r="E14" s="1627"/>
    </row>
    <row r="15" spans="1:5" ht="15">
      <c r="A15" s="1627"/>
      <c r="B15" s="3234"/>
      <c r="C15" s="1631" t="s">
        <v>1358</v>
      </c>
      <c r="D15" s="949">
        <f ca="1">结果表!H108</f>
        <v>11022</v>
      </c>
      <c r="E15" s="1627"/>
    </row>
    <row r="16" spans="1:5" ht="15">
      <c r="A16" s="1627"/>
      <c r="B16" s="3235" t="str">
        <f>结果表!E109</f>
        <v>——</v>
      </c>
      <c r="C16" s="1635" t="s">
        <v>1359</v>
      </c>
      <c r="D16" s="1636" t="str">
        <f>结果表!H109</f>
        <v>——</v>
      </c>
      <c r="E16" s="1627"/>
    </row>
    <row r="17" spans="1:5" ht="15.75">
      <c r="A17" s="1627"/>
      <c r="B17" s="3236"/>
      <c r="C17" s="1630" t="s">
        <v>1360</v>
      </c>
      <c r="D17" s="940" t="e">
        <f>NUMBERSTRING(INT(D16*10000),2)&amp;"元整"</f>
        <v>#VALUE!</v>
      </c>
      <c r="E17" s="1627"/>
    </row>
    <row r="18" spans="1:5" ht="15">
      <c r="A18" s="1627"/>
      <c r="B18" s="3237"/>
      <c r="C18" s="1631" t="s">
        <v>1349</v>
      </c>
      <c r="D18" s="949" t="str">
        <f>结果表!H110</f>
        <v>——</v>
      </c>
      <c r="E18" s="1627"/>
    </row>
    <row r="19" spans="1:5" ht="15.75">
      <c r="A19" s="1627"/>
      <c r="B19" s="3228" t="str">
        <f>结果表!E111</f>
        <v>——</v>
      </c>
      <c r="C19" s="1635" t="s">
        <v>1347</v>
      </c>
      <c r="D19" s="941" t="str">
        <f>结果表!H111</f>
        <v>——</v>
      </c>
      <c r="E19" s="1627"/>
    </row>
    <row r="20" spans="1:5" ht="15.75">
      <c r="A20" s="1627"/>
      <c r="B20" s="3229"/>
      <c r="C20" s="1630" t="s">
        <v>1360</v>
      </c>
      <c r="D20" s="940" t="e">
        <f>NUMBERSTRING(INT(D19*10000),2)&amp;"元整"</f>
        <v>#VALUE!</v>
      </c>
      <c r="E20" s="1627"/>
    </row>
    <row r="21" spans="1:5" ht="15.75" thickBot="1">
      <c r="A21" s="1627"/>
      <c r="B21" s="323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67" t="s">
        <v>2583</v>
      </c>
      <c r="D1" s="3568"/>
      <c r="E1" s="3568"/>
      <c r="F1" s="3568"/>
      <c r="G1" s="3568"/>
      <c r="H1" s="3568"/>
      <c r="I1" s="3568"/>
      <c r="J1" s="3568"/>
      <c r="K1" s="3568"/>
      <c r="L1" s="3568"/>
      <c r="M1" s="3568"/>
      <c r="N1" s="3568"/>
      <c r="O1" s="3568"/>
      <c r="P1" s="3568"/>
      <c r="Q1" s="3568"/>
      <c r="R1" s="3568"/>
      <c r="S1" s="356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64" t="s">
        <v>33</v>
      </c>
      <c r="D22" s="3565"/>
      <c r="E22" s="3565"/>
      <c r="F22" s="3565"/>
      <c r="G22" s="3565"/>
      <c r="H22" s="3565"/>
      <c r="I22" s="3565"/>
      <c r="J22" s="3565"/>
      <c r="K22" s="3565"/>
      <c r="L22" s="3565"/>
      <c r="M22" s="3565"/>
      <c r="N22" s="3565"/>
      <c r="O22" s="3565"/>
      <c r="P22" s="3565"/>
      <c r="Q22" s="356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36980</v>
      </c>
      <c r="C2" s="2" t="s">
        <v>133</v>
      </c>
      <c r="D2" s="205"/>
      <c r="E2" s="205"/>
      <c r="F2" s="205"/>
      <c r="G2" s="205"/>
    </row>
    <row r="3" spans="1:7" s="206" customFormat="1" ht="18" customHeight="1" thickBot="1">
      <c r="A3" s="209" t="s">
        <v>85</v>
      </c>
      <c r="B3" s="210">
        <f ca="1">ROUND(B2*10000/'数据-汇总表'!E3,0)</f>
        <v>13274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557</v>
      </c>
      <c r="D10" s="935">
        <f>'数据-汇总表'!E6</f>
        <v>27858.239999999998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501</v>
      </c>
      <c r="D19" s="939">
        <f>'数据-汇总表'!E3</f>
        <v>27858.239999999998</v>
      </c>
      <c r="E19" s="217">
        <f>'数据-取费表'!B31</f>
        <v>180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1357</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32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2153</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2153</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27101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10690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9750</v>
      </c>
      <c r="D34" s="223"/>
      <c r="E34" s="226"/>
      <c r="F34" s="263">
        <f>IF('数据-取费表'!B24=0,1,'数据-取费表'!N16)</f>
        <v>1</v>
      </c>
      <c r="G34" s="225" t="s">
        <v>116</v>
      </c>
    </row>
    <row r="35" spans="1:7" ht="13.5" customHeight="1">
      <c r="A35" s="869" t="s">
        <v>615</v>
      </c>
      <c r="B35" s="221" t="s">
        <v>60</v>
      </c>
      <c r="C35" s="226">
        <f>ROUND(C34*F35,0)</f>
        <v>293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501</v>
      </c>
      <c r="D37" s="223">
        <f>'数据-汇总表'!E3</f>
        <v>27858.239999999998</v>
      </c>
      <c r="E37" s="255">
        <f>'数据-取费表'!B35</f>
        <v>180</v>
      </c>
      <c r="F37" s="265"/>
      <c r="G37" s="267" t="s">
        <v>119</v>
      </c>
    </row>
    <row r="38" spans="1:7" ht="13.5" customHeight="1">
      <c r="A38" s="869" t="s">
        <v>618</v>
      </c>
      <c r="B38" s="221" t="s">
        <v>63</v>
      </c>
      <c r="C38" s="226">
        <f>ROUND(C34*F38,0)</f>
        <v>146</v>
      </c>
      <c r="D38" s="226"/>
      <c r="E38" s="226"/>
      <c r="F38" s="265">
        <f>'数据-取费表'!B36</f>
        <v>1.4999999999999999E-2</v>
      </c>
      <c r="G38" s="225" t="s">
        <v>117</v>
      </c>
    </row>
    <row r="39" spans="1:7" s="220" customFormat="1" ht="13.5" customHeight="1">
      <c r="A39" s="866" t="s">
        <v>602</v>
      </c>
      <c r="B39" s="216" t="s">
        <v>104</v>
      </c>
      <c r="C39" s="238">
        <f>ROUND(C33*F20,0)</f>
        <v>214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342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335</v>
      </c>
      <c r="D42" s="244"/>
      <c r="E42" s="244"/>
      <c r="F42" s="245"/>
      <c r="G42" s="3416" t="s">
        <v>121</v>
      </c>
    </row>
    <row r="43" spans="1:7" ht="13.5" customHeight="1">
      <c r="A43" s="869" t="s">
        <v>611</v>
      </c>
      <c r="B43" s="221" t="s">
        <v>851</v>
      </c>
      <c r="C43" s="244">
        <f ca="1">ROUND(IF('数据-取费表'!B22&lt;=1,C39*F22*'数据-取费表'!B21/2,C39*(POWER((1+F22),'数据-取费表'!B21/2)-1)),0)</f>
        <v>7</v>
      </c>
      <c r="D43" s="244"/>
      <c r="E43" s="244"/>
      <c r="F43" s="245"/>
      <c r="G43" s="3417"/>
    </row>
    <row r="44" spans="1:7" ht="13.5" customHeight="1">
      <c r="A44" s="869" t="s">
        <v>612</v>
      </c>
      <c r="B44" s="221" t="s">
        <v>853</v>
      </c>
      <c r="C44" s="244">
        <f ca="1">ROUND(IF('数据-取费表'!B22&lt;=1,C40*F22*'数据-取费表'!B21/2,C40*(POWER((1+F22),'数据-取费表'!B21/2)-1)),4)</f>
        <v>5.9999999999999995E-4</v>
      </c>
      <c r="D44" s="244"/>
      <c r="E44" s="244"/>
      <c r="F44" s="245"/>
      <c r="G44" s="3418"/>
    </row>
    <row r="45" spans="1:7" s="220" customFormat="1" ht="13.5" customHeight="1">
      <c r="A45" s="866" t="s">
        <v>605</v>
      </c>
      <c r="B45" s="250" t="s">
        <v>112</v>
      </c>
      <c r="C45" s="251">
        <f>C46</f>
        <v>1090</v>
      </c>
      <c r="D45" s="241">
        <f>C47</f>
        <v>2E-3</v>
      </c>
      <c r="E45" s="242" t="s">
        <v>129</v>
      </c>
      <c r="F45" s="252"/>
      <c r="G45" s="253" t="s">
        <v>859</v>
      </c>
    </row>
    <row r="46" spans="1:7" s="220" customFormat="1" ht="13.5" customHeight="1">
      <c r="A46" s="869" t="s">
        <v>613</v>
      </c>
      <c r="B46" s="254" t="s">
        <v>852</v>
      </c>
      <c r="C46" s="255">
        <f>ROUND((C33+C39)*F27,0)</f>
        <v>1090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13350</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9879</v>
      </c>
      <c r="D51" s="238"/>
      <c r="E51" s="238"/>
      <c r="F51" s="270"/>
      <c r="G51" s="240" t="s">
        <v>64</v>
      </c>
    </row>
    <row r="52" spans="1:7" s="214" customFormat="1" ht="16.5" thickBot="1">
      <c r="A52" s="271" t="s">
        <v>65</v>
      </c>
      <c r="B52" s="272"/>
      <c r="C52" s="273">
        <f ca="1">C31+C51</f>
        <v>36980</v>
      </c>
      <c r="D52" s="272"/>
      <c r="E52" s="272"/>
      <c r="F52" s="272"/>
      <c r="G52" s="274"/>
    </row>
    <row r="55" spans="1:7" ht="15">
      <c r="B55" s="276" t="s">
        <v>66</v>
      </c>
      <c r="C55" s="277"/>
    </row>
    <row r="56" spans="1:7">
      <c r="B56" s="279" t="s">
        <v>67</v>
      </c>
      <c r="C56" s="280">
        <f ca="1">ROUND(C51/C52,3)</f>
        <v>0.26700000000000002</v>
      </c>
    </row>
    <row r="57" spans="1:7">
      <c r="B57" s="279" t="s">
        <v>68</v>
      </c>
      <c r="C57" s="281">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0" t="s">
        <v>156</v>
      </c>
      <c r="B1" s="3570"/>
      <c r="C1" s="3570"/>
      <c r="D1" s="3570"/>
      <c r="E1" s="3570"/>
      <c r="F1" s="357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1" t="s">
        <v>169</v>
      </c>
      <c r="B2" s="3571"/>
      <c r="C2" s="3571"/>
      <c r="D2" s="3571"/>
      <c r="E2" s="3571"/>
      <c r="F2" s="357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0" t="s">
        <v>658</v>
      </c>
      <c r="B1" s="357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44700</v>
      </c>
      <c r="D1" s="1423" t="s">
        <v>1028</v>
      </c>
      <c r="E1" s="1418">
        <f>'数据-取费表'!B22</f>
        <v>1.5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8">
        <v>44581</v>
      </c>
      <c r="D13" s="2999">
        <v>3.7</v>
      </c>
      <c r="E13" s="2999">
        <f>D13</f>
        <v>3.7</v>
      </c>
      <c r="F13" s="2999">
        <f>D13</f>
        <v>3.7</v>
      </c>
      <c r="G13" s="2999">
        <f>D13</f>
        <v>3.7</v>
      </c>
      <c r="H13" s="2999">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5">
        <v>44550</v>
      </c>
      <c r="D14" s="2994">
        <v>3.8</v>
      </c>
      <c r="E14" s="2994">
        <f>D14</f>
        <v>3.8</v>
      </c>
      <c r="F14" s="2994">
        <f>D14</f>
        <v>3.8</v>
      </c>
      <c r="G14" s="2994">
        <f>D14</f>
        <v>3.8</v>
      </c>
      <c r="H14" s="2994">
        <v>4.6500000000000004</v>
      </c>
      <c r="I14" s="2994"/>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5">
        <v>43941</v>
      </c>
      <c r="D15" s="2994">
        <v>3.85</v>
      </c>
      <c r="E15" s="2994">
        <v>3.85</v>
      </c>
      <c r="F15" s="2994">
        <v>3.85</v>
      </c>
      <c r="G15" s="2994">
        <v>3.85</v>
      </c>
      <c r="H15" s="2994">
        <v>4.6500000000000004</v>
      </c>
      <c r="I15" s="2994"/>
      <c r="J15" s="2994"/>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4"/>
      <c r="C16" s="2995">
        <v>43881</v>
      </c>
      <c r="D16" s="2994">
        <v>4.05</v>
      </c>
      <c r="E16" s="2994">
        <v>4.05</v>
      </c>
      <c r="F16" s="2994">
        <v>4.05</v>
      </c>
      <c r="G16" s="2994">
        <v>4.05</v>
      </c>
      <c r="H16" s="2994">
        <v>4.75</v>
      </c>
      <c r="I16" s="2994"/>
      <c r="J16" s="2994"/>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4"/>
      <c r="C17" s="2995">
        <v>43789</v>
      </c>
      <c r="D17" s="2994">
        <v>4.1500000000000004</v>
      </c>
      <c r="E17" s="2994">
        <v>4.1500000000000004</v>
      </c>
      <c r="F17" s="2994">
        <v>4.1500000000000004</v>
      </c>
      <c r="G17" s="2994">
        <v>4.1500000000000004</v>
      </c>
      <c r="H17" s="2994">
        <v>4.8</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4"/>
      <c r="C18" s="2995">
        <v>43728</v>
      </c>
      <c r="D18" s="2994">
        <v>4.2</v>
      </c>
      <c r="E18" s="2994">
        <v>4.2</v>
      </c>
      <c r="F18" s="2994">
        <v>4.2</v>
      </c>
      <c r="G18" s="2994">
        <v>4.2</v>
      </c>
      <c r="H18" s="2994">
        <v>4.8499999999999996</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5"/>
      <c r="B19" s="2993" t="s">
        <v>2808</v>
      </c>
      <c r="C19" s="2996">
        <v>43697</v>
      </c>
      <c r="D19" s="2997">
        <v>4.25</v>
      </c>
      <c r="E19" s="2997">
        <v>4.25</v>
      </c>
      <c r="F19" s="2997">
        <v>4.25</v>
      </c>
      <c r="G19" s="2997">
        <v>4.25</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0"/>
      <c r="B20" s="3001"/>
      <c r="C20" s="3002">
        <v>42301</v>
      </c>
      <c r="D20" s="3003">
        <v>4.3499999999999996</v>
      </c>
      <c r="E20" s="3003">
        <v>4.3499999999999996</v>
      </c>
      <c r="F20" s="3003">
        <v>4.75</v>
      </c>
      <c r="G20" s="3003">
        <v>4.75</v>
      </c>
      <c r="H20" s="3003">
        <v>4.9000000000000004</v>
      </c>
      <c r="I20" s="3003"/>
      <c r="J20" s="3003"/>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1365</v>
      </c>
      <c r="B2" s="3239" t="s">
        <v>1366</v>
      </c>
      <c r="C2" s="3239" t="s">
        <v>1367</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40"/>
      <c r="B3" s="3240"/>
      <c r="C3" s="3240"/>
      <c r="D3" s="944" t="s">
        <v>1362</v>
      </c>
      <c r="E3" s="944" t="s">
        <v>1368</v>
      </c>
      <c r="F3" s="944" t="s">
        <v>1362</v>
      </c>
      <c r="G3" s="944" t="s">
        <v>1363</v>
      </c>
      <c r="H3" s="944" t="s">
        <v>1362</v>
      </c>
      <c r="I3" s="944" t="s">
        <v>1363</v>
      </c>
    </row>
    <row r="4" spans="1:9" ht="15">
      <c r="A4" s="1641" t="str">
        <f>项目基本情况!S2</f>
        <v>北京市海淀区开拓路5号房地产</v>
      </c>
      <c r="B4" s="944">
        <f>项目基本情况!C17</f>
        <v>27858.239999999998</v>
      </c>
      <c r="C4" s="944">
        <f>项目基本情况!C18</f>
        <v>9429.73</v>
      </c>
      <c r="D4" s="944">
        <f ca="1">结果表!D118</f>
        <v>21340</v>
      </c>
      <c r="E4" s="944">
        <f ca="1">结果表!E118</f>
        <v>7660</v>
      </c>
      <c r="F4" s="944">
        <f ca="1">结果表!F118</f>
        <v>9365</v>
      </c>
      <c r="G4" s="944">
        <f ca="1">结果表!G118</f>
        <v>3362</v>
      </c>
      <c r="H4" s="944">
        <f ca="1">结果表!H118</f>
        <v>30705</v>
      </c>
      <c r="I4" s="944">
        <f ca="1">结果表!I118</f>
        <v>11022</v>
      </c>
    </row>
    <row r="5" spans="1:9" ht="30" customHeight="1">
      <c r="A5" s="3240" t="s">
        <v>1364</v>
      </c>
      <c r="B5" s="3240"/>
      <c r="C5" s="3240"/>
      <c r="D5" s="3241" t="str">
        <f ca="1">结果表!D119</f>
        <v>贰亿壹仟叁佰肆拾万元整</v>
      </c>
      <c r="E5" s="3241"/>
      <c r="F5" s="3241" t="str">
        <f ca="1">结果表!F119</f>
        <v>玖仟叁佰陆拾伍万元整</v>
      </c>
      <c r="G5" s="3241"/>
      <c r="H5" s="3241" t="str">
        <f ca="1">结果表!H119</f>
        <v>叁亿零柒佰零伍万元整</v>
      </c>
      <c r="I5" s="3241"/>
    </row>
    <row r="6" spans="1:9" ht="15.75">
      <c r="A6" s="3242" t="str">
        <f>结果表!A120</f>
        <v/>
      </c>
      <c r="B6" s="3242"/>
      <c r="C6" s="3242"/>
      <c r="D6" s="3242">
        <f>结果表!D120</f>
        <v>0</v>
      </c>
      <c r="E6" s="3242"/>
      <c r="F6" s="3242"/>
      <c r="G6" s="3242"/>
      <c r="H6" s="3242"/>
      <c r="I6" s="3242"/>
    </row>
    <row r="7" spans="1:9" ht="15">
      <c r="A7" s="3240" t="s">
        <v>1364</v>
      </c>
      <c r="B7" s="3240"/>
      <c r="C7" s="3240"/>
      <c r="D7" s="3243" t="str">
        <f>结果表!D121</f>
        <v>零元整</v>
      </c>
      <c r="E7" s="3244"/>
      <c r="F7" s="3244"/>
      <c r="G7" s="3244"/>
      <c r="H7" s="3244"/>
      <c r="I7" s="3245"/>
    </row>
    <row r="8" spans="1:9" ht="15.75">
      <c r="A8" s="3242" t="str">
        <f>结果表!A122</f>
        <v/>
      </c>
      <c r="B8" s="3242"/>
      <c r="C8" s="3242"/>
      <c r="D8" s="3242">
        <f ca="1">结果表!D122</f>
        <v>30705</v>
      </c>
      <c r="E8" s="3242"/>
      <c r="F8" s="3242"/>
      <c r="G8" s="3242"/>
      <c r="H8" s="3242"/>
      <c r="I8" s="3242"/>
    </row>
    <row r="9" spans="1:9" ht="15">
      <c r="A9" s="3240" t="s">
        <v>1364</v>
      </c>
      <c r="B9" s="3240"/>
      <c r="C9" s="3240"/>
      <c r="D9" s="3241" t="str">
        <f ca="1">结果表!D123</f>
        <v>叁亿零柒佰零伍万元整</v>
      </c>
      <c r="E9" s="3241"/>
      <c r="F9" s="3241"/>
      <c r="G9" s="3241"/>
      <c r="H9" s="3241"/>
      <c r="I9" s="3241"/>
    </row>
    <row r="10" spans="1:9" ht="15.75">
      <c r="A10" s="3242" t="str">
        <f>结果表!A124</f>
        <v/>
      </c>
      <c r="B10" s="3242"/>
      <c r="C10" s="3242"/>
      <c r="D10" s="3242" t="str">
        <f>结果表!D124</f>
        <v>——</v>
      </c>
      <c r="E10" s="3242"/>
      <c r="F10" s="3242"/>
      <c r="G10" s="3242"/>
      <c r="H10" s="3242"/>
      <c r="I10" s="3242"/>
    </row>
    <row r="11" spans="1:9" ht="15">
      <c r="A11" s="3240" t="s">
        <v>1364</v>
      </c>
      <c r="B11" s="3240"/>
      <c r="C11" s="3240"/>
      <c r="D11" s="3241" t="e">
        <f>结果表!D125</f>
        <v>#VALUE!</v>
      </c>
      <c r="E11" s="3241"/>
      <c r="F11" s="3241"/>
      <c r="G11" s="3241"/>
      <c r="H11" s="3241"/>
      <c r="I11" s="3241"/>
    </row>
    <row r="12" spans="1:9" ht="15.75">
      <c r="A12" s="3242" t="str">
        <f>结果表!A126</f>
        <v/>
      </c>
      <c r="B12" s="3242"/>
      <c r="C12" s="3242"/>
      <c r="D12" s="3242" t="str">
        <f>结果表!D126</f>
        <v>——</v>
      </c>
      <c r="E12" s="3242"/>
      <c r="F12" s="3242"/>
      <c r="G12" s="3242"/>
      <c r="H12" s="3242"/>
      <c r="I12" s="3242"/>
    </row>
    <row r="13" spans="1:9" ht="15.75" thickBot="1">
      <c r="A13" s="3246" t="s">
        <v>1364</v>
      </c>
      <c r="B13" s="3246"/>
      <c r="C13" s="3246"/>
      <c r="D13" s="3247" t="e">
        <f>结果表!D127</f>
        <v>#VALUE!</v>
      </c>
      <c r="E13" s="3247"/>
      <c r="F13" s="3247"/>
      <c r="G13" s="3247"/>
      <c r="H13" s="3247"/>
      <c r="I13" s="3247"/>
    </row>
    <row r="14" spans="1:9" ht="15" thickTop="1">
      <c r="A14" s="3248" t="s">
        <v>1369</v>
      </c>
      <c r="B14" s="3248"/>
      <c r="C14" s="3248"/>
      <c r="D14" s="3248"/>
      <c r="E14" s="3248"/>
      <c r="F14" s="3248"/>
      <c r="G14" s="3248"/>
      <c r="H14" s="3248"/>
      <c r="I14" s="324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49" t="s">
        <v>1386</v>
      </c>
      <c r="B1" s="3249"/>
      <c r="C1" s="3249"/>
      <c r="D1" s="3249"/>
    </row>
    <row r="2" spans="1:4" ht="18">
      <c r="A2" s="3250" t="s">
        <v>1370</v>
      </c>
      <c r="B2" s="3250"/>
      <c r="C2" s="3250"/>
      <c r="D2" s="3250"/>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50" t="s">
        <v>1376</v>
      </c>
      <c r="B6" s="3250"/>
      <c r="C6" s="3250"/>
      <c r="D6" s="325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1" t="s">
        <v>1379</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2" t="str">
        <f>IF(项目基本情况!B8="抵押","4.本次评估估价师所知悉的法定优先受偿款情况说明如下：","——")</f>
        <v>4.本次评估估价师所知悉的法定优先受偿款情况说明如下：</v>
      </c>
      <c r="B14" s="3253"/>
      <c r="C14" s="3253"/>
      <c r="D14" s="3253"/>
    </row>
    <row r="15" spans="1:4" ht="42" customHeight="1">
      <c r="A15" s="325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5" t="s">
        <v>1380</v>
      </c>
      <c r="B16" s="3255"/>
      <c r="C16" s="3255"/>
      <c r="D16" s="3255"/>
    </row>
    <row r="17" spans="1:4" ht="144" customHeight="1">
      <c r="A17" s="3255" t="s">
        <v>1381</v>
      </c>
      <c r="B17" s="3255"/>
      <c r="C17" s="3255"/>
      <c r="D17" s="3255"/>
    </row>
    <row r="18" spans="1:4" ht="15.75" customHeight="1">
      <c r="A18" s="3252" t="str">
        <f>IF(项目基本情况!B8="抵押",结果表!K120,"——")</f>
        <v>故，本次评估不存在</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2"/>
      <c r="C20" s="3252"/>
      <c r="D20" s="3252"/>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3" t="s">
        <v>1393</v>
      </c>
      <c r="B15" s="3258" t="s">
        <v>136</v>
      </c>
      <c r="C15" s="3259"/>
    </row>
    <row r="16" spans="1:7" ht="13.5">
      <c r="A16" s="3264"/>
      <c r="B16" s="3258" t="s">
        <v>69</v>
      </c>
      <c r="C16" s="3259"/>
    </row>
    <row r="17" spans="1:3" ht="13.5">
      <c r="A17" s="3264"/>
      <c r="B17" s="3261" t="s">
        <v>1394</v>
      </c>
      <c r="C17" s="1668" t="s">
        <v>1393</v>
      </c>
    </row>
    <row r="18" spans="1:3" ht="13.5">
      <c r="A18" s="3264"/>
      <c r="B18" s="3261"/>
      <c r="C18" s="1668" t="s">
        <v>1395</v>
      </c>
    </row>
    <row r="19" spans="1:3" ht="13.5">
      <c r="A19" s="3264"/>
      <c r="B19" s="3261"/>
      <c r="C19" s="1668" t="s">
        <v>1396</v>
      </c>
    </row>
    <row r="20" spans="1:3" ht="13.5">
      <c r="A20" s="3265"/>
      <c r="B20" s="3260" t="s">
        <v>1397</v>
      </c>
      <c r="C20" s="3259"/>
    </row>
    <row r="21" spans="1:3" ht="13.5">
      <c r="A21" s="1669" t="s">
        <v>1398</v>
      </c>
      <c r="B21" s="1670"/>
      <c r="C21" s="1671"/>
    </row>
    <row r="22" spans="1:3" ht="13.5">
      <c r="A22" s="3262" t="s">
        <v>1399</v>
      </c>
      <c r="B22" s="3260" t="s">
        <v>1400</v>
      </c>
      <c r="C22" s="3259"/>
    </row>
    <row r="23" spans="1:3" ht="13.5">
      <c r="A23" s="3262"/>
      <c r="B23" s="3260" t="s">
        <v>1401</v>
      </c>
      <c r="C23" s="3259"/>
    </row>
    <row r="24" spans="1:3" ht="13.5">
      <c r="A24" s="3262"/>
      <c r="B24" s="3260" t="s">
        <v>1402</v>
      </c>
      <c r="C24" s="3259"/>
    </row>
    <row r="25" spans="1:3" ht="13.5">
      <c r="A25" s="3262"/>
      <c r="B25" s="3261" t="s">
        <v>1403</v>
      </c>
      <c r="C25" s="1668" t="s">
        <v>1404</v>
      </c>
    </row>
    <row r="26" spans="1:3" ht="13.5">
      <c r="A26" s="3262"/>
      <c r="B26" s="3261"/>
      <c r="C26" s="1668" t="s">
        <v>1405</v>
      </c>
    </row>
    <row r="27" spans="1:3" ht="13.5">
      <c r="A27" s="3262"/>
      <c r="B27" s="3261"/>
      <c r="C27" s="1668" t="s">
        <v>1406</v>
      </c>
    </row>
    <row r="28" spans="1:3" ht="13.5">
      <c r="A28" s="3262"/>
      <c r="B28" s="3261"/>
      <c r="C28" s="1668" t="s">
        <v>1407</v>
      </c>
    </row>
    <row r="29" spans="1:3" ht="13.5">
      <c r="A29" s="3262"/>
      <c r="B29" s="3261"/>
      <c r="C29" s="1668" t="s">
        <v>1408</v>
      </c>
    </row>
    <row r="30" spans="1:3" ht="13.5">
      <c r="A30" s="3262"/>
      <c r="B30" s="3261"/>
      <c r="C30" s="1668" t="s">
        <v>1409</v>
      </c>
    </row>
    <row r="31" spans="1:3" ht="13.5">
      <c r="A31" s="3262"/>
      <c r="B31" s="3261"/>
      <c r="C31" s="1668" t="s">
        <v>1410</v>
      </c>
    </row>
    <row r="32" spans="1:3" ht="13.5">
      <c r="A32" s="3262"/>
      <c r="B32" s="3261"/>
      <c r="C32" s="1668" t="s">
        <v>1411</v>
      </c>
    </row>
    <row r="33" spans="1:3" ht="13.5">
      <c r="A33" s="3262"/>
      <c r="B33" s="326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44700</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2936</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66" t="s">
        <v>2660</v>
      </c>
      <c r="B17" s="3266"/>
      <c r="C17" s="3266"/>
      <c r="D17" s="3266"/>
      <c r="E17" s="3266"/>
      <c r="F17" s="3266"/>
      <c r="G17" s="3266"/>
      <c r="H17" s="3266"/>
    </row>
    <row r="18" spans="1:8" ht="24" customHeight="1">
      <c r="A18" s="3267" t="s">
        <v>2661</v>
      </c>
      <c r="B18" s="3267"/>
      <c r="C18" s="3267"/>
      <c r="D18" s="2517"/>
      <c r="E18" s="3268" t="s">
        <v>2662</v>
      </c>
      <c r="F18" s="3267"/>
      <c r="G18" s="326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2937</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2022-05-19T07:29:15Z</dcterms:modified>
</cp:coreProperties>
</file>