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6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租金" sheetId="6" r:id="rId5"/>
    <sheet name="售价" sheetId="7" r:id="rId6"/>
    <sheet name="系统读取表" sheetId="8" r:id="rId7"/>
  </sheets>
  <externalReferences>
    <externalReference r:id="rId8"/>
  </externalReferences>
  <definedNames>
    <definedName name="_xlnm.Print_Area" localSheetId="6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8" l="1"/>
  <c r="C12" i="2" l="1"/>
  <c r="C5" i="8" l="1"/>
  <c r="H14" i="2" l="1"/>
  <c r="E14" i="8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D9" i="2"/>
  <c r="D8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<sst xmlns="http://schemas.openxmlformats.org/spreadsheetml/2006/main" count="221" uniqueCount="114">
  <si>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</si>
  <si>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</si>
  <si>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</si>
  <si>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</si>
  <si>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</si>
  <si>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</si>
  <si>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</si>
  <si>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</si>
  <si>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</si>
  <si>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</si>
  <si>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</si>
  <si>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</si>
  <si>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</si>
  <si>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</si>
  <si>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</si>
  <si>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</si>
  <si>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</si>
  <si>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</si>
  <si>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</si>
  <si>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</si>
  <si>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</si>
  <si>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</si>
  <si>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</si>
  <si>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</si>
  <si>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</si>
  <si>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</si>
  <si>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</si>
  <si>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</si>
  <si>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</si>
  <si>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</si>
  <si>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</si>
  <si>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</si>
  <si>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</si>
  <si>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</si>
  <si>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</si>
  <si>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</si>
  <si>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</si>
  <si>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</si>
  <si>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</si>
  <si>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</si>
  <si>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</si>
  <si>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</si>
  <si>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</si>
  <si>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</si>
  <si>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</si>
  <si>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</si>
  <si>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</si>
  <si>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</si>
  <si>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</si>
  <si>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</si>
  <si>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</si>
  <si>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</si>
  <si>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</si>
  <si>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</si>
  <si>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</si>
  <si>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</si>
  <si>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</si>
  <si>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</si>
  <si>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</si>
  <si>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</si>
  <si>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</si>
  <si>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</si>
  <si>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</si>
  <si>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</si>
  <si>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</si>
  <si>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</si>
  <si>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</si>
  <si>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</si>
  <si>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</si>
  <si>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</si>
  <si>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</si>
  <si>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</si>
  <si>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</si>
  <si>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</si>
  <si>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</si>
  <si>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</si>
  <si>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</si>
  <si>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中关村SOHO</t>
    <phoneticPr fontId="46" type="noConversion"/>
  </si>
  <si>
    <r>
      <t>1+1</t>
    </r>
    <r>
      <rPr>
        <sz val="16"/>
        <color theme="1"/>
        <rFont val="宋体"/>
        <family val="3"/>
        <charset val="134"/>
      </rPr>
      <t>大厦</t>
    </r>
    <phoneticPr fontId="46" type="noConversion"/>
  </si>
  <si>
    <t>泛亚大厦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</si>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</sst>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47" fillId="0" borderId="6" xfId="0" applyFont="1" applyBorder="1" applyAlignment="1" applyProtection="1">
      <alignment horizontal="left" vertical="center"/>
      <protection locked="0"/>
    </xf>
    <xf numFmtId="0" fontId="47" fillId="0" borderId="28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7</xdr:col>
      <xdr:colOff>375896</xdr:colOff>
      <xdr:row>27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5176496" cy="4733925"/>
        </a:xfrm>
        <a:prstGeom prst="rect">
          <a:avLst/>
        </a:prstGeom>
      </xdr:spPr>
    </xdr:pic>
    <xdr:clientData/>
  </xdr:twoCellAnchor>
  <xdr:twoCellAnchor editAs="oneCell">
    <xdr:from>
      <xdr:col>8</xdr:col>
      <xdr:colOff>54670</xdr:colOff>
      <xdr:row>0</xdr:row>
      <xdr:rowOff>0</xdr:rowOff>
    </xdr:from>
    <xdr:to>
      <xdr:col>14</xdr:col>
      <xdr:colOff>675533</xdr:colOff>
      <xdr:row>27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41070" y="0"/>
          <a:ext cx="4735663" cy="4667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152400</xdr:rowOff>
    </xdr:from>
    <xdr:to>
      <xdr:col>5</xdr:col>
      <xdr:colOff>647191</xdr:colOff>
      <xdr:row>59</xdr:row>
      <xdr:rowOff>161260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53000"/>
          <a:ext cx="4076191" cy="532381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</xdr:colOff>
      <xdr:row>28</xdr:row>
      <xdr:rowOff>95250</xdr:rowOff>
    </xdr:from>
    <xdr:to>
      <xdr:col>14</xdr:col>
      <xdr:colOff>56465</xdr:colOff>
      <xdr:row>59</xdr:row>
      <xdr:rowOff>66015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71950" y="4895850"/>
          <a:ext cx="5485715" cy="52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60</xdr:row>
      <xdr:rowOff>142875</xdr:rowOff>
    </xdr:from>
    <xdr:to>
      <xdr:col>7</xdr:col>
      <xdr:colOff>589879</xdr:colOff>
      <xdr:row>85</xdr:row>
      <xdr:rowOff>56625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10429875"/>
          <a:ext cx="5371429" cy="42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600075</xdr:colOff>
      <xdr:row>60</xdr:row>
      <xdr:rowOff>142875</xdr:rowOff>
    </xdr:from>
    <xdr:to>
      <xdr:col>15</xdr:col>
      <xdr:colOff>323199</xdr:colOff>
      <xdr:row>91</xdr:row>
      <xdr:rowOff>113640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00675" y="10429875"/>
          <a:ext cx="5209524" cy="52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4</xdr:col>
      <xdr:colOff>218705</xdr:colOff>
      <xdr:row>118</xdr:row>
      <xdr:rowOff>46977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087600"/>
          <a:ext cx="2961905" cy="5190477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87</xdr:row>
      <xdr:rowOff>95250</xdr:rowOff>
    </xdr:from>
    <xdr:to>
      <xdr:col>8</xdr:col>
      <xdr:colOff>447329</xdr:colOff>
      <xdr:row>120</xdr:row>
      <xdr:rowOff>37400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162300" y="15011400"/>
          <a:ext cx="2771429" cy="56000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12</xdr:col>
      <xdr:colOff>628314</xdr:colOff>
      <xdr:row>118</xdr:row>
      <xdr:rowOff>47062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72200" y="15773400"/>
          <a:ext cx="2685714" cy="450476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92</xdr:row>
      <xdr:rowOff>0</xdr:rowOff>
    </xdr:from>
    <xdr:to>
      <xdr:col>16</xdr:col>
      <xdr:colOff>618791</xdr:colOff>
      <xdr:row>124</xdr:row>
      <xdr:rowOff>142172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915400" y="15773400"/>
          <a:ext cx="2676191" cy="5628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666238</xdr:colOff>
      <xdr:row>33</xdr:row>
      <xdr:rowOff>56458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4095238" cy="554285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11</xdr:col>
      <xdr:colOff>666238</xdr:colOff>
      <xdr:row>32</xdr:row>
      <xdr:rowOff>151717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14800" y="171450"/>
          <a:ext cx="4095238" cy="54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8</xdr:col>
      <xdr:colOff>570743</xdr:colOff>
      <xdr:row>69</xdr:row>
      <xdr:rowOff>8796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00750"/>
          <a:ext cx="6057143" cy="5838096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0</xdr:rowOff>
    </xdr:from>
    <xdr:to>
      <xdr:col>17</xdr:col>
      <xdr:colOff>580530</xdr:colOff>
      <xdr:row>20</xdr:row>
      <xdr:rowOff>28143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77225" y="0"/>
          <a:ext cx="3961905" cy="345714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21</xdr:row>
      <xdr:rowOff>0</xdr:rowOff>
    </xdr:from>
    <xdr:to>
      <xdr:col>17</xdr:col>
      <xdr:colOff>351953</xdr:colOff>
      <xdr:row>41</xdr:row>
      <xdr:rowOff>75762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29600" y="3600450"/>
          <a:ext cx="3780953" cy="35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14</xdr:col>
      <xdr:colOff>466238</xdr:colOff>
      <xdr:row>62</xdr:row>
      <xdr:rowOff>113857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72200" y="7200900"/>
          <a:ext cx="3895238" cy="354285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14</xdr:col>
      <xdr:colOff>542429</xdr:colOff>
      <xdr:row>91</xdr:row>
      <xdr:rowOff>113686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172200" y="10801350"/>
          <a:ext cx="3971429" cy="49142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70" t="s">
        <v>0</v>
      </c>
      <c r="B2" s="171"/>
      <c r="C2" s="171"/>
      <c r="D2" s="171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177">
        <f>ROUND((C7*D7+C8*D8+C9*D9)/3,0)</f>
        <v>16150</v>
      </c>
      <c r="F7" s="179">
        <v>0.7</v>
      </c>
      <c r="G7" s="181" t="str">
        <f>IF(OR(H7&gt;0.75,H7&lt;0.6),"租售比异常，注意权重计取","")</f>
        <v>租售比异常，注意权重计取</v>
      </c>
      <c r="H7" s="184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177"/>
      <c r="F8" s="179"/>
      <c r="G8" s="182"/>
      <c r="H8" s="185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178"/>
      <c r="F9" s="180"/>
      <c r="G9" s="183"/>
      <c r="H9" s="186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72" t="s">
        <v>26</v>
      </c>
      <c r="B13" s="173"/>
      <c r="C13" s="173"/>
      <c r="D13" s="173"/>
      <c r="E13" s="173"/>
      <c r="F13" s="174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96" t="s">
        <v>34</v>
      </c>
      <c r="H20" s="197"/>
      <c r="I20" s="197"/>
      <c r="J20" s="198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99"/>
      <c r="H21" s="200"/>
      <c r="I21" s="200"/>
      <c r="J21" s="201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99" t="s">
        <v>37</v>
      </c>
      <c r="R21" s="200"/>
      <c r="S21" s="200"/>
      <c r="T21" s="201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99"/>
      <c r="H22" s="200"/>
      <c r="I22" s="200"/>
      <c r="J22" s="201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99"/>
      <c r="R22" s="200"/>
      <c r="S22" s="200"/>
      <c r="T22" s="201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99"/>
      <c r="H23" s="200"/>
      <c r="I23" s="200"/>
      <c r="J23" s="201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99"/>
      <c r="R23" s="200"/>
      <c r="S23" s="200"/>
      <c r="T23" s="201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99"/>
      <c r="H24" s="200"/>
      <c r="I24" s="200"/>
      <c r="J24" s="201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99"/>
      <c r="R24" s="200"/>
      <c r="S24" s="200"/>
      <c r="T24" s="201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99"/>
      <c r="H25" s="200"/>
      <c r="I25" s="200"/>
      <c r="J25" s="201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99"/>
      <c r="R25" s="200"/>
      <c r="S25" s="200"/>
      <c r="T25" s="201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99"/>
      <c r="H26" s="200"/>
      <c r="I26" s="200"/>
      <c r="J26" s="201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99"/>
      <c r="R26" s="200"/>
      <c r="S26" s="200"/>
      <c r="T26" s="201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99"/>
      <c r="H27" s="200"/>
      <c r="I27" s="200"/>
      <c r="J27" s="201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99"/>
      <c r="R27" s="200"/>
      <c r="S27" s="200"/>
      <c r="T27" s="201"/>
    </row>
    <row r="28" spans="1:21" ht="15">
      <c r="A28" s="118"/>
      <c r="B28" s="119"/>
      <c r="C28" s="175"/>
      <c r="D28" s="176"/>
      <c r="E28" s="120"/>
      <c r="F28" s="121"/>
      <c r="G28" s="202"/>
      <c r="H28" s="203"/>
      <c r="I28" s="203"/>
      <c r="J28" s="204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202"/>
      <c r="R28" s="203"/>
      <c r="S28" s="203"/>
      <c r="T28" s="204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87" t="s">
        <v>41</v>
      </c>
      <c r="H31" s="188"/>
      <c r="I31" s="188"/>
      <c r="J31" s="189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96" t="s">
        <v>42</v>
      </c>
      <c r="R31" s="197"/>
      <c r="S31" s="197"/>
      <c r="T31" s="198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90"/>
      <c r="H32" s="191"/>
      <c r="I32" s="191"/>
      <c r="J32" s="192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99"/>
      <c r="R32" s="200"/>
      <c r="S32" s="200"/>
      <c r="T32" s="201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90"/>
      <c r="H33" s="191"/>
      <c r="I33" s="191"/>
      <c r="J33" s="192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99"/>
      <c r="R33" s="200"/>
      <c r="S33" s="200"/>
      <c r="T33" s="201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90"/>
      <c r="H34" s="191"/>
      <c r="I34" s="191"/>
      <c r="J34" s="192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99"/>
      <c r="R34" s="200"/>
      <c r="S34" s="200"/>
      <c r="T34" s="201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90"/>
      <c r="H35" s="191"/>
      <c r="I35" s="191"/>
      <c r="J35" s="192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99"/>
      <c r="R35" s="200"/>
      <c r="S35" s="200"/>
      <c r="T35" s="201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90"/>
      <c r="H36" s="191"/>
      <c r="I36" s="191"/>
      <c r="J36" s="192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99"/>
      <c r="R36" s="200"/>
      <c r="S36" s="200"/>
      <c r="T36" s="201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90"/>
      <c r="H37" s="191"/>
      <c r="I37" s="191"/>
      <c r="J37" s="192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99"/>
      <c r="R37" s="200"/>
      <c r="S37" s="200"/>
      <c r="T37" s="201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93"/>
      <c r="H38" s="194"/>
      <c r="I38" s="194"/>
      <c r="J38" s="195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202"/>
      <c r="R38" s="203"/>
      <c r="S38" s="203"/>
      <c r="T38" s="204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G7:G9"/>
    <mergeCell ref="H7:H9"/>
    <mergeCell ref="G31:J38"/>
    <mergeCell ref="G20:J28"/>
    <mergeCell ref="Q31:T38"/>
    <mergeCell ref="Q21:T28"/>
    <mergeCell ref="A2:D2"/>
    <mergeCell ref="A13:F13"/>
    <mergeCell ref="C28:D28"/>
    <mergeCell ref="E7:E9"/>
    <mergeCell ref="F7:F9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V75"/>
  <sheetViews>
    <sheetView zoomScale="80" zoomScaleNormal="80" workbookViewId="0">
      <selection activeCell="C12" sqref="C12"/>
    </sheetView>
  </sheetViews>
  <sheetFormatPr defaultColWidth="8.875" defaultRowHeight="13.5"/>
  <cols>
    <col min="1" max="1" width="12.5" style="33" customWidth="1"/>
    <col min="2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2" spans="1:14" s="28" customFormat="1" ht="23.25">
      <c r="A2" s="170" t="s">
        <v>0</v>
      </c>
      <c r="B2" s="171"/>
      <c r="C2" s="171"/>
      <c r="D2" s="171"/>
      <c r="E2" s="34">
        <f>ROUND(IF(F4=0,E7*F7+E12*F12,IF(F7=0,E4*F4+E12*F12,E4*F4+E7*F7)),0)</f>
        <v>26801</v>
      </c>
      <c r="F2" s="35">
        <f>ROUND(IF(F4=0,E7/E12-1,IF(F7=0,E4/E12-1,E4/E7)),3)</f>
        <v>0.373</v>
      </c>
      <c r="G2" s="36" t="s">
        <v>1</v>
      </c>
      <c r="I2" s="144" t="s">
        <v>74</v>
      </c>
      <c r="J2" s="144">
        <v>162.96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436.75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5.4626180657177066E-2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52" t="s">
        <v>77</v>
      </c>
      <c r="C7" s="43">
        <v>28967</v>
      </c>
      <c r="D7" s="43">
        <v>0.95</v>
      </c>
      <c r="E7" s="177">
        <f>ROUND((C7*D7+C8*D8+C9*D9)/3,0)</f>
        <v>30068</v>
      </c>
      <c r="F7" s="209">
        <v>0.6</v>
      </c>
      <c r="G7" s="211" t="str">
        <f>IF(OR(H7&gt;0.75,H7&lt;0.6),"租售比异常，注意权重计取","")</f>
        <v/>
      </c>
      <c r="H7" s="184">
        <f>E7/10000/A12</f>
        <v>0.66817777777777776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43" t="s">
        <v>78</v>
      </c>
      <c r="C8" s="43">
        <v>33963</v>
      </c>
      <c r="D8" s="43">
        <f>D7</f>
        <v>0.95</v>
      </c>
      <c r="E8" s="177"/>
      <c r="F8" s="209"/>
      <c r="G8" s="212"/>
      <c r="H8" s="185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153" t="s">
        <v>79</v>
      </c>
      <c r="C9" s="43">
        <v>32021</v>
      </c>
      <c r="D9" s="43">
        <f>D7</f>
        <v>0.95</v>
      </c>
      <c r="E9" s="178"/>
      <c r="F9" s="210"/>
      <c r="G9" s="213"/>
      <c r="H9" s="186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4.5</v>
      </c>
      <c r="B12" s="61">
        <v>0.8</v>
      </c>
      <c r="C12" s="62">
        <f>J14</f>
        <v>25.55</v>
      </c>
      <c r="D12" s="63">
        <v>0.06</v>
      </c>
      <c r="E12" s="44">
        <f>ROUND(A12*365*B12/D12,0)</f>
        <v>21900</v>
      </c>
      <c r="F12" s="64">
        <f>1-F4-F7</f>
        <v>0.4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5" t="s">
        <v>52</v>
      </c>
      <c r="B13" s="206"/>
      <c r="C13" s="206"/>
      <c r="D13" s="206"/>
      <c r="E13" s="206"/>
      <c r="F13" s="207"/>
      <c r="H13" s="33">
        <f>H12+2</f>
        <v>14</v>
      </c>
      <c r="I13" s="144" t="s">
        <v>71</v>
      </c>
      <c r="J13" s="150">
        <v>55285</v>
      </c>
      <c r="K13" s="144"/>
      <c r="L13" s="144"/>
      <c r="M13" s="150"/>
      <c r="N13" s="144"/>
    </row>
    <row r="14" spans="1:14">
      <c r="H14" s="33">
        <f>50-H13</f>
        <v>36</v>
      </c>
      <c r="I14" s="144" t="s">
        <v>80</v>
      </c>
      <c r="J14" s="144">
        <f>ROUNDDOWN(MIN((J13-J12)/365,J11),2)</f>
        <v>25.55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16" t="s">
        <v>59</v>
      </c>
      <c r="I20" s="216"/>
      <c r="J20" s="216"/>
      <c r="K20" s="216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16"/>
      <c r="I21" s="216"/>
      <c r="J21" s="216"/>
      <c r="K21" s="216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14" t="s">
        <v>61</v>
      </c>
      <c r="T21" s="215"/>
      <c r="U21" s="215"/>
      <c r="V21" s="215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16"/>
      <c r="I22" s="216"/>
      <c r="J22" s="216"/>
      <c r="K22" s="216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14"/>
      <c r="T22" s="215"/>
      <c r="U22" s="215"/>
      <c r="V22" s="215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16"/>
      <c r="I23" s="216"/>
      <c r="J23" s="216"/>
      <c r="K23" s="216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14"/>
      <c r="T23" s="215"/>
      <c r="U23" s="215"/>
      <c r="V23" s="215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16"/>
      <c r="I24" s="216"/>
      <c r="J24" s="216"/>
      <c r="K24" s="216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14"/>
      <c r="T24" s="215"/>
      <c r="U24" s="215"/>
      <c r="V24" s="215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16"/>
      <c r="I25" s="216"/>
      <c r="J25" s="216"/>
      <c r="K25" s="216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14"/>
      <c r="T25" s="215"/>
      <c r="U25" s="215"/>
      <c r="V25" s="215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16"/>
      <c r="I26" s="216"/>
      <c r="J26" s="216"/>
      <c r="K26" s="216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14"/>
      <c r="T26" s="215"/>
      <c r="U26" s="215"/>
      <c r="V26" s="215"/>
    </row>
    <row r="27" spans="1:22">
      <c r="A27" s="2"/>
      <c r="B27" s="76"/>
      <c r="C27" s="77"/>
      <c r="D27" s="78"/>
      <c r="E27" s="79"/>
      <c r="F27" s="208"/>
      <c r="G27" s="208"/>
      <c r="H27" s="216"/>
      <c r="I27" s="216"/>
      <c r="J27" s="216"/>
      <c r="K27" s="216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14"/>
      <c r="T27" s="215"/>
      <c r="U27" s="215"/>
      <c r="V27" s="215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14" t="s">
        <v>64</v>
      </c>
      <c r="I30" s="215"/>
      <c r="J30" s="215"/>
      <c r="K30" s="215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14" t="s">
        <v>65</v>
      </c>
      <c r="T30" s="215"/>
      <c r="U30" s="215"/>
      <c r="V30" s="215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14"/>
      <c r="I31" s="215"/>
      <c r="J31" s="215"/>
      <c r="K31" s="215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14"/>
      <c r="T31" s="215"/>
      <c r="U31" s="215"/>
      <c r="V31" s="215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14"/>
      <c r="I32" s="215"/>
      <c r="J32" s="215"/>
      <c r="K32" s="215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14"/>
      <c r="T32" s="215"/>
      <c r="U32" s="215"/>
      <c r="V32" s="215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14"/>
      <c r="I33" s="215"/>
      <c r="J33" s="215"/>
      <c r="K33" s="215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14"/>
      <c r="T33" s="215"/>
      <c r="U33" s="215"/>
      <c r="V33" s="215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14"/>
      <c r="I34" s="215"/>
      <c r="J34" s="215"/>
      <c r="K34" s="215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14"/>
      <c r="T34" s="215"/>
      <c r="U34" s="215"/>
      <c r="V34" s="215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14"/>
      <c r="I35" s="215"/>
      <c r="J35" s="215"/>
      <c r="K35" s="215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14"/>
      <c r="T35" s="215"/>
      <c r="U35" s="215"/>
      <c r="V35" s="215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14"/>
      <c r="I36" s="215"/>
      <c r="J36" s="215"/>
      <c r="K36" s="215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14"/>
      <c r="T36" s="215"/>
      <c r="U36" s="215"/>
      <c r="V36" s="215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H7:H9"/>
    <mergeCell ref="H30:K36"/>
    <mergeCell ref="S30:V36"/>
    <mergeCell ref="S21:V27"/>
    <mergeCell ref="H20:K27"/>
    <mergeCell ref="A2:D2"/>
    <mergeCell ref="A13:F13"/>
    <mergeCell ref="F27:G27"/>
    <mergeCell ref="E7:E9"/>
    <mergeCell ref="F7:F9"/>
    <mergeCell ref="G7:G9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94" workbookViewId="0">
      <selection activeCell="N93" sqref="N93"/>
    </sheetView>
  </sheetViews>
  <sheetFormatPr defaultRowHeight="13.5"/>
  <sheetData/>
  <phoneticPr fontId="46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>
      <selection activeCell="H73" sqref="H73"/>
    </sheetView>
  </sheetViews>
  <sheetFormatPr defaultRowHeight="13.5"/>
  <sheetData/>
  <phoneticPr fontId="46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D14" sqref="D14"/>
    </sheetView>
  </sheetViews>
  <sheetFormatPr defaultColWidth="9" defaultRowHeight="13.5"/>
  <cols>
    <col min="1" max="1" width="25" style="158" customWidth="1"/>
    <col min="2" max="9" width="15.75" style="158" customWidth="1"/>
    <col min="10" max="16384" width="9" style="158"/>
  </cols>
  <sheetData>
    <row r="1" spans="1:11" ht="16.5">
      <c r="A1" s="154" t="s">
        <v>81</v>
      </c>
      <c r="B1" s="154">
        <f>SUM(B14:B23)</f>
        <v>162.96</v>
      </c>
      <c r="C1" s="155"/>
      <c r="D1" s="155"/>
      <c r="E1" s="155"/>
      <c r="F1" s="155"/>
      <c r="G1" s="156"/>
      <c r="H1" s="157"/>
      <c r="I1" s="157"/>
      <c r="J1" s="157"/>
      <c r="K1" s="157"/>
    </row>
    <row r="2" spans="1:11" ht="16.5">
      <c r="A2" s="154" t="s">
        <v>82</v>
      </c>
      <c r="B2" s="154">
        <f>SUM(C14:C23)</f>
        <v>0</v>
      </c>
      <c r="C2" s="155"/>
      <c r="D2" s="155"/>
      <c r="E2" s="155"/>
      <c r="F2" s="155"/>
      <c r="G2" s="156"/>
      <c r="H2" s="157"/>
      <c r="I2" s="157"/>
      <c r="J2" s="157"/>
      <c r="K2" s="157"/>
    </row>
    <row r="3" spans="1:11" ht="16.5">
      <c r="A3" s="154" t="s">
        <v>83</v>
      </c>
      <c r="B3" s="159">
        <v>45958</v>
      </c>
      <c r="C3" s="155"/>
      <c r="D3" s="155"/>
      <c r="E3" s="155"/>
      <c r="F3" s="155"/>
      <c r="G3" s="156"/>
      <c r="H3" s="157"/>
      <c r="I3" s="157"/>
      <c r="J3" s="157"/>
      <c r="K3" s="157"/>
    </row>
    <row r="4" spans="1:11" ht="33">
      <c r="A4" s="154" t="s">
        <v>84</v>
      </c>
      <c r="B4" s="154" t="s">
        <v>85</v>
      </c>
      <c r="C4" s="154" t="s">
        <v>86</v>
      </c>
      <c r="D4" s="154" t="s">
        <v>87</v>
      </c>
      <c r="E4" s="155"/>
      <c r="F4" s="156"/>
      <c r="G4" s="156"/>
      <c r="H4" s="157"/>
      <c r="I4" s="157"/>
      <c r="J4" s="157"/>
      <c r="K4" s="157"/>
    </row>
    <row r="5" spans="1:11" ht="16.5">
      <c r="A5" s="154" t="s">
        <v>88</v>
      </c>
      <c r="B5" s="154">
        <f>SUM(D14:D23)</f>
        <v>436.75</v>
      </c>
      <c r="C5" s="154">
        <f>E14</f>
        <v>26801</v>
      </c>
      <c r="D5" s="154" t="e">
        <f>ROUND(B5*10000/$B$2,0)</f>
        <v>#DIV/0!</v>
      </c>
      <c r="E5" s="155"/>
      <c r="F5" s="156"/>
      <c r="G5" s="156"/>
      <c r="H5" s="157"/>
      <c r="I5" s="157"/>
      <c r="J5" s="157"/>
      <c r="K5" s="157"/>
    </row>
    <row r="6" spans="1:11" ht="16.5">
      <c r="A6" s="154" t="s">
        <v>89</v>
      </c>
      <c r="B6" s="154">
        <f>SUM(G14:G23)</f>
        <v>436.75</v>
      </c>
      <c r="C6" s="154">
        <f>IF(B6=G14,[1]结果表!H108,ROUND(B6*10000/$B$1,0))</f>
        <v>0</v>
      </c>
      <c r="D6" s="154" t="e">
        <f>ROUND(B6*10000/$B$2,0)</f>
        <v>#DIV/0!</v>
      </c>
      <c r="E6" s="155"/>
      <c r="F6" s="156"/>
      <c r="G6" s="156"/>
      <c r="H6" s="157"/>
      <c r="I6" s="157"/>
      <c r="J6" s="157"/>
      <c r="K6" s="157"/>
    </row>
    <row r="7" spans="1:11" ht="16.5">
      <c r="A7" s="154" t="s">
        <v>90</v>
      </c>
      <c r="B7" s="154">
        <f>SUM(H14:H23)</f>
        <v>0</v>
      </c>
      <c r="C7" s="154" t="str">
        <f>IF(B7=H14,[1]结果表!H110,ROUND(B7*10000/$B$1,0))</f>
        <v>——</v>
      </c>
      <c r="D7" s="154" t="e">
        <f>ROUND(B7*10000/$B$2,0)</f>
        <v>#DIV/0!</v>
      </c>
      <c r="E7" s="155"/>
      <c r="F7" s="156"/>
      <c r="G7" s="156"/>
      <c r="H7" s="157"/>
      <c r="I7" s="157"/>
      <c r="J7" s="157"/>
      <c r="K7" s="157"/>
    </row>
    <row r="8" spans="1:11" ht="16.5">
      <c r="A8" s="154" t="s">
        <v>91</v>
      </c>
      <c r="B8" s="154">
        <f>SUM(I14:I23)</f>
        <v>0</v>
      </c>
      <c r="C8" s="154" t="str">
        <f>IF(B8=I14,[1]结果表!H112,ROUND(B8*10000/$B$1,0))</f>
        <v>——</v>
      </c>
      <c r="D8" s="154" t="e">
        <f>ROUND(B8*10000/$B$2,0)</f>
        <v>#DIV/0!</v>
      </c>
      <c r="E8" s="155"/>
      <c r="F8" s="156"/>
      <c r="G8" s="156"/>
      <c r="H8" s="157"/>
      <c r="I8" s="157"/>
      <c r="J8" s="157"/>
      <c r="K8" s="157"/>
    </row>
    <row r="9" spans="1:11" ht="16.5">
      <c r="A9" s="154" t="s">
        <v>92</v>
      </c>
      <c r="B9" s="160"/>
      <c r="C9" s="155"/>
      <c r="D9" s="155"/>
      <c r="E9" s="155"/>
      <c r="F9" s="156"/>
      <c r="G9" s="156"/>
      <c r="H9" s="157"/>
      <c r="I9" s="157"/>
      <c r="J9" s="157"/>
      <c r="K9" s="157"/>
    </row>
    <row r="10" spans="1:11" ht="16.5">
      <c r="A10" s="154" t="s">
        <v>93</v>
      </c>
      <c r="B10" s="154">
        <f>IF(E10="",0,ROUND(B1*(E10*365/G10)/10000,0))</f>
        <v>0</v>
      </c>
      <c r="C10" s="154" t="s">
        <v>94</v>
      </c>
      <c r="D10" s="154" t="s">
        <v>93</v>
      </c>
      <c r="E10" s="161"/>
      <c r="F10" s="162" t="s">
        <v>95</v>
      </c>
      <c r="G10" s="163"/>
      <c r="H10" s="157"/>
      <c r="I10" s="157"/>
      <c r="J10" s="157"/>
      <c r="K10" s="157"/>
    </row>
    <row r="11" spans="1:11" ht="16.5">
      <c r="A11" s="154" t="s">
        <v>96</v>
      </c>
      <c r="B11" s="160"/>
      <c r="C11" s="155"/>
      <c r="D11" s="155"/>
      <c r="E11" s="155"/>
      <c r="F11" s="156"/>
      <c r="G11" s="156"/>
      <c r="H11" s="157"/>
      <c r="I11" s="157"/>
      <c r="J11" s="157"/>
      <c r="K11" s="157"/>
    </row>
    <row r="12" spans="1:11" ht="16.5">
      <c r="A12" s="155"/>
      <c r="B12" s="155"/>
      <c r="C12" s="155"/>
      <c r="D12" s="155"/>
      <c r="E12" s="155"/>
      <c r="F12" s="156"/>
      <c r="G12" s="156"/>
      <c r="H12" s="157"/>
      <c r="I12" s="157"/>
      <c r="J12" s="157"/>
      <c r="K12" s="157"/>
    </row>
    <row r="13" spans="1:11" ht="33">
      <c r="A13" s="164" t="s">
        <v>97</v>
      </c>
      <c r="B13" s="165" t="s">
        <v>98</v>
      </c>
      <c r="C13" s="165" t="s">
        <v>99</v>
      </c>
      <c r="D13" s="165" t="s">
        <v>100</v>
      </c>
      <c r="E13" s="154" t="s">
        <v>86</v>
      </c>
      <c r="F13" s="154" t="s">
        <v>87</v>
      </c>
      <c r="G13" s="165" t="s">
        <v>101</v>
      </c>
      <c r="H13" s="165" t="s">
        <v>102</v>
      </c>
      <c r="I13" s="165" t="s">
        <v>103</v>
      </c>
      <c r="J13" s="156"/>
      <c r="K13" s="157"/>
    </row>
    <row r="14" spans="1:11" ht="16.5">
      <c r="A14" s="166" t="s">
        <v>104</v>
      </c>
      <c r="B14" s="167">
        <f>办公研发等!J2</f>
        <v>162.96</v>
      </c>
      <c r="C14" s="167"/>
      <c r="D14" s="167">
        <f>ROUND(E14*B14/10000,2)</f>
        <v>436.75</v>
      </c>
      <c r="E14" s="167">
        <f>办公研发等!E2</f>
        <v>26801</v>
      </c>
      <c r="F14" s="167" t="e">
        <f>ROUND(D14*10000/C14,0)</f>
        <v>#DIV/0!</v>
      </c>
      <c r="G14" s="167">
        <f>D14</f>
        <v>436.75</v>
      </c>
      <c r="H14" s="167"/>
      <c r="I14" s="167"/>
      <c r="J14" s="156"/>
      <c r="K14" s="157"/>
    </row>
    <row r="15" spans="1:11" ht="16.5">
      <c r="A15" s="166" t="s">
        <v>105</v>
      </c>
      <c r="B15" s="168"/>
      <c r="C15" s="168"/>
      <c r="D15" s="168"/>
      <c r="E15" s="167" t="e">
        <f t="shared" ref="E15:E23" si="0">ROUND(D15*10000/B15,0)</f>
        <v>#DIV/0!</v>
      </c>
      <c r="F15" s="167" t="e">
        <f t="shared" ref="F15:F23" si="1">ROUND(D15*10000/C15,0)</f>
        <v>#DIV/0!</v>
      </c>
      <c r="G15" s="169"/>
      <c r="H15" s="169"/>
      <c r="I15" s="168"/>
      <c r="J15" s="156"/>
      <c r="K15" s="157"/>
    </row>
    <row r="16" spans="1:11" ht="16.5">
      <c r="A16" s="166" t="s">
        <v>106</v>
      </c>
      <c r="B16" s="168"/>
      <c r="C16" s="168"/>
      <c r="D16" s="168"/>
      <c r="E16" s="167" t="e">
        <f t="shared" si="0"/>
        <v>#DIV/0!</v>
      </c>
      <c r="F16" s="167" t="e">
        <f t="shared" si="1"/>
        <v>#DIV/0!</v>
      </c>
      <c r="G16" s="169"/>
      <c r="H16" s="169"/>
      <c r="I16" s="168"/>
      <c r="J16" s="157"/>
      <c r="K16" s="157"/>
    </row>
    <row r="17" spans="1:11" ht="16.5">
      <c r="A17" s="166" t="s">
        <v>107</v>
      </c>
      <c r="B17" s="168"/>
      <c r="C17" s="168"/>
      <c r="D17" s="168"/>
      <c r="E17" s="167" t="e">
        <f t="shared" si="0"/>
        <v>#DIV/0!</v>
      </c>
      <c r="F17" s="167" t="e">
        <f t="shared" si="1"/>
        <v>#DIV/0!</v>
      </c>
      <c r="G17" s="169"/>
      <c r="H17" s="169"/>
      <c r="I17" s="168"/>
      <c r="J17" s="157"/>
      <c r="K17" s="157"/>
    </row>
    <row r="18" spans="1:11" ht="16.5">
      <c r="A18" s="166" t="s">
        <v>108</v>
      </c>
      <c r="B18" s="168"/>
      <c r="C18" s="168"/>
      <c r="D18" s="168"/>
      <c r="E18" s="167" t="e">
        <f t="shared" si="0"/>
        <v>#DIV/0!</v>
      </c>
      <c r="F18" s="167" t="e">
        <f t="shared" si="1"/>
        <v>#DIV/0!</v>
      </c>
      <c r="G18" s="168"/>
      <c r="H18" s="168"/>
      <c r="I18" s="168"/>
      <c r="J18" s="157"/>
      <c r="K18" s="157"/>
    </row>
    <row r="19" spans="1:11" ht="16.5">
      <c r="A19" s="166" t="s">
        <v>109</v>
      </c>
      <c r="B19" s="168"/>
      <c r="C19" s="168"/>
      <c r="D19" s="168"/>
      <c r="E19" s="167" t="e">
        <f t="shared" si="0"/>
        <v>#DIV/0!</v>
      </c>
      <c r="F19" s="167" t="e">
        <f t="shared" si="1"/>
        <v>#DIV/0!</v>
      </c>
      <c r="G19" s="168"/>
      <c r="H19" s="168"/>
      <c r="I19" s="168"/>
      <c r="J19" s="157"/>
      <c r="K19" s="157"/>
    </row>
    <row r="20" spans="1:11" ht="16.5">
      <c r="A20" s="166" t="s">
        <v>110</v>
      </c>
      <c r="B20" s="168"/>
      <c r="C20" s="168"/>
      <c r="D20" s="168"/>
      <c r="E20" s="167" t="e">
        <f t="shared" si="0"/>
        <v>#DIV/0!</v>
      </c>
      <c r="F20" s="167" t="e">
        <f t="shared" si="1"/>
        <v>#DIV/0!</v>
      </c>
      <c r="G20" s="168"/>
      <c r="H20" s="168"/>
      <c r="I20" s="168"/>
      <c r="J20" s="157"/>
      <c r="K20" s="157"/>
    </row>
    <row r="21" spans="1:11" ht="16.5">
      <c r="A21" s="166" t="s">
        <v>111</v>
      </c>
      <c r="B21" s="168"/>
      <c r="C21" s="168"/>
      <c r="D21" s="168"/>
      <c r="E21" s="167" t="e">
        <f t="shared" si="0"/>
        <v>#DIV/0!</v>
      </c>
      <c r="F21" s="167" t="e">
        <f t="shared" si="1"/>
        <v>#DIV/0!</v>
      </c>
      <c r="G21" s="168"/>
      <c r="H21" s="168"/>
      <c r="I21" s="168"/>
      <c r="J21" s="157"/>
      <c r="K21" s="157"/>
    </row>
    <row r="22" spans="1:11" ht="16.5">
      <c r="A22" s="166" t="s">
        <v>112</v>
      </c>
      <c r="B22" s="168"/>
      <c r="C22" s="168"/>
      <c r="D22" s="168"/>
      <c r="E22" s="167" t="e">
        <f t="shared" si="0"/>
        <v>#DIV/0!</v>
      </c>
      <c r="F22" s="167" t="e">
        <f t="shared" si="1"/>
        <v>#DIV/0!</v>
      </c>
      <c r="G22" s="168"/>
      <c r="H22" s="168"/>
      <c r="I22" s="168"/>
      <c r="J22" s="157"/>
      <c r="K22" s="157"/>
    </row>
    <row r="23" spans="1:11" ht="16.5">
      <c r="A23" s="166" t="s">
        <v>113</v>
      </c>
      <c r="B23" s="168"/>
      <c r="C23" s="168"/>
      <c r="D23" s="168"/>
      <c r="E23" s="160" t="e">
        <f t="shared" si="0"/>
        <v>#DIV/0!</v>
      </c>
      <c r="F23" s="160" t="e">
        <f t="shared" si="1"/>
        <v>#DIV/0!</v>
      </c>
      <c r="G23" s="168"/>
      <c r="H23" s="168"/>
      <c r="I23" s="168"/>
      <c r="J23" s="157"/>
      <c r="K23" s="157"/>
    </row>
    <row r="24" spans="1:11">
      <c r="A24" s="157"/>
      <c r="B24" s="157"/>
      <c r="C24" s="157"/>
      <c r="D24" s="157"/>
      <c r="E24" s="157"/>
      <c r="F24" s="157"/>
      <c r="G24" s="157"/>
      <c r="H24" s="157"/>
      <c r="I24" s="157"/>
      <c r="J24" s="157"/>
      <c r="K24" s="157"/>
    </row>
    <row r="25" spans="1:11">
      <c r="A25" s="157"/>
      <c r="B25" s="157"/>
      <c r="C25" s="157"/>
      <c r="D25" s="157"/>
      <c r="E25" s="157"/>
      <c r="F25" s="157"/>
      <c r="G25" s="157"/>
      <c r="H25" s="157"/>
      <c r="I25" s="157"/>
      <c r="J25" s="157"/>
      <c r="K25" s="157"/>
    </row>
    <row r="26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商业</vt:lpstr>
      <vt:lpstr>办公研发等</vt:lpstr>
      <vt:lpstr>商业-逐年试算</vt:lpstr>
      <vt:lpstr>办公-逐年试算</vt:lpstr>
      <vt:lpstr>租金</vt:lpstr>
      <vt:lpstr>售价</vt:lpstr>
      <vt:lpstr>系统读取表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2025-10-28T07:08:16Z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