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市调" sheetId="80"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7" i="34" l="1"/>
  <c r="C34" i="34"/>
  <c r="E67" i="34"/>
  <c r="F67" i="34"/>
  <c r="G67" i="34"/>
  <c r="D67" i="34"/>
  <c r="C10" i="34"/>
  <c r="I7" i="34"/>
  <c r="G7" i="34"/>
  <c r="E7" i="34"/>
  <c r="B14" i="74"/>
  <c r="J49" i="67"/>
  <c r="Y6" i="1"/>
  <c r="Q18" i="1"/>
  <c r="N6" i="1"/>
  <c r="F19" i="6" l="1"/>
  <c r="D3" i="4"/>
  <c r="E27" i="45" l="1"/>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5" i="79"/>
  <c r="AD38" i="79"/>
  <c r="AD37" i="79"/>
  <c r="AD36" i="79"/>
  <c r="AR40" i="79"/>
  <c r="AR41" i="79" s="1"/>
  <c r="AR42" i="79" s="1"/>
  <c r="AR43" i="79" s="1"/>
  <c r="AR44" i="79" s="1"/>
  <c r="AR45" i="79" s="1"/>
  <c r="AR46" i="79" s="1"/>
  <c r="AR47" i="79" s="1"/>
  <c r="AR48" i="79" s="1"/>
  <c r="AR49" i="79" s="1"/>
  <c r="AR50" i="79" s="1"/>
  <c r="AR51" i="79" s="1"/>
  <c r="AR52" i="79" s="1"/>
  <c r="U35" i="79"/>
  <c r="AI35" i="79" s="1"/>
  <c r="U34" i="79"/>
  <c r="AI34" i="79" s="1"/>
  <c r="U33" i="79"/>
  <c r="AI33" i="79" s="1"/>
  <c r="Z3" i="79"/>
  <c r="S33" i="79"/>
  <c r="AG33" i="79" s="1"/>
  <c r="S34" i="79"/>
  <c r="AG34" i="79" s="1"/>
  <c r="S35" i="79"/>
  <c r="AG35" i="79" s="1"/>
  <c r="AA31" i="79"/>
  <c r="AD31" i="79" s="1"/>
  <c r="T40" i="79"/>
  <c r="U46" i="79"/>
  <c r="AI46" i="79" s="1"/>
  <c r="AD47" i="79"/>
  <c r="S48" i="79"/>
  <c r="AG48"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2" i="79"/>
  <c r="AK22" i="79" s="1"/>
  <c r="AH22"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E38" i="71" s="1"/>
  <c r="E39" i="71" s="1"/>
  <c r="E40" i="71" s="1"/>
  <c r="U40"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c r="S25" i="40"/>
  <c r="S18" i="36"/>
  <c r="H25" i="40"/>
  <c r="J25" i="40"/>
  <c r="W25" i="40" s="1"/>
  <c r="H29" i="39"/>
  <c r="AB29" i="39" s="1"/>
  <c r="J29" i="39"/>
  <c r="AC29" i="39" s="1"/>
  <c r="J18" i="36"/>
  <c r="F68" i="35"/>
  <c r="G68" i="35" s="1"/>
  <c r="H18" i="35"/>
  <c r="AB18" i="35" s="1"/>
  <c r="J18" i="35"/>
  <c r="H21" i="37"/>
  <c r="AB21" i="37" s="1"/>
  <c r="F21" i="37"/>
  <c r="AA21" i="37" s="1"/>
  <c r="H21" i="34"/>
  <c r="H21" i="33"/>
  <c r="U21" i="33" s="1"/>
  <c r="F21" i="33"/>
  <c r="E83" i="21"/>
  <c r="F83" i="21" s="1"/>
  <c r="H1" i="69"/>
  <c r="AC25" i="40"/>
  <c r="U29" i="39"/>
  <c r="W29" i="39"/>
  <c r="U21" i="37"/>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U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c r="J35" i="39"/>
  <c r="AC35" i="39" s="1"/>
  <c r="F35" i="39"/>
  <c r="AA35" i="39"/>
  <c r="J36" i="39"/>
  <c r="AC36" i="39" s="1"/>
  <c r="W40" i="39"/>
  <c r="W25" i="37"/>
  <c r="U30" i="37"/>
  <c r="W31" i="37"/>
  <c r="F39" i="37"/>
  <c r="S39" i="37" s="1"/>
  <c r="F29" i="36"/>
  <c r="AA29" i="36" s="1"/>
  <c r="F16" i="36"/>
  <c r="AA16" i="36" s="1"/>
  <c r="W28" i="36"/>
  <c r="U31" i="36"/>
  <c r="H22" i="35"/>
  <c r="AB22" i="35"/>
  <c r="AC27" i="35"/>
  <c r="W28" i="35"/>
  <c r="U31" i="35"/>
  <c r="W22" i="35"/>
  <c r="S31" i="35"/>
  <c r="U34" i="35"/>
  <c r="F36" i="34"/>
  <c r="J35" i="34"/>
  <c r="H39" i="33"/>
  <c r="AB39" i="33"/>
  <c r="F26" i="33"/>
  <c r="AA26" i="33" s="1"/>
  <c r="U33" i="33"/>
  <c r="U35" i="33"/>
  <c r="S40" i="33"/>
  <c r="W39" i="33"/>
  <c r="H39" i="37"/>
  <c r="AB39" i="37"/>
  <c r="F11" i="40"/>
  <c r="AA11" i="40"/>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J35" i="40"/>
  <c r="AC35" i="40" s="1"/>
  <c r="J37" i="40"/>
  <c r="AC37" i="40" s="1"/>
  <c r="H13" i="40"/>
  <c r="U13" i="40" s="1"/>
  <c r="J13" i="40"/>
  <c r="W13" i="40" s="1"/>
  <c r="F13" i="40"/>
  <c r="AA13" i="40"/>
  <c r="F14" i="37"/>
  <c r="S14" i="37" s="1"/>
  <c r="F27" i="37"/>
  <c r="AA27" i="37"/>
  <c r="F13" i="39"/>
  <c r="J13" i="39"/>
  <c r="W13" i="39" s="1"/>
  <c r="H13" i="39"/>
  <c r="H14" i="40"/>
  <c r="AB14" i="40"/>
  <c r="J14" i="40"/>
  <c r="W14" i="40" s="1"/>
  <c r="F14" i="40"/>
  <c r="AA14" i="40"/>
  <c r="J14" i="37"/>
  <c r="J27" i="37"/>
  <c r="AC27" i="37"/>
  <c r="AA44" i="33"/>
  <c r="U46" i="33"/>
  <c r="AA14" i="33"/>
  <c r="J36" i="37"/>
  <c r="AC36" i="37"/>
  <c r="J10" i="36"/>
  <c r="AC10" i="36" s="1"/>
  <c r="AB30" i="21"/>
  <c r="W31" i="34"/>
  <c r="AB46"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s="1"/>
  <c r="BA548" i="3"/>
  <c r="BA546" i="3"/>
  <c r="BA544" i="3"/>
  <c r="AZ544" i="3" s="1"/>
  <c r="BA542" i="3"/>
  <c r="BA540" i="3"/>
  <c r="BA538" i="3"/>
  <c r="AZ538" i="3" s="1"/>
  <c r="BA536" i="3"/>
  <c r="AZ536" i="3"/>
  <c r="BA534" i="3"/>
  <c r="AZ534" i="3" s="1"/>
  <c r="BA532" i="3"/>
  <c r="AZ532" i="3"/>
  <c r="BA530" i="3"/>
  <c r="BA528" i="3"/>
  <c r="AZ528" i="3" s="1"/>
  <c r="BA526" i="3"/>
  <c r="BA524" i="3"/>
  <c r="AZ524" i="3" s="1"/>
  <c r="BA522" i="3"/>
  <c r="AZ522" i="3" s="1"/>
  <c r="BA520" i="3"/>
  <c r="BA518" i="3"/>
  <c r="BA516" i="3"/>
  <c r="AZ516" i="3" s="1"/>
  <c r="BA514" i="3"/>
  <c r="BA512" i="3"/>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AZ535" i="3" s="1"/>
  <c r="BQ533" i="3"/>
  <c r="BL533" i="3"/>
  <c r="AZ533" i="3" s="1"/>
  <c r="BQ531" i="3"/>
  <c r="BL531" i="3" s="1"/>
  <c r="BQ529" i="3"/>
  <c r="BL529" i="3" s="1"/>
  <c r="BQ527" i="3"/>
  <c r="BL527" i="3" s="1"/>
  <c r="AZ527" i="3"/>
  <c r="BQ525" i="3"/>
  <c r="BL525" i="3" s="1"/>
  <c r="BQ523" i="3"/>
  <c r="BL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BL164" i="3"/>
  <c r="AZ164" i="3" s="1"/>
  <c r="G165" i="3"/>
  <c r="BA167" i="3"/>
  <c r="BL168" i="3"/>
  <c r="G169" i="3"/>
  <c r="BA171" i="3"/>
  <c r="AZ171" i="3"/>
  <c r="BL172" i="3"/>
  <c r="G173" i="3"/>
  <c r="BA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47" i="3"/>
  <c r="AZ55" i="3"/>
  <c r="AZ144" i="3"/>
  <c r="AZ168" i="3"/>
  <c r="AZ176" i="3"/>
  <c r="AZ97"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s="1"/>
  <c r="BL311" i="3"/>
  <c r="AZ311" i="3" s="1"/>
  <c r="G312" i="3"/>
  <c r="BA314" i="3"/>
  <c r="AZ314" i="3" s="1"/>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AZ374" i="3" s="1"/>
  <c r="G375" i="3"/>
  <c r="BA377" i="3"/>
  <c r="AZ377" i="3" s="1"/>
  <c r="AZ229" i="3"/>
  <c r="AZ233" i="3"/>
  <c r="AZ249" i="3"/>
  <c r="AZ269" i="3"/>
  <c r="BA379" i="3"/>
  <c r="AZ379" i="3" s="1"/>
  <c r="BL380" i="3"/>
  <c r="G381" i="3"/>
  <c r="BA383" i="3"/>
  <c r="AZ383" i="3" s="1"/>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BC5" i="3"/>
  <c r="G17" i="3"/>
  <c r="BA17" i="3"/>
  <c r="BT5" i="3"/>
  <c r="AZ356" i="3"/>
  <c r="AZ368" i="3"/>
  <c r="BA15" i="3"/>
  <c r="BB5" i="3"/>
  <c r="BR5" i="3"/>
  <c r="AZ380" i="3"/>
  <c r="AZ392" i="3"/>
  <c r="AZ509" i="3"/>
  <c r="G509" i="3"/>
  <c r="BL493" i="3"/>
  <c r="AZ493" i="3" s="1"/>
  <c r="U36" i="40"/>
  <c r="F83" i="43"/>
  <c r="H85" i="43" s="1"/>
  <c r="F50" i="43"/>
  <c r="H54" i="43" s="1"/>
  <c r="F72" i="43"/>
  <c r="H75" i="43" s="1"/>
  <c r="U17" i="39"/>
  <c r="S14" i="35"/>
  <c r="U43" i="21"/>
  <c r="U35" i="21"/>
  <c r="AC35" i="21"/>
  <c r="AC11" i="39"/>
  <c r="AZ563" i="3"/>
  <c r="AZ501" i="3"/>
  <c r="W37" i="37"/>
  <c r="W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71" i="3"/>
  <c r="AZ110" i="3"/>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A32" i="36"/>
  <c r="S32" i="36"/>
  <c r="AZ437" i="3"/>
  <c r="AZ473" i="3"/>
  <c r="BL14" i="3"/>
  <c r="U30" i="33"/>
  <c r="AC13" i="34"/>
  <c r="AA47" i="34"/>
  <c r="W28" i="37"/>
  <c r="S19" i="39"/>
  <c r="F12" i="33"/>
  <c r="H12" i="39"/>
  <c r="AB12" i="39" s="1"/>
  <c r="F39" i="40"/>
  <c r="BA14" i="3"/>
  <c r="AZ286" i="3"/>
  <c r="B12" i="1"/>
  <c r="E12" i="1" s="1"/>
  <c r="B10" i="1"/>
  <c r="E10" i="1" s="1"/>
  <c r="K12" i="1"/>
  <c r="M12" i="1" s="1"/>
  <c r="S13" i="1"/>
  <c r="AR13" i="1" s="1"/>
  <c r="R13" i="1"/>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U43" i="34"/>
  <c r="AC39" i="34"/>
  <c r="U39"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B36" i="34"/>
  <c r="AC14" i="34"/>
  <c r="AC32" i="34"/>
  <c r="AC29" i="34"/>
  <c r="W29" i="34"/>
  <c r="W46" i="34"/>
  <c r="AC46" i="34"/>
  <c r="S32" i="34"/>
  <c r="AA32" i="34"/>
  <c r="U30" i="34"/>
  <c r="AB30" i="34"/>
  <c r="S37" i="34"/>
  <c r="AA19" i="34"/>
  <c r="S19" i="34"/>
  <c r="AA36" i="34"/>
  <c r="S36" i="34"/>
  <c r="AA8"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U23" i="33"/>
  <c r="F23" i="33"/>
  <c r="G85" i="33"/>
  <c r="AA19" i="33"/>
  <c r="H19" i="33"/>
  <c r="AB19" i="33" s="1"/>
  <c r="G81" i="33"/>
  <c r="H17" i="33"/>
  <c r="U17" i="33" s="1"/>
  <c r="F17" i="33"/>
  <c r="S17" i="33" s="1"/>
  <c r="W17" i="33"/>
  <c r="S37"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15"/>
  <c r="F8" i="15"/>
  <c r="C76" i="15"/>
  <c r="F5" i="73"/>
  <c r="M22" i="67"/>
  <c r="L47" i="15"/>
  <c r="F6" i="67"/>
  <c r="M6" i="67"/>
  <c r="B9" i="76"/>
  <c r="E8" i="76"/>
  <c r="F13" i="67"/>
  <c r="L47" i="67"/>
  <c r="B7" i="76"/>
  <c r="J15" i="67"/>
  <c r="F26" i="15"/>
  <c r="E11" i="76"/>
  <c r="F37" i="67"/>
  <c r="F4" i="73"/>
  <c r="F16" i="15"/>
  <c r="M9" i="67"/>
  <c r="F3" i="73"/>
  <c r="F43" i="67"/>
  <c r="M24" i="15"/>
  <c r="M26" i="67"/>
  <c r="D6" i="73"/>
  <c r="M23" i="67"/>
  <c r="E10" i="76"/>
  <c r="F40" i="67"/>
  <c r="F6" i="73"/>
  <c r="F7" i="67"/>
  <c r="F26" i="67"/>
  <c r="F7" i="15"/>
  <c r="B13" i="76"/>
  <c r="M22" i="15"/>
  <c r="F7" i="73"/>
  <c r="B11" i="76"/>
  <c r="F42" i="67"/>
  <c r="F13" i="15"/>
  <c r="E7" i="76"/>
  <c r="E13" i="76"/>
  <c r="C76" i="67"/>
  <c r="B10" i="76"/>
  <c r="F38" i="67"/>
  <c r="M29" i="67"/>
  <c r="L48" i="67"/>
  <c r="E2" i="68"/>
  <c r="E2" i="69"/>
  <c r="M28" i="67"/>
  <c r="F6" i="15"/>
  <c r="F8" i="67"/>
  <c r="M24" i="67"/>
  <c r="E12" i="76"/>
  <c r="F36" i="67"/>
  <c r="F42" i="15"/>
  <c r="E9" i="76"/>
  <c r="M8" i="67"/>
  <c r="B8" i="76"/>
  <c r="B12" i="76"/>
  <c r="F20" i="31"/>
  <c r="AO13" i="1"/>
  <c r="W43" i="34" l="1"/>
  <c r="U27" i="34"/>
  <c r="W8" i="34"/>
  <c r="U38" i="34"/>
  <c r="AB41" i="34"/>
  <c r="AC42" i="34"/>
  <c r="S44" i="34"/>
  <c r="S43" i="34"/>
  <c r="AB35" i="34"/>
  <c r="W33" i="34"/>
  <c r="W40" i="34"/>
  <c r="AB40" i="34"/>
  <c r="AA40" i="34"/>
  <c r="W41" i="34"/>
  <c r="AC36" i="34"/>
  <c r="U34" i="34"/>
  <c r="AB33" i="34"/>
  <c r="AA33" i="34"/>
  <c r="AB8" i="34"/>
  <c r="C21" i="68"/>
  <c r="C40" i="68"/>
  <c r="W25" i="33"/>
  <c r="U19" i="33"/>
  <c r="AC27" i="33"/>
  <c r="AC23" i="37"/>
  <c r="S36" i="33"/>
  <c r="S23" i="21"/>
  <c r="W15" i="21"/>
  <c r="S30" i="40"/>
  <c r="AZ14" i="3"/>
  <c r="AZ318" i="3"/>
  <c r="AZ337" i="3"/>
  <c r="AZ394" i="3"/>
  <c r="AZ521" i="3"/>
  <c r="AZ523" i="3"/>
  <c r="AZ541" i="3"/>
  <c r="AZ571" i="3"/>
  <c r="AZ579" i="3"/>
  <c r="AZ542" i="3"/>
  <c r="AA14" i="37"/>
  <c r="AZ407" i="3"/>
  <c r="AZ443" i="3"/>
  <c r="U12" i="39"/>
  <c r="AA27" i="40"/>
  <c r="AB27" i="40"/>
  <c r="AC12" i="37"/>
  <c r="AZ525" i="3"/>
  <c r="AZ531" i="3"/>
  <c r="AZ512" i="3"/>
  <c r="AZ520" i="3"/>
  <c r="U26" i="33"/>
  <c r="AB26" i="33"/>
  <c r="AZ585" i="3"/>
  <c r="W17" i="21"/>
  <c r="AB36" i="33"/>
  <c r="F29" i="6"/>
  <c r="E29" i="6" s="1"/>
  <c r="K15" i="1" s="1"/>
  <c r="AZ355" i="3"/>
  <c r="AZ203" i="3"/>
  <c r="AZ513" i="3"/>
  <c r="AZ502" i="3"/>
  <c r="U33" i="40"/>
  <c r="AB33" i="40"/>
  <c r="AZ419" i="3"/>
  <c r="AZ384" i="3"/>
  <c r="AZ583" i="3"/>
  <c r="AZ576" i="3"/>
  <c r="AA11" i="36"/>
  <c r="S11" i="36"/>
  <c r="AZ370" i="3"/>
  <c r="AZ362" i="3"/>
  <c r="AZ338" i="3"/>
  <c r="AZ307" i="3"/>
  <c r="AZ390" i="3"/>
  <c r="AZ371" i="3"/>
  <c r="AZ351" i="3"/>
  <c r="AZ336" i="3"/>
  <c r="AZ305" i="3"/>
  <c r="AZ375" i="3"/>
  <c r="AZ360" i="3"/>
  <c r="AC31" i="33"/>
  <c r="AZ539" i="3"/>
  <c r="AZ529" i="3"/>
  <c r="AZ537" i="3"/>
  <c r="AZ518" i="3"/>
  <c r="AZ526" i="3"/>
  <c r="AZ546" i="3"/>
  <c r="AZ564" i="3"/>
  <c r="AZ580" i="3"/>
  <c r="AB45" i="33"/>
  <c r="AA29" i="35"/>
  <c r="AB17" i="34"/>
  <c r="W40" i="33"/>
  <c r="S34" i="40"/>
  <c r="H9" i="34"/>
  <c r="F12" i="34"/>
  <c r="S12" i="34" s="1"/>
  <c r="J23" i="36"/>
  <c r="H39" i="40"/>
  <c r="G551" i="3"/>
  <c r="BL550" i="3"/>
  <c r="G542" i="3"/>
  <c r="BL15" i="3"/>
  <c r="AZ15" i="3" s="1"/>
  <c r="BA398" i="3"/>
  <c r="AZ398" i="3" s="1"/>
  <c r="BA399" i="3"/>
  <c r="AZ399" i="3" s="1"/>
  <c r="BL401" i="3"/>
  <c r="BL404" i="3"/>
  <c r="BL405" i="3"/>
  <c r="BL407" i="3"/>
  <c r="BA412" i="3"/>
  <c r="AZ412" i="3" s="1"/>
  <c r="BA414" i="3"/>
  <c r="BA415" i="3"/>
  <c r="AZ415" i="3" s="1"/>
  <c r="BA416" i="3"/>
  <c r="AZ416" i="3" s="1"/>
  <c r="BA418" i="3"/>
  <c r="AZ418" i="3" s="1"/>
  <c r="BA421" i="3"/>
  <c r="BA423" i="3"/>
  <c r="AZ423" i="3" s="1"/>
  <c r="BA425" i="3"/>
  <c r="BA426" i="3"/>
  <c r="BA427" i="3"/>
  <c r="AZ427" i="3" s="1"/>
  <c r="BA433" i="3"/>
  <c r="AZ433" i="3" s="1"/>
  <c r="BA435" i="3"/>
  <c r="BL441" i="3"/>
  <c r="BL442" i="3"/>
  <c r="BL444" i="3"/>
  <c r="AZ444" i="3" s="1"/>
  <c r="S27" i="35"/>
  <c r="W33" i="33"/>
  <c r="U9" i="39"/>
  <c r="G585" i="3"/>
  <c r="BL587" i="3"/>
  <c r="AZ587" i="3" s="1"/>
  <c r="BL586" i="3"/>
  <c r="AZ586" i="3" s="1"/>
  <c r="J9" i="34"/>
  <c r="H12" i="34"/>
  <c r="J12" i="33"/>
  <c r="G574" i="3"/>
  <c r="BL16" i="3"/>
  <c r="AZ16" i="3" s="1"/>
  <c r="BA401" i="3"/>
  <c r="AZ401" i="3" s="1"/>
  <c r="BA403" i="3"/>
  <c r="BA404" i="3"/>
  <c r="AZ404" i="3" s="1"/>
  <c r="BA405" i="3"/>
  <c r="BL410" i="3"/>
  <c r="AZ410" i="3" s="1"/>
  <c r="G412" i="3"/>
  <c r="G418" i="3"/>
  <c r="BA422" i="3"/>
  <c r="BL431" i="3"/>
  <c r="AZ431" i="3" s="1"/>
  <c r="G437" i="3"/>
  <c r="BL438" i="3"/>
  <c r="BL439" i="3"/>
  <c r="BA441" i="3"/>
  <c r="AZ441" i="3" s="1"/>
  <c r="BL445" i="3"/>
  <c r="BL446" i="3"/>
  <c r="AZ451" i="3"/>
  <c r="AZ228" i="3"/>
  <c r="BA551" i="3"/>
  <c r="AZ551" i="3" s="1"/>
  <c r="BA550" i="3"/>
  <c r="AZ550" i="3" s="1"/>
  <c r="BL548" i="3"/>
  <c r="AZ548" i="3" s="1"/>
  <c r="BL428" i="3"/>
  <c r="BL429" i="3"/>
  <c r="BL432" i="3"/>
  <c r="BL435" i="3"/>
  <c r="BL436" i="3"/>
  <c r="BA439" i="3"/>
  <c r="BA440" i="3"/>
  <c r="AZ440" i="3" s="1"/>
  <c r="G448" i="3"/>
  <c r="AZ217" i="3"/>
  <c r="BL585" i="3"/>
  <c r="AC31" i="35"/>
  <c r="G558"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AZ436" i="3" s="1"/>
  <c r="BA438" i="3"/>
  <c r="G443" i="3"/>
  <c r="AZ469" i="3"/>
  <c r="BA449" i="3"/>
  <c r="BL453" i="3"/>
  <c r="BL454" i="3"/>
  <c r="G458" i="3"/>
  <c r="BL459" i="3"/>
  <c r="G461" i="3"/>
  <c r="G462" i="3"/>
  <c r="BA465" i="3"/>
  <c r="AZ465" i="3" s="1"/>
  <c r="BA467" i="3"/>
  <c r="BA468" i="3"/>
  <c r="BL471" i="3"/>
  <c r="BL475" i="3"/>
  <c r="BA477" i="3"/>
  <c r="BA478" i="3"/>
  <c r="BA481" i="3"/>
  <c r="G484" i="3"/>
  <c r="BA488" i="3"/>
  <c r="AZ488" i="3" s="1"/>
  <c r="BL328" i="3"/>
  <c r="AZ328" i="3" s="1"/>
  <c r="BA335" i="3"/>
  <c r="AZ335" i="3" s="1"/>
  <c r="BA339" i="3"/>
  <c r="AZ339" i="3" s="1"/>
  <c r="BA348" i="3"/>
  <c r="BA350" i="3"/>
  <c r="AZ350" i="3" s="1"/>
  <c r="BA354" i="3"/>
  <c r="BA366" i="3"/>
  <c r="AZ366" i="3" s="1"/>
  <c r="BL375" i="3"/>
  <c r="BL225" i="3"/>
  <c r="BL226" i="3"/>
  <c r="BA239" i="3"/>
  <c r="AZ239" i="3" s="1"/>
  <c r="BL239" i="3"/>
  <c r="BA241" i="3"/>
  <c r="BL241" i="3"/>
  <c r="BA244" i="3"/>
  <c r="AZ244" i="3" s="1"/>
  <c r="BL244" i="3"/>
  <c r="BA246" i="3"/>
  <c r="BA252" i="3"/>
  <c r="AZ252" i="3" s="1"/>
  <c r="BA254" i="3"/>
  <c r="AZ254" i="3" s="1"/>
  <c r="BA256" i="3"/>
  <c r="AZ256" i="3" s="1"/>
  <c r="BL256" i="3"/>
  <c r="BL264" i="3"/>
  <c r="BL266" i="3"/>
  <c r="BA268" i="3"/>
  <c r="BL273" i="3"/>
  <c r="G274" i="3"/>
  <c r="BA277" i="3"/>
  <c r="AZ277" i="3" s="1"/>
  <c r="BL277" i="3"/>
  <c r="BA282" i="3"/>
  <c r="BL282" i="3"/>
  <c r="BA284" i="3"/>
  <c r="AZ284" i="3" s="1"/>
  <c r="BL290" i="3"/>
  <c r="BL291" i="3"/>
  <c r="AZ291" i="3" s="1"/>
  <c r="BL146" i="3"/>
  <c r="BA148" i="3"/>
  <c r="AZ148" i="3" s="1"/>
  <c r="G155" i="3"/>
  <c r="BL158" i="3"/>
  <c r="G164" i="3"/>
  <c r="BA22" i="3"/>
  <c r="BA446" i="3"/>
  <c r="BA450" i="3"/>
  <c r="BA453" i="3"/>
  <c r="AZ453" i="3" s="1"/>
  <c r="BA455" i="3"/>
  <c r="AZ455" i="3" s="1"/>
  <c r="BL457" i="3"/>
  <c r="BL460" i="3"/>
  <c r="BL461" i="3"/>
  <c r="BL463" i="3"/>
  <c r="AZ463" i="3" s="1"/>
  <c r="G465" i="3"/>
  <c r="BA471" i="3"/>
  <c r="G488" i="3"/>
  <c r="BA349" i="3"/>
  <c r="AZ349" i="3" s="1"/>
  <c r="BA353" i="3"/>
  <c r="BL353" i="3"/>
  <c r="BA358" i="3"/>
  <c r="AZ358"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L154" i="3"/>
  <c r="G158" i="3"/>
  <c r="BL163" i="3"/>
  <c r="AZ163" i="3" s="1"/>
  <c r="G178" i="3"/>
  <c r="BA189" i="3"/>
  <c r="AZ189" i="3" s="1"/>
  <c r="AZ201" i="3"/>
  <c r="BL448" i="3"/>
  <c r="AZ448" i="3" s="1"/>
  <c r="G450" i="3"/>
  <c r="G451" i="3"/>
  <c r="BA454" i="3"/>
  <c r="BA457" i="3"/>
  <c r="AZ457" i="3" s="1"/>
  <c r="BA459" i="3"/>
  <c r="AZ459" i="3" s="1"/>
  <c r="BA460" i="3"/>
  <c r="AZ460" i="3" s="1"/>
  <c r="BA461" i="3"/>
  <c r="BL464" i="3"/>
  <c r="AZ464" i="3" s="1"/>
  <c r="BL466" i="3"/>
  <c r="AZ466" i="3" s="1"/>
  <c r="G468" i="3"/>
  <c r="G469" i="3"/>
  <c r="BL476" i="3"/>
  <c r="BA483" i="3"/>
  <c r="BL483" i="3"/>
  <c r="BA486" i="3"/>
  <c r="BL489" i="3"/>
  <c r="BL491" i="3"/>
  <c r="AZ491" i="3" s="1"/>
  <c r="BA333" i="3"/>
  <c r="BL346" i="3"/>
  <c r="AZ346" i="3" s="1"/>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BL283" i="3"/>
  <c r="AZ283" i="3" s="1"/>
  <c r="BL284" i="3"/>
  <c r="G288" i="3"/>
  <c r="BL292" i="3"/>
  <c r="BA120" i="3"/>
  <c r="AZ120" i="3" s="1"/>
  <c r="BL450" i="3"/>
  <c r="AZ450" i="3" s="1"/>
  <c r="BL452" i="3"/>
  <c r="AZ476" i="3"/>
  <c r="BA482" i="3"/>
  <c r="BA484" i="3"/>
  <c r="AZ484" i="3" s="1"/>
  <c r="G491" i="3"/>
  <c r="BA303" i="3"/>
  <c r="AZ303" i="3" s="1"/>
  <c r="BA307" i="3"/>
  <c r="BA332" i="3"/>
  <c r="BL332" i="3"/>
  <c r="G364" i="3"/>
  <c r="BA367" i="3"/>
  <c r="AZ367" i="3" s="1"/>
  <c r="BA370" i="3"/>
  <c r="BA386" i="3"/>
  <c r="AZ386" i="3" s="1"/>
  <c r="G397" i="3"/>
  <c r="G210" i="3"/>
  <c r="BL218" i="3"/>
  <c r="AZ218" i="3" s="1"/>
  <c r="BL260" i="3"/>
  <c r="G262" i="3"/>
  <c r="BL270" i="3"/>
  <c r="AZ270" i="3" s="1"/>
  <c r="BA272" i="3"/>
  <c r="AZ272" i="3" s="1"/>
  <c r="BL275" i="3"/>
  <c r="AZ275" i="3" s="1"/>
  <c r="G277" i="3"/>
  <c r="G280" i="3"/>
  <c r="G282" i="3"/>
  <c r="BL285" i="3"/>
  <c r="BL287" i="3"/>
  <c r="BA290" i="3"/>
  <c r="G134" i="3"/>
  <c r="G144" i="3"/>
  <c r="BA162" i="3"/>
  <c r="AZ162" i="3" s="1"/>
  <c r="BL175" i="3"/>
  <c r="AZ175" i="3" s="1"/>
  <c r="G184" i="3"/>
  <c r="G202" i="3"/>
  <c r="BA30" i="3"/>
  <c r="AZ103" i="3"/>
  <c r="B13" i="1"/>
  <c r="E13" i="1" s="1"/>
  <c r="K13" i="1"/>
  <c r="M13" i="1" s="1"/>
  <c r="O13" i="1" s="1"/>
  <c r="P13" i="1" s="1"/>
  <c r="F40" i="69"/>
  <c r="C40" i="69"/>
  <c r="AC18" i="35"/>
  <c r="W18" i="35"/>
  <c r="C44" i="71"/>
  <c r="D43" i="71"/>
  <c r="C52" i="71"/>
  <c r="D51" i="71"/>
  <c r="BL293" i="3"/>
  <c r="BL294" i="3"/>
  <c r="BA297" i="3"/>
  <c r="BL297" i="3"/>
  <c r="BL300" i="3"/>
  <c r="BA302" i="3"/>
  <c r="AZ302" i="3" s="1"/>
  <c r="G115" i="3"/>
  <c r="BA117" i="3"/>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AZ30" i="3" s="1"/>
  <c r="BL31" i="3"/>
  <c r="AZ31" i="3" s="1"/>
  <c r="BA40" i="3"/>
  <c r="G47" i="3"/>
  <c r="BL48" i="3"/>
  <c r="AZ48" i="3" s="1"/>
  <c r="BA51" i="3"/>
  <c r="G55" i="3"/>
  <c r="BL56" i="3"/>
  <c r="BA58" i="3"/>
  <c r="BL59" i="3"/>
  <c r="AZ59" i="3" s="1"/>
  <c r="BL60" i="3"/>
  <c r="BA61" i="3"/>
  <c r="AZ61" i="3" s="1"/>
  <c r="BL69" i="3"/>
  <c r="BL70" i="3"/>
  <c r="AZ70" i="3" s="1"/>
  <c r="BL71" i="3"/>
  <c r="BA80" i="3"/>
  <c r="BL84" i="3"/>
  <c r="BL93" i="3"/>
  <c r="BL111" i="3"/>
  <c r="W21" i="37"/>
  <c r="AC21" i="37"/>
  <c r="AB21" i="34"/>
  <c r="U21" i="34"/>
  <c r="C47" i="71"/>
  <c r="D47" i="71" s="1"/>
  <c r="D46" i="71"/>
  <c r="V24" i="71"/>
  <c r="E23" i="71"/>
  <c r="E22" i="71" s="1"/>
  <c r="E21" i="71" s="1"/>
  <c r="E20" i="71"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BA204" i="3"/>
  <c r="AZ204" i="3" s="1"/>
  <c r="BA18" i="3"/>
  <c r="G21" i="3"/>
  <c r="BL21" i="3"/>
  <c r="G23" i="3"/>
  <c r="G29" i="3"/>
  <c r="BL29" i="3"/>
  <c r="G33" i="3"/>
  <c r="BA33" i="3"/>
  <c r="BA36" i="3"/>
  <c r="BL38" i="3"/>
  <c r="AZ38" i="3" s="1"/>
  <c r="BA39" i="3"/>
  <c r="BA41" i="3"/>
  <c r="AZ41" i="3" s="1"/>
  <c r="BA42" i="3"/>
  <c r="BL45" i="3"/>
  <c r="BA48" i="3"/>
  <c r="BA49" i="3"/>
  <c r="AZ49" i="3" s="1"/>
  <c r="BL64" i="3"/>
  <c r="AZ64" i="3" s="1"/>
  <c r="G65" i="3"/>
  <c r="BL65" i="3"/>
  <c r="AZ65" i="3" s="1"/>
  <c r="BL66" i="3"/>
  <c r="BL67" i="3"/>
  <c r="AZ67" i="3" s="1"/>
  <c r="G69" i="3"/>
  <c r="BA73" i="3"/>
  <c r="BL86" i="3"/>
  <c r="AZ86" i="3" s="1"/>
  <c r="BA88" i="3"/>
  <c r="BA89" i="3"/>
  <c r="G93" i="3"/>
  <c r="BA98" i="3"/>
  <c r="BL103" i="3"/>
  <c r="G104" i="3"/>
  <c r="BA106" i="3"/>
  <c r="BL108" i="3"/>
  <c r="AZ108" i="3" s="1"/>
  <c r="W21" i="21"/>
  <c r="D31" i="71"/>
  <c r="C32" i="71"/>
  <c r="C55" i="71"/>
  <c r="D54" i="71"/>
  <c r="N67" i="71"/>
  <c r="B66" i="71"/>
  <c r="F66" i="71"/>
  <c r="Q65" i="71" s="1"/>
  <c r="Q67" i="71"/>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8" i="3"/>
  <c r="G51" i="3"/>
  <c r="BA52" i="3"/>
  <c r="AZ52" i="3" s="1"/>
  <c r="BA53" i="3"/>
  <c r="AZ53" i="3" s="1"/>
  <c r="BA54" i="3"/>
  <c r="BL57" i="3"/>
  <c r="G62" i="3"/>
  <c r="BL62" i="3"/>
  <c r="AZ62" i="3" s="1"/>
  <c r="BL63" i="3"/>
  <c r="BL68" i="3"/>
  <c r="BA69" i="3"/>
  <c r="BL74" i="3"/>
  <c r="AZ74" i="3" s="1"/>
  <c r="BA77" i="3"/>
  <c r="BA87" i="3"/>
  <c r="BL101" i="3"/>
  <c r="BL102" i="3"/>
  <c r="BA109" i="3"/>
  <c r="F3" i="35"/>
  <c r="AC18" i="36"/>
  <c r="W18" i="36"/>
  <c r="AB25" i="40"/>
  <c r="U25" i="40"/>
  <c r="B100" i="43"/>
  <c r="B57" i="43"/>
  <c r="B68" i="43"/>
  <c r="B77" i="43"/>
  <c r="O67" i="71"/>
  <c r="AA28" i="71"/>
  <c r="AB27" i="71"/>
  <c r="E75" i="71"/>
  <c r="E74" i="71" s="1"/>
  <c r="AB25" i="71"/>
  <c r="X26" i="71"/>
  <c r="Y25" i="71"/>
  <c r="Z25" i="71" s="1"/>
  <c r="X38" i="71"/>
  <c r="C35" i="71"/>
  <c r="AB32" i="71"/>
  <c r="X33" i="71"/>
  <c r="AB37" i="71"/>
  <c r="P66" i="71"/>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G34" i="3"/>
  <c r="BA37" i="3"/>
  <c r="G39" i="3"/>
  <c r="BL39" i="3"/>
  <c r="G43" i="3"/>
  <c r="G44" i="3"/>
  <c r="BA45" i="3"/>
  <c r="AZ45" i="3" s="1"/>
  <c r="BA46" i="3"/>
  <c r="AZ46" i="3" s="1"/>
  <c r="BL49" i="3"/>
  <c r="BL50" i="3"/>
  <c r="AZ50" i="3" s="1"/>
  <c r="BL51" i="3"/>
  <c r="G53" i="3"/>
  <c r="BL53" i="3"/>
  <c r="BA56" i="3"/>
  <c r="BA57" i="3"/>
  <c r="AZ57" i="3" s="1"/>
  <c r="BL58" i="3"/>
  <c r="G60" i="3"/>
  <c r="BA60" i="3"/>
  <c r="BA63" i="3"/>
  <c r="AZ63" i="3" s="1"/>
  <c r="BA66" i="3"/>
  <c r="AZ66" i="3" s="1"/>
  <c r="BA71" i="3"/>
  <c r="AZ71" i="3" s="1"/>
  <c r="G76" i="3"/>
  <c r="BL77" i="3"/>
  <c r="BA79" i="3"/>
  <c r="AZ79" i="3" s="1"/>
  <c r="G82" i="3"/>
  <c r="G83" i="3"/>
  <c r="BA84" i="3"/>
  <c r="BL88" i="3"/>
  <c r="G90" i="3"/>
  <c r="BL90" i="3"/>
  <c r="BL92" i="3"/>
  <c r="G101" i="3"/>
  <c r="BA101" i="3"/>
  <c r="AZ101" i="3" s="1"/>
  <c r="G108" i="3"/>
  <c r="G109" i="3"/>
  <c r="BL112" i="3"/>
  <c r="AB21" i="33"/>
  <c r="S21" i="34"/>
  <c r="B88" i="43"/>
  <c r="BL72" i="3"/>
  <c r="AZ72" i="3" s="1"/>
  <c r="G74" i="3"/>
  <c r="G75" i="3"/>
  <c r="BL75" i="3"/>
  <c r="AZ75" i="3" s="1"/>
  <c r="G79" i="3"/>
  <c r="BL81" i="3"/>
  <c r="BA82" i="3"/>
  <c r="AZ82" i="3" s="1"/>
  <c r="BL83" i="3"/>
  <c r="G86" i="3"/>
  <c r="G87" i="3"/>
  <c r="BA90" i="3"/>
  <c r="BL94" i="3"/>
  <c r="AZ94" i="3" s="1"/>
  <c r="BA100" i="3"/>
  <c r="AZ100" i="3" s="1"/>
  <c r="BA102" i="3"/>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5"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AZ276" i="3" s="1"/>
  <c r="BL279" i="3"/>
  <c r="AZ279" i="3" s="1"/>
  <c r="BL281" i="3"/>
  <c r="AZ281" i="3" s="1"/>
  <c r="BA285" i="3"/>
  <c r="AZ285" i="3" s="1"/>
  <c r="BA287" i="3"/>
  <c r="AZ290" i="3"/>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BL33" i="3"/>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J53" i="67"/>
  <c r="J57" i="67"/>
  <c r="J55" i="67" s="1"/>
  <c r="J58" i="67" s="1"/>
  <c r="Q50" i="67" s="1"/>
  <c r="L56" i="67"/>
  <c r="I54" i="67"/>
  <c r="M7" i="15"/>
  <c r="F50" i="15"/>
  <c r="F51" i="15"/>
  <c r="F71" i="15"/>
  <c r="F66" i="67"/>
  <c r="L59" i="15"/>
  <c r="N59" i="15"/>
  <c r="M59" i="15"/>
  <c r="Q71" i="67"/>
  <c r="C27" i="67"/>
  <c r="F71" i="67"/>
  <c r="C27" i="15"/>
  <c r="N59" i="67"/>
  <c r="L59" i="67"/>
  <c r="L58" i="67"/>
  <c r="M59" i="67"/>
  <c r="B13" i="70"/>
  <c r="M7" i="67"/>
  <c r="J6" i="67" s="1"/>
  <c r="F50" i="67"/>
  <c r="F68" i="67"/>
  <c r="F64" i="67"/>
  <c r="C36" i="68"/>
  <c r="D9" i="69"/>
  <c r="C36" i="69"/>
  <c r="D9" i="68"/>
  <c r="M29" i="15"/>
  <c r="M6" i="15"/>
  <c r="D7" i="73"/>
  <c r="C16" i="15"/>
  <c r="D3" i="73"/>
  <c r="M28" i="15"/>
  <c r="D4" i="73"/>
  <c r="L48" i="15"/>
  <c r="M9" i="15"/>
  <c r="F16" i="67"/>
  <c r="F38" i="15"/>
  <c r="M23" i="15"/>
  <c r="D5" i="73"/>
  <c r="F40" i="15"/>
  <c r="F9" i="67"/>
  <c r="M8" i="15"/>
  <c r="F37" i="15"/>
  <c r="F9" i="15"/>
  <c r="F36" i="15"/>
  <c r="M26" i="15"/>
  <c r="J15" i="15"/>
  <c r="H16" i="1" l="1"/>
  <c r="Q16" i="1"/>
  <c r="F27" i="69" s="1"/>
  <c r="F45" i="69" s="1"/>
  <c r="F65" i="15"/>
  <c r="F66" i="15"/>
  <c r="C6" i="67"/>
  <c r="C6" i="15"/>
  <c r="C32" i="15" s="1"/>
  <c r="F64" i="15"/>
  <c r="F68" i="15"/>
  <c r="I54" i="15"/>
  <c r="J53" i="15"/>
  <c r="L56" i="15" s="1"/>
  <c r="L58" i="15"/>
  <c r="Q73" i="15" s="1"/>
  <c r="J57" i="15"/>
  <c r="J55" i="15" s="1"/>
  <c r="J58" i="15" s="1"/>
  <c r="Q50" i="15" s="1"/>
  <c r="G5" i="3"/>
  <c r="B3" i="3" s="1"/>
  <c r="E212" i="3" s="1"/>
  <c r="D83" i="71"/>
  <c r="C82" i="71"/>
  <c r="D82" i="71" s="1"/>
  <c r="O65" i="71"/>
  <c r="D66" i="71"/>
  <c r="O66" i="71"/>
  <c r="C56" i="71"/>
  <c r="D55" i="71"/>
  <c r="AZ58" i="3"/>
  <c r="U12" i="34"/>
  <c r="AB12" i="34"/>
  <c r="U9" i="34"/>
  <c r="AB9" i="34"/>
  <c r="J6" i="15"/>
  <c r="J18" i="15" s="1"/>
  <c r="P6" i="1"/>
  <c r="C13" i="12" s="1"/>
  <c r="AZ107" i="3"/>
  <c r="AZ33" i="3"/>
  <c r="AZ266" i="3"/>
  <c r="G16" i="1"/>
  <c r="F10" i="39" s="1"/>
  <c r="S10" i="39" s="1"/>
  <c r="AZ84" i="3"/>
  <c r="C40" i="71"/>
  <c r="D39" i="71"/>
  <c r="C36" i="71"/>
  <c r="D35" i="71"/>
  <c r="AZ69" i="3"/>
  <c r="N65" i="71"/>
  <c r="N66" i="71"/>
  <c r="T32" i="71"/>
  <c r="D32" i="71"/>
  <c r="AZ39" i="3"/>
  <c r="AZ130" i="3"/>
  <c r="D44" i="71"/>
  <c r="T44" i="71"/>
  <c r="AZ428" i="3"/>
  <c r="AZ422" i="3"/>
  <c r="AZ405" i="3"/>
  <c r="AC9" i="34"/>
  <c r="W9" i="34"/>
  <c r="AZ421" i="3"/>
  <c r="AZ414" i="3"/>
  <c r="U39" i="40"/>
  <c r="AB39" i="40"/>
  <c r="K16" i="1"/>
  <c r="AZ22" i="3"/>
  <c r="AZ296" i="3"/>
  <c r="AZ287" i="3"/>
  <c r="AZ475" i="3"/>
  <c r="T28" i="71"/>
  <c r="D28" i="71"/>
  <c r="U28" i="71" s="1"/>
  <c r="C27" i="71"/>
  <c r="C70" i="71"/>
  <c r="D70" i="71" s="1"/>
  <c r="D71" i="71"/>
  <c r="AZ294" i="3"/>
  <c r="AZ332" i="3"/>
  <c r="AZ461" i="3"/>
  <c r="AZ454" i="3"/>
  <c r="AZ471" i="3"/>
  <c r="AZ282" i="3"/>
  <c r="AZ241" i="3"/>
  <c r="AC23" i="36"/>
  <c r="W23" i="36"/>
  <c r="D17" i="53"/>
  <c r="B36" i="72" s="1"/>
  <c r="AZ98" i="3"/>
  <c r="AZ206" i="3"/>
  <c r="AZ170" i="3"/>
  <c r="AZ261" i="3"/>
  <c r="AZ102" i="3"/>
  <c r="D79" i="71"/>
  <c r="C78" i="71"/>
  <c r="D78" i="71" s="1"/>
  <c r="AZ77" i="3"/>
  <c r="AZ88" i="3"/>
  <c r="AZ51" i="3"/>
  <c r="AZ182" i="3"/>
  <c r="AZ137" i="3"/>
  <c r="AZ297" i="3"/>
  <c r="T52" i="71"/>
  <c r="D52" i="71"/>
  <c r="AZ483" i="3"/>
  <c r="AZ353" i="3"/>
  <c r="AZ403" i="3"/>
  <c r="W12" i="33"/>
  <c r="AC12" i="33"/>
  <c r="AZ435" i="3"/>
  <c r="AZ425" i="3"/>
  <c r="J7" i="37"/>
  <c r="K1" i="73"/>
  <c r="E199" i="3"/>
  <c r="E541" i="3"/>
  <c r="E435" i="3"/>
  <c r="E192" i="3"/>
  <c r="E76" i="3"/>
  <c r="E103"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398" i="3"/>
  <c r="E90" i="3"/>
  <c r="E155" i="3"/>
  <c r="E348" i="3"/>
  <c r="E521" i="3"/>
  <c r="E65" i="3"/>
  <c r="E386" i="3"/>
  <c r="E250" i="3"/>
  <c r="E51" i="3"/>
  <c r="E222" i="3"/>
  <c r="E312" i="3"/>
  <c r="E421" i="3"/>
  <c r="E416" i="3"/>
  <c r="E520" i="3"/>
  <c r="E57" i="3"/>
  <c r="E110"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J18" i="67"/>
  <c r="F1" i="67"/>
  <c r="Q52" i="67"/>
  <c r="Q61" i="67"/>
  <c r="Q74" i="67"/>
  <c r="Q74" i="15"/>
  <c r="Q61" i="15"/>
  <c r="AE11" i="1"/>
  <c r="AE9" i="1"/>
  <c r="F27" i="68"/>
  <c r="AE7" i="1"/>
  <c r="AE8" i="1"/>
  <c r="AE12" i="1"/>
  <c r="AE10" i="1"/>
  <c r="AE6" i="1"/>
  <c r="C16" i="67"/>
  <c r="F41" i="67"/>
  <c r="G1" i="73"/>
  <c r="C29" i="69" l="1"/>
  <c r="D27" i="69" s="1"/>
  <c r="C47" i="69"/>
  <c r="D45" i="69" s="1"/>
  <c r="J10" i="39"/>
  <c r="W10" i="39" s="1"/>
  <c r="Q60" i="15"/>
  <c r="F27" i="11"/>
  <c r="C29" i="11" s="1"/>
  <c r="D27" i="11" s="1"/>
  <c r="AA10" i="39"/>
  <c r="F10" i="40"/>
  <c r="S10" i="40" s="1"/>
  <c r="H10" i="39"/>
  <c r="U10" i="39" s="1"/>
  <c r="H10" i="40"/>
  <c r="AB10" i="40" s="1"/>
  <c r="J10" i="40"/>
  <c r="AC10" i="40" s="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64" i="3"/>
  <c r="E389" i="3"/>
  <c r="E95" i="3"/>
  <c r="E554" i="3"/>
  <c r="E442" i="3"/>
  <c r="E536"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425" i="3"/>
  <c r="E363" i="3"/>
  <c r="E56" i="3"/>
  <c r="I3" i="6"/>
  <c r="R6" i="3"/>
  <c r="E510"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09" i="3"/>
  <c r="E241" i="3"/>
  <c r="E417" i="3"/>
  <c r="E449" i="3"/>
  <c r="E575" i="3"/>
  <c r="E3" i="6"/>
  <c r="Q52" i="15"/>
  <c r="J5" i="15"/>
  <c r="J24" i="15" s="1"/>
  <c r="F1" i="15"/>
  <c r="T40" i="71"/>
  <c r="D40" i="71"/>
  <c r="E371" i="3"/>
  <c r="E160" i="3"/>
  <c r="E467" i="3"/>
  <c r="E59" i="3"/>
  <c r="E349" i="3"/>
  <c r="E258" i="3"/>
  <c r="E37" i="3"/>
  <c r="E491" i="3"/>
  <c r="AP6" i="3"/>
  <c r="E430" i="3"/>
  <c r="E502" i="3"/>
  <c r="E286" i="3"/>
  <c r="E539" i="3"/>
  <c r="T36" i="71"/>
  <c r="D36" i="71"/>
  <c r="D56" i="71"/>
  <c r="T56" i="71"/>
  <c r="E249" i="3"/>
  <c r="E46" i="3"/>
  <c r="E484" i="3"/>
  <c r="E544" i="3"/>
  <c r="E292" i="3"/>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R50" i="34" l="1"/>
  <c r="C49" i="34" s="1"/>
  <c r="I53" i="34"/>
  <c r="J53" i="34" s="1"/>
  <c r="AB10" i="39"/>
  <c r="F25" i="12"/>
  <c r="C26" i="12" s="1"/>
  <c r="D25" i="12" s="1"/>
  <c r="AC6" i="3"/>
  <c r="E6" i="3" s="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C50" i="34" l="1"/>
  <c r="I54" i="34"/>
  <c r="J54" i="34" s="1"/>
  <c r="H21" i="6"/>
  <c r="H25" i="6"/>
  <c r="C44" i="11"/>
  <c r="D41" i="11" s="1"/>
  <c r="C44" i="68"/>
  <c r="D41" i="68" s="1"/>
  <c r="C26" i="68"/>
  <c r="D22" i="68" s="1"/>
  <c r="E53" i="34"/>
  <c r="F53" i="34" s="1"/>
  <c r="C23"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19" i="9"/>
  <c r="D2" i="35"/>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D34" i="9"/>
  <c r="AO11" i="1"/>
  <c r="C19" i="9"/>
  <c r="AO7" i="1"/>
  <c r="AO8" i="1"/>
  <c r="AO10" i="1"/>
  <c r="AO6" i="1"/>
  <c r="D20" i="9"/>
  <c r="AO9" i="1"/>
  <c r="D35" i="9"/>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E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3" i="9"/>
  <c r="D14" i="74" s="1"/>
  <c r="G14" i="74"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l="1"/>
  <c r="H118" i="9" s="1"/>
  <c r="H101" i="9" s="1"/>
  <c r="M48" i="9" s="1"/>
  <c r="G118" i="9"/>
  <c r="H107" i="9" l="1"/>
  <c r="D122" i="9" s="1"/>
  <c r="C104" i="9"/>
  <c r="H4" i="52"/>
  <c r="D45" i="9"/>
  <c r="D52" i="9" s="1"/>
  <c r="D5" i="53"/>
  <c r="B20" i="72" s="1"/>
  <c r="H119" i="9"/>
  <c r="H5" i="52" s="1"/>
  <c r="G4" i="52"/>
  <c r="B52" i="72" s="1"/>
  <c r="F118" i="9"/>
  <c r="C105" i="9"/>
  <c r="E118" i="9"/>
  <c r="H102" i="9"/>
  <c r="I4" i="52"/>
  <c r="D13" i="53" l="1"/>
  <c r="D14" i="53" s="1"/>
  <c r="B32" i="72" s="1"/>
  <c r="H108" i="9"/>
  <c r="D15" i="53" s="1"/>
  <c r="B31" i="72" s="1"/>
  <c r="D6" i="53"/>
  <c r="B22" i="72" s="1"/>
  <c r="M49" i="9"/>
  <c r="L65" i="9" s="1"/>
  <c r="M65" i="9" s="1"/>
  <c r="C85" i="9"/>
  <c r="C78" i="9"/>
  <c r="C73" i="9" s="1"/>
  <c r="D55" i="9"/>
  <c r="M53" i="9" s="1"/>
  <c r="D53" i="9"/>
  <c r="C72" i="9"/>
  <c r="C64" i="9"/>
  <c r="C63" i="9" s="1"/>
  <c r="C67" i="9" s="1"/>
  <c r="D59" i="9" s="1"/>
  <c r="M55" i="9" s="1"/>
  <c r="C93" i="9"/>
  <c r="C86" i="9" s="1"/>
  <c r="F119" i="9"/>
  <c r="F5" i="52" s="1"/>
  <c r="B53" i="72" s="1"/>
  <c r="F4" i="52"/>
  <c r="B51" i="72" s="1"/>
  <c r="E4" i="52"/>
  <c r="B48" i="72" s="1"/>
  <c r="D118" i="9"/>
  <c r="D123" i="9"/>
  <c r="D9" i="52" s="1"/>
  <c r="D8" i="52"/>
  <c r="C5" i="74"/>
  <c r="D7" i="53"/>
  <c r="B21" i="72" s="1"/>
  <c r="B30" i="72" l="1"/>
  <c r="C6" i="74"/>
  <c r="L67" i="9"/>
  <c r="M67" i="9" s="1"/>
  <c r="L64" i="9"/>
  <c r="M64" i="9" s="1"/>
  <c r="L66" i="9"/>
  <c r="M66" i="9" s="1"/>
  <c r="L63" i="9"/>
  <c r="M63" i="9" s="1"/>
  <c r="L68" i="9"/>
  <c r="M68" i="9" s="1"/>
  <c r="C95" i="9"/>
  <c r="C96" i="9" s="1"/>
  <c r="E96" i="9" s="1"/>
  <c r="E97" i="9" s="1"/>
  <c r="C68" i="9"/>
  <c r="D54" i="9" s="1"/>
  <c r="C79" i="9"/>
  <c r="C80" i="9" s="1"/>
  <c r="E80" i="9" s="1"/>
  <c r="E81" i="9" s="1"/>
  <c r="D119" i="9"/>
  <c r="D5" i="52" s="1"/>
  <c r="B49" i="72" s="1"/>
  <c r="D4" i="52"/>
  <c r="B47" i="72"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<sst xmlns="http://schemas.openxmlformats.org/spreadsheetml/2006/main" count="7950" uniqueCount="3479">
  <si>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</si>
  <si>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</si>
  <si>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</si>
  <si>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</si>
  <si>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</si>
  <si>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</si>
  <si>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</si>
  <si>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</si>
  <si>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</si>
  <si>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</si>
  <si>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</si>
  <si>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</si>
  <si>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</si>
  <si>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</si>
  <si>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</si>
  <si>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</si>
  <si>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</si>
  <si>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</si>
  <si>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</si>
  <si>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</si>
  <si>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</si>
  <si>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</si>
  <si>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</si>
  <si>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</si>
  <si>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</si>
  <si>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</si>
  <si>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</si>
  <si>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</si>
  <si>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</si>
  <si>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</si>
  <si>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</si>
  <si>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</si>
  <si>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</si>
  <si>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</si>
  <si>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</si>
  <si>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</si>
  <si>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</si>
  <si>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</si>
  <si>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</si>
  <si>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</si>
  <si>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</si>
  <si>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</si>
  <si>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</si>
  <si>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</si>
  <si>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</si>
  <si>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</si>
  <si>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</si>
  <si>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</si>
  <si>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</si>
  <si>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</si>
  <si>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</si>
  <si>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</si>
  <si>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</si>
  <si>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</si>
  <si>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</si>
  <si>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</si>
  <si>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</si>
  <si>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</si>
  <si>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</si>
  <si>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</si>
  <si>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</si>
  <si>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</si>
  <si>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</si>
  <si>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</si>
  <si>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</si>
  <si>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</si>
  <si>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</si>
  <si>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</si>
  <si>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</si>
  <si>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</si>
  <si>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</si>
  <si>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</si>
  <si>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</si>
  <si>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</si>
  <si>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</si>
  <si>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</si>
  <si>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</si>
  <si>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</si>
  <si>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</si>
  <si>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</si>
  <si>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</si>
  <si>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</si>
  <si>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</si>
  <si>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</si>
  <si>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</si>
  <si>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</si>
  <si>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</si>
  <si>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</si>
  <si>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</si>
  <si>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</si>
  <si>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</si>
  <si>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</si>
  <si>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</si>
  <si>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</si>
  <si>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</si>
  <si>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</si>
  <si>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</si>
  <si>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</si>
  <si>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</si>
  <si>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</si>
  <si>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</si>
  <si>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</si>
  <si>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</si>
  <si>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</si>
  <si>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</si>
  <si>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</si>
  <si>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</si>
  <si>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</si>
  <si>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</si>
  <si>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</si>
  <si>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</si>
  <si>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</si>
  <si>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</si>
  <si>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</si>
  <si>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</si>
  <si>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</si>
  <si>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</si>
  <si>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</si>
  <si>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</si>
  <si>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</si>
  <si>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</si>
  <si>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</si>
  <si>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</si>
  <si>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</si>
  <si>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</si>
  <si>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</si>
  <si>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</si>
  <si>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</si>
  <si>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</si>
  <si>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</si>
  <si>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</si>
  <si>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</si>
  <si>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</si>
  <si>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</si>
  <si>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</si>
  <si>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</si>
  <si>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</si>
  <si>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</si>
  <si>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</si>
  <si>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</si>
  <si>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</si>
  <si>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</si>
  <si>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</si>
  <si>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</si>
  <si>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</si>
  <si>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</si>
  <si>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</si>
  <si>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</si>
  <si>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</si>
  <si>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</si>
  <si>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</si>
  <si>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</si>
  <si>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</si>
  <si>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</si>
  <si>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</si>
  <si>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</si>
  <si>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</si>
  <si>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</si>
  <si>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</si>
  <si>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</si>
  <si>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</si>
  <si>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</si>
  <si>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</si>
  <si>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</si>
  <si>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</si>
  <si>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</si>
  <si>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</si>
  <si>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</si>
  <si>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</si>
  <si>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</si>
  <si>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</si>
  <si>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</si>
  <si>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</si>
  <si>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</si>
  <si>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</si>
  <si>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</si>
  <si>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</si>
  <si>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</si>
  <si>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</si>
  <si>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</si>
  <si>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</si>
  <si>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</si>
  <si>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</si>
  <si>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</si>
  <si>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</si>
  <si>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</si>
  <si>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</si>
  <si>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</si>
  <si>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</si>
  <si>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</si>
  <si>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</si>
  <si>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</si>
  <si>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</si>
  <si>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</si>
  <si>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</si>
  <si>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</si>
  <si>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</si>
  <si>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</si>
  <si>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</si>
  <si>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</si>
  <si>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</si>
  <si>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</si>
  <si>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</si>
  <si>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</si>
  <si>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</si>
  <si>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</si>
  <si>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</si>
  <si>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</si>
  <si>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</si>
  <si>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</si>
  <si>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</si>
  <si>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</si>
  <si>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</si>
  <si>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</si>
  <si>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</si>
  <si>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</si>
  <si>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</si>
  <si>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</si>
  <si>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</si>
  <si>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</si>
  <si>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</si>
  <si>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</si>
  <si>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</si>
  <si>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</si>
  <si>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</si>
  <si>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</si>
  <si>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</si>
  <si>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</si>
  <si>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</si>
  <si>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</si>
  <si>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</si>
  <si>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</si>
  <si>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</si>
  <si>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</si>
  <si>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</si>
  <si>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</si>
  <si>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</si>
  <si>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</si>
  <si>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</si>
  <si>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</si>
  <si>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</si>
  <si>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</si>
  <si>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</si>
  <si>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</si>
  <si>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</si>
  <si>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</si>
  <si>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</si>
  <si>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</si>
  <si>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</si>
  <si>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</si>
  <si>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</si>
  <si>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</si>
  <si>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</si>
  <si>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</si>
  <si>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</si>
  <si>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</si>
  <si>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</si>
  <si>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</si>
  <si>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</si>
  <si>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</si>
  <si>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</si>
  <si>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</si>
  <si>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</si>
  <si>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</si>
  <si>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</si>
  <si>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</si>
  <si>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</si>
  <si>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</si>
  <si>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</si>
  <si>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</si>
  <si>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</si>
  <si>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</si>
  <si>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</si>
  <si>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</si>
  <si>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</si>
  <si>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</si>
  <si>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</si>
  <si>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</si>
  <si>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</si>
  <si>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</si>
  <si>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</si>
  <si>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</si>
  <si>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</si>
  <si>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</si>
  <si>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</si>
  <si>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</si>
  <si>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</si>
  <si>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</si>
  <si>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</si>
  <si>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</si>
  <si>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</si>
  <si>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</si>
  <si>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</si>
  <si>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</si>
  <si>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</si>
  <si>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</si>
  <si>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</si>
  <si>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</si>
  <si>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</si>
  <si>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</si>
  <si>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</si>
  <si>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</si>
  <si>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</si>
  <si>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</si>
  <si>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</si>
  <si>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</si>
  <si>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</si>
  <si>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</si>
  <si>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</si>
  <si>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</si>
  <si>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</si>
  <si>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</si>
  <si>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</si>
  <si>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</si>
  <si>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</si>
  <si>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</si>
  <si>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</si>
  <si>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</si>
  <si>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</si>
  <si>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</si>
  <si>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</si>
  <si>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</si>
  <si>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</si>
  <si>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</si>
  <si>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</si>
  <si>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</si>
  <si>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</si>
  <si>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</si>
  <si>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</si>
  <si>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</si>
  <si>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</si>
  <si>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</si>
  <si>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</si>
  <si>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</si>
  <si>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</si>
  <si>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</si>
  <si>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</si>
  <si>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</si>
  <si>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</si>
  <si>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</si>
  <si>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</si>
  <si>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</si>
  <si>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</si>
  <si>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</si>
  <si>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</si>
  <si>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</si>
  <si>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</si>
  <si>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</si>
  <si>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</si>
  <si>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</si>
  <si>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</si>
  <si>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</si>
  <si>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</si>
  <si>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</si>
  <si>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</si>
  <si>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</si>
  <si>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</si>
  <si>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</si>
  <si>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</si>
  <si>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</si>
  <si>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</si>
  <si>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</si>
  <si>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</si>
  <si>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</si>
  <si>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</si>
  <si>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</si>
  <si>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</si>
  <si>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</si>
  <si>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</si>
  <si>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</si>
  <si>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</si>
  <si>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</si>
  <si>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</si>
  <si>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</si>
  <si>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</si>
  <si>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</si>
  <si>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</si>
  <si>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</si>
  <si>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</si>
  <si>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</si>
  <si>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</si>
  <si>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</si>
  <si>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</si>
  <si>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</si>
  <si>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</si>
  <si>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</si>
  <si>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</si>
  <si>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</si>
  <si>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</si>
  <si>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</si>
  <si>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</si>
  <si>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</si>
  <si>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</si>
  <si>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</si>
  <si>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</si>
  <si>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</si>
  <si>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</si>
  <si>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</si>
  <si>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</si>
  <si>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</si>
  <si>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</si>
  <si>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</si>
  <si>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</si>
  <si>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</si>
  <si>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</si>
  <si>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</si>
  <si>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</si>
  <si>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</si>
  <si>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</si>
  <si>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</si>
  <si>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</si>
  <si>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</si>
  <si>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</si>
  <si>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</si>
  <si>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</si>
  <si>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</si>
  <si>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</si>
  <si>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</si>
  <si>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</si>
  <si>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</si>
  <si>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</si>
  <si>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</si>
  <si>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</si>
  <si>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</si>
  <si>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</si>
  <si>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</si>
  <si>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</si>
  <si>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</si>
  <si>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</si>
  <si>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</si>
  <si>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</si>
  <si>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</si>
  <si>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</si>
  <si>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</si>
  <si>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</si>
  <si>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</si>
  <si>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</si>
  <si>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</si>
  <si>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</si>
  <si>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</si>
  <si>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</si>
  <si>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</si>
  <si>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</si>
  <si>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</si>
  <si>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</si>
  <si>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</si>
  <si>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</si>
  <si>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</si>
  <si>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</si>
  <si>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</si>
  <si>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</si>
  <si>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</si>
  <si>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</si>
  <si>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</si>
  <si>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</si>
  <si>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</si>
  <si>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</si>
  <si>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</si>
  <si>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</si>
  <si>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</si>
  <si>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</si>
  <si>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</si>
  <si>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</si>
  <si>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</si>
  <si>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</si>
  <si>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</si>
  <si>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</si>
  <si>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</si>
  <si>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</si>
  <si>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</si>
  <si>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</si>
  <si>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</si>
  <si>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</si>
  <si>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</si>
  <si>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</si>
  <si>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</si>
  <si>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</si>
  <si>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</si>
  <si>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</si>
  <si>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</si>
  <si>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</si>
  <si>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</si>
  <si>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</si>
  <si>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</si>
  <si>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</si>
  <si>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</si>
  <si>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</si>
  <si>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</si>
  <si>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</si>
  <si>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</si>
  <si>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</si>
  <si>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</si>
  <si>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</si>
  <si>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</si>
  <si>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</si>
  <si>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</si>
  <si>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</si>
  <si>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</si>
  <si>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</si>
  <si>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</si>
  <si>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</si>
  <si>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</si>
  <si>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</si>
  <si>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</si>
  <si>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</si>
  <si>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</si>
  <si>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</si>
  <si>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</si>
  <si>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</si>
  <si>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</si>
  <si>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</si>
  <si>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</si>
  <si>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</si>
  <si>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</si>
  <si>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</si>
  <si>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</si>
  <si>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</si>
  <si>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</si>
  <si>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</si>
  <si>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</si>
  <si>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</si>
  <si>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</si>
  <si>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</si>
  <si>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</si>
  <si>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</si>
  <si>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</si>
  <si>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</si>
  <si>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</si>
  <si>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</si>
  <si>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</si>
  <si>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</si>
  <si>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</si>
  <si>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</si>
  <si>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</si>
  <si>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</si>
  <si>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</si>
  <si>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</si>
  <si>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</si>
  <si>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</si>
  <si>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</si>
  <si>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</si>
  <si>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</si>
  <si>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</si>
  <si>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</si>
  <si>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</si>
  <si>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</si>
  <si>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</si>
  <si>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</si>
  <si>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</si>
  <si>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</si>
  <si>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</si>
  <si>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</si>
  <si>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</si>
  <si>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</si>
  <si>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</si>
  <si>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</si>
  <si>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</si>
  <si>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</si>
  <si>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</si>
  <si>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</si>
  <si>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</si>
  <si>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</si>
  <si>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</si>
  <si>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</si>
  <si>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</si>
  <si>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</si>
  <si>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</si>
  <si>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</si>
  <si>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</si>
  <si>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</si>
  <si>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</si>
  <si>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</si>
  <si>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</si>
  <si>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</si>
  <si>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</si>
  <si>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</si>
  <si>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</si>
  <si>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</si>
  <si>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</si>
  <si>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</si>
  <si>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</si>
  <si>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</si>
  <si>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</si>
  <si>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</si>
  <si>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</si>
  <si>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</si>
  <si>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</si>
  <si>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</si>
  <si>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</si>
  <si>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</si>
  <si>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</si>
  <si>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</si>
  <si>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</si>
  <si>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</si>
  <si>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</si>
  <si>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</si>
  <si>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</si>
  <si>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</si>
  <si>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</si>
  <si>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</si>
  <si>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</si>
  <si>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</si>
  <si>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</si>
  <si>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</si>
  <si>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</si>
  <si>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</si>
  <si>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</si>
  <si>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</si>
  <si>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</si>
  <si>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</si>
  <si>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</si>
  <si>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</si>
  <si>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</si>
  <si>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</si>
  <si>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</si>
  <si>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</si>
  <si>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</si>
  <si>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</si>
  <si>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</si>
  <si>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</si>
  <si>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</si>
  <si>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</si>
  <si>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</si>
  <si>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</si>
  <si>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</si>
  <si>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</si>
  <si>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</si>
  <si>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</si>
  <si>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</si>
  <si>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</si>
  <si>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</si>
  <si>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</si>
  <si>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</si>
  <si>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</si>
  <si>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</si>
  <si>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</si>
  <si>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</si>
  <si>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</si>
  <si>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</si>
  <si>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</si>
  <si>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</si>
  <si>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</si>
  <si>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</si>
  <si>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</si>
  <si>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</si>
  <si>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</si>
  <si>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</si>
  <si>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</si>
  <si>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</si>
  <si>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</si>
  <si>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</si>
  <si>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</si>
  <si>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</si>
  <si>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</si>
  <si>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</si>
  <si>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</si>
  <si>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</si>
  <si>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</si>
  <si>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</si>
  <si>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</si>
  <si>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</si>
  <si>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</si>
  <si>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</si>
  <si>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</si>
  <si>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</si>
  <si>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</si>
  <si>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</si>
  <si>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</si>
  <si>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</si>
  <si>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</si>
  <si>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</si>
  <si>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</si>
  <si>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</si>
  <si>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</si>
  <si>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</si>
  <si>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</si>
  <si>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</si>
  <si>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</si>
  <si>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</si>
  <si>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</si>
  <si>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</si>
  <si>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</si>
  <si>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</si>
  <si>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</si>
  <si>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</si>
  <si>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</si>
  <si>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</si>
  <si>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</si>
  <si>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</si>
  <si>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</si>
  <si>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</si>
  <si>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</si>
  <si>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</si>
  <si>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</si>
  <si>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</si>
  <si>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</si>
  <si>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</si>
  <si>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</si>
  <si>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</si>
  <si>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</si>
  <si>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</si>
  <si>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</si>
  <si>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</si>
  <si>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</si>
  <si>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</si>
  <si>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</si>
  <si>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</si>
  <si>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</si>
  <si>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</si>
  <si>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</si>
  <si>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</si>
  <si>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</si>
  <si>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</si>
  <si>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</si>
  <si>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</si>
  <si>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</si>
  <si>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</si>
  <si>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</si>
  <si>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</si>
  <si>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</si>
  <si>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</si>
  <si>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</si>
  <si>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</si>
  <si>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</si>
  <si>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</si>
  <si>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</si>
  <si>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</si>
  <si>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</si>
  <si>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</si>
  <si>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</si>
  <si>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</si>
  <si>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</si>
  <si>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</si>
  <si>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</si>
  <si>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</si>
  <si>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</si>
  <si>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</si>
  <si>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</si>
  <si>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</si>
  <si>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</si>
  <si>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</si>
  <si>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</si>
  <si>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</si>
  <si>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</si>
  <si>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</si>
  <si>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</si>
  <si>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</si>
  <si>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</si>
  <si>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</si>
  <si>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</si>
  <si>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</si>
  <si>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</si>
  <si>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</si>
  <si>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</si>
  <si>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</si>
  <si>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</si>
  <si>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</si>
  <si>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</si>
  <si>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</si>
  <si>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</si>
  <si>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</si>
  <si>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</si>
  <si>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</si>
  <si>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</si>
  <si>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</si>
  <si>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</si>
  <si>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</si>
  <si>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</si>
  <si>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</si>
  <si>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</si>
  <si>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</si>
  <si>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</si>
  <si>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</si>
  <si>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</si>
  <si>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</si>
  <si>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</si>
  <si>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</si>
  <si>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</si>
  <si>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</si>
  <si>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</si>
  <si>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</si>
  <si>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</si>
  <si>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</si>
  <si>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</si>
  <si>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</si>
  <si>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</si>
  <si>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</si>
  <si>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</si>
  <si>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</si>
  <si>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</si>
  <si>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</si>
  <si>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</si>
  <si>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</si>
  <si>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</si>
  <si>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</si>
  <si>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</si>
  <si>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</si>
  <si>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</si>
  <si>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</si>
  <si>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</si>
  <si>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</si>
  <si>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</si>
  <si>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</si>
  <si>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</si>
  <si>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</si>
  <si>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</si>
  <si>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</si>
  <si>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</si>
  <si>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</si>
  <si>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</si>
  <si>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</si>
  <si>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</si>
  <si>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</si>
  <si>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</si>
  <si>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</si>
  <si>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</si>
  <si>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</si>
  <si>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</si>
  <si>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</si>
  <si>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</si>
  <si>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</si>
  <si>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</si>
  <si>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</si>
  <si>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</si>
  <si>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</si>
  <si>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</si>
  <si>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</si>
  <si>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</si>
  <si>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</si>
  <si>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</si>
  <si>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</si>
  <si>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</si>
  <si>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</si>
  <si>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</si>
  <si>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</si>
  <si>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</si>
  <si>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</si>
  <si>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</si>
  <si>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</si>
  <si>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</si>
  <si>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</si>
  <si>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</si>
  <si>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</si>
  <si>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</si>
  <si>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</si>
  <si>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</si>
  <si>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</si>
  <si>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</si>
  <si>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</si>
  <si>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</si>
  <si>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</si>
  <si>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</si>
  <si>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</si>
  <si>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</si>
  <si>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</si>
  <si>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</si>
  <si>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</si>
  <si>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</si>
  <si>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</si>
  <si>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</si>
  <si>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</si>
  <si>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</si>
  <si>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</si>
  <si>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</si>
  <si>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</si>
  <si>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</si>
  <si>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</si>
  <si>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</si>
  <si>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</si>
  <si>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</si>
  <si>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</si>
  <si>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</si>
  <si>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</si>
  <si>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</si>
  <si>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</si>
  <si>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</si>
  <si>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</si>
  <si>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</si>
  <si>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</si>
  <si>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</si>
  <si>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</si>
  <si>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</si>
  <si>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</si>
  <si>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</si>
  <si>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</si>
  <si>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</si>
  <si>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</si>
  <si>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</si>
  <si>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</si>
  <si>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</si>
  <si>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</si>
  <si>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</si>
  <si>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</si>
  <si>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</si>
  <si>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</si>
  <si>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</si>
  <si>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</si>
  <si>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</si>
  <si>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</si>
  <si>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</si>
  <si>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</si>
  <si>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</si>
  <si>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</si>
  <si>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</si>
  <si>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</si>
  <si>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</si>
  <si>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</si>
  <si>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</si>
  <si>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</si>
  <si>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</si>
  <si>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</si>
  <si>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</si>
  <si>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</si>
  <si>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</si>
  <si>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</si>
  <si>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</si>
  <si>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</si>
  <si>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</si>
  <si>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</si>
  <si>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</si>
  <si>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</si>
  <si>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</si>
  <si>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</si>
  <si>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</si>
  <si>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</si>
  <si>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</si>
  <si>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</si>
  <si>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</si>
  <si>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</si>
  <si>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</si>
  <si>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</si>
  <si>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</si>
  <si>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</si>
  <si>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</si>
  <si>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</si>
  <si>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</si>
  <si>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</si>
  <si>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</si>
  <si>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</si>
  <si>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</si>
  <si>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</si>
  <si>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</si>
  <si>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</si>
  <si>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</si>
  <si>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</si>
  <si>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</si>
  <si>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</si>
  <si>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</si>
  <si>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</si>
  <si>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</si>
  <si>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</si>
  <si>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</si>
  <si>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</si>
  <si>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</si>
  <si>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</si>
  <si>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</si>
  <si>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</si>
  <si>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</si>
  <si>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</si>
  <si>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</si>
  <si>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</si>
  <si>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</si>
  <si>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</si>
  <si>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</si>
  <si>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</si>
  <si>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</si>
  <si>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</si>
  <si>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</si>
  <si>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</si>
  <si>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</si>
  <si>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</si>
  <si>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</si>
  <si>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</si>
  <si>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</si>
  <si>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</si>
  <si>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</si>
  <si>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</si>
  <si>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</si>
  <si>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</si>
  <si>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</si>
  <si>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</si>
  <si>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</si>
  <si>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</si>
  <si>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</si>
  <si>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</si>
  <si>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</si>
  <si>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</si>
  <si>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</si>
  <si>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</si>
  <si>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</si>
  <si>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</si>
  <si>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</si>
  <si>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</si>
  <si>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</si>
  <si>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</si>
  <si>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</si>
  <si>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</si>
  <si>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</si>
  <si>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</si>
  <si>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</si>
  <si>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</si>
  <si>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</si>
  <si>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</si>
  <si>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</si>
  <si>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</si>
  <si>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</si>
  <si>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</si>
  <si>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</si>
  <si>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</si>
  <si>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</si>
  <si>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</si>
  <si>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</si>
  <si>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</si>
  <si>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</si>
  <si>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</si>
  <si>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</si>
  <si>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</si>
  <si>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</si>
  <si>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</si>
  <si>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</si>
  <si>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</si>
  <si>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</si>
  <si>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</si>
  <si>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</si>
  <si>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</si>
  <si>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</si>
  <si>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</si>
  <si>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</si>
  <si>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</si>
  <si>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</si>
  <si>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</si>
  <si>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</si>
  <si>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</si>
  <si>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</si>
  <si>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</si>
  <si>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</si>
  <si>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</si>
  <si>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</si>
  <si>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</si>
  <si>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</si>
  <si>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</si>
  <si>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</si>
  <si>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</si>
  <si>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</si>
  <si>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</si>
  <si>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</si>
  <si>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</si>
  <si>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</si>
  <si>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</si>
  <si>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</si>
  <si>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</si>
  <si>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</si>
  <si>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</si>
  <si>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</si>
  <si>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</si>
  <si>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</si>
  <si>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</si>
  <si>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</si>
  <si>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</si>
  <si>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</si>
  <si>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</si>
  <si>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</si>
  <si>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</si>
  <si>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</si>
  <si>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</si>
  <si>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</si>
  <si>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</si>
  <si>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</si>
  <si>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</si>
  <si>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</si>
  <si>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</si>
  <si>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</si>
  <si>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</si>
  <si>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</si>
  <si>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</si>
  <si>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</si>
  <si>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</si>
  <si>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</si>
  <si>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</si>
  <si>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</si>
  <si>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</si>
  <si>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</si>
  <si>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</si>
  <si>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</si>
  <si>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</si>
  <si>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</si>
  <si>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</si>
  <si>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</si>
  <si>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</si>
  <si>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</si>
  <si>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</si>
  <si>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</si>
  <si>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</si>
  <si>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</si>
  <si>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</si>
  <si>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</si>
  <si>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</si>
  <si>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</si>
  <si>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</si>
  <si>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</si>
  <si>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</si>
  <si>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</si>
  <si>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</si>
  <si>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</si>
  <si>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</si>
  <si>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</si>
  <si>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</si>
  <si>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</si>
  <si>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</si>
  <si>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</si>
  <si>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</si>
  <si>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</si>
  <si>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</si>
  <si>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</si>
  <si>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</si>
  <si>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</si>
  <si>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</si>
  <si>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</si>
  <si>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</si>
  <si>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</si>
  <si>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</si>
  <si>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</si>
  <si>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</si>
  <si>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</si>
  <si>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</si>
  <si>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</si>
  <si>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</si>
  <si>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</si>
  <si>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</si>
  <si>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</si>
  <si>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</si>
  <si>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</si>
  <si>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</si>
  <si>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</si>
  <si>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</si>
  <si>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</si>
  <si>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</si>
  <si>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</si>
  <si>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</si>
  <si>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</si>
  <si>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</si>
  <si>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</si>
  <si>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</si>
  <si>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</si>
  <si>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</si>
  <si>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</si>
  <si>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</si>
  <si>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</si>
  <si>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</si>
  <si>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</si>
  <si>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</si>
  <si>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</si>
  <si>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</si>
  <si>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</si>
  <si>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</si>
  <si>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</si>
  <si>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</si>
  <si>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</si>
  <si>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</si>
  <si>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</si>
  <si>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</si>
  <si>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</si>
  <si>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</si>
  <si>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</si>
  <si>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</si>
  <si>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</si>
  <si>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</si>
  <si>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</si>
  <si>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</si>
  <si>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</si>
  <si>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</si>
  <si>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</si>
  <si>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</si>
  <si>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</si>
  <si>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</si>
  <si>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</si>
  <si>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</si>
  <si>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</si>
  <si>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</si>
  <si>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</si>
  <si>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</si>
  <si>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</si>
  <si>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</si>
  <si>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</si>
  <si>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</si>
  <si>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</si>
  <si>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</si>
  <si>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</si>
  <si>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</si>
  <si>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</si>
  <si>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</si>
  <si>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</si>
  <si>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</si>
  <si>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</si>
  <si>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</si>
  <si>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</si>
  <si>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</si>
  <si>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</si>
  <si>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</si>
  <si>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</si>
  <si>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</si>
  <si>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</si>
  <si>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</si>
  <si>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</si>
  <si>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</si>
  <si>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</si>
  <si>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</si>
  <si>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</si>
  <si>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</si>
  <si>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</si>
  <si>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</si>
  <si>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</si>
  <si>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</si>
  <si>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</si>
  <si>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</si>
  <si>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</si>
  <si>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</si>
  <si>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</si>
  <si>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</si>
  <si>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</si>
  <si>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</si>
  <si>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</si>
  <si>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</si>
  <si>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</si>
  <si>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</si>
  <si>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</si>
  <si>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</si>
  <si>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</si>
  <si>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</si>
  <si>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</si>
  <si>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</si>
  <si>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</si>
  <si>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</si>
  <si>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</si>
  <si>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</si>
  <si>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</si>
  <si>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</si>
  <si>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</si>
  <si>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</si>
  <si>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</si>
  <si>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</si>
  <si>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</si>
  <si>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</si>
  <si>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</si>
  <si>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</si>
  <si>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</si>
  <si>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</si>
  <si>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</si>
  <si>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</si>
  <si>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</si>
  <si>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</si>
  <si>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</si>
  <si>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</si>
  <si>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</si>
  <si>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</si>
  <si>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</si>
  <si>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</si>
  <si>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</si>
  <si>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</si>
  <si>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</si>
  <si>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</si>
  <si>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</si>
  <si>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</si>
  <si>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</si>
  <si>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</si>
  <si>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</si>
  <si>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</si>
  <si>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</si>
  <si>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</si>
  <si>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</si>
  <si>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</si>
  <si>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</si>
  <si>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</si>
  <si>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</si>
  <si>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</si>
  <si>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</si>
  <si>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</si>
  <si>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</si>
  <si>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</si>
  <si>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</si>
  <si>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</si>
  <si>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</si>
  <si>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</si>
  <si>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</si>
  <si>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</si>
  <si>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</si>
  <si>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</si>
  <si>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</si>
  <si>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</si>
  <si>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</si>
  <si>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</si>
  <si>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</si>
  <si>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</si>
  <si>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</si>
  <si>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</si>
  <si>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</si>
  <si>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</si>
  <si>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</si>
  <si>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</si>
  <si>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</si>
  <si>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</si>
  <si>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</si>
  <si>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</si>
  <si>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</si>
  <si>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</si>
  <si>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</si>
  <si>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</si>
  <si>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</si>
  <si>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</si>
  <si>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</si>
  <si>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</si>
  <si>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</si>
  <si>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</si>
  <si>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</si>
  <si>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</si>
  <si>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</si>
  <si>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</si>
  <si>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</si>
  <si>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</si>
  <si>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</si>
  <si>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</si>
  <si>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</si>
  <si>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</si>
  <si>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</si>
  <si>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</si>
  <si>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</si>
  <si>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</si>
  <si>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</si>
  <si>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</si>
  <si>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</si>
  <si>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</si>
  <si>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</si>
  <si>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</si>
  <si>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</si>
  <si>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</si>
  <si>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</si>
  <si>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</si>
  <si>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</si>
  <si>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</si>
  <si>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</si>
  <si>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</si>
  <si>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</si>
  <si>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</si>
  <si>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</si>
  <si>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</si>
  <si>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</si>
  <si>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</si>
  <si>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</si>
  <si>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</si>
  <si>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</si>
  <si>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</si>
  <si>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</si>
  <si>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</si>
  <si>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</si>
  <si>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</si>
  <si>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</si>
  <si>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</si>
  <si>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</si>
  <si>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</si>
  <si>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</si>
  <si>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</si>
  <si>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</si>
  <si>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</si>
  <si>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</si>
  <si>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</si>
  <si>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</si>
  <si>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</si>
  <si>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</si>
  <si>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</si>
  <si>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</si>
  <si>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</si>
  <si>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</si>
  <si>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</si>
  <si>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</si>
  <si>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</si>
  <si>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</si>
  <si>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</si>
  <si>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</si>
  <si>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</si>
  <si>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</si>
  <si>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</si>
  <si>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</si>
  <si>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</si>
  <si>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</si>
  <si>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</si>
  <si>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</si>
  <si>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</si>
  <si>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</si>
  <si>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</si>
  <si>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</si>
  <si>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</si>
  <si>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</si>
  <si>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</si>
  <si>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</si>
  <si>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</si>
  <si>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</si>
  <si>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</si>
  <si>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</si>
  <si>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</si>
  <si>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</si>
  <si>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</si>
  <si>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</si>
  <si>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</si>
  <si>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</si>
  <si>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</si>
  <si>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</si>
  <si>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</si>
  <si>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</si>
  <si>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</si>
  <si>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</si>
  <si>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</si>
  <si>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</si>
  <si>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</si>
  <si>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</si>
  <si>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</si>
  <si>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</si>
  <si>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</si>
  <si>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</si>
  <si>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</si>
  <si>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</si>
  <si>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</si>
  <si>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</si>
  <si>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</si>
  <si>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</si>
  <si>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</si>
  <si>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</si>
  <si>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</si>
  <si>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</si>
  <si>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</si>
  <si>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</si>
  <si>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</si>
  <si>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</si>
  <si>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</si>
  <si>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</si>
  <si>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</si>
  <si>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</si>
  <si>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</si>
  <si>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</si>
  <si>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</si>
  <si>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</si>
  <si>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</si>
  <si>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</si>
  <si>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</si>
  <si>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</si>
  <si>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</si>
  <si>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</si>
  <si>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</si>
  <si>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</si>
  <si>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</si>
  <si>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</si>
  <si>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</si>
  <si>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</si>
  <si>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</si>
  <si>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</si>
  <si>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</si>
  <si>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</si>
  <si>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</si>
  <si>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</si>
  <si>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</si>
  <si>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</si>
  <si>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</si>
  <si>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</si>
  <si>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</si>
  <si>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</si>
  <si>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</si>
  <si>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</si>
  <si>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</si>
  <si>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</si>
  <si>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</si>
  <si>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</si>
  <si>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</si>
  <si>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</si>
  <si>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</si>
  <si>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</si>
  <si>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</si>
  <si>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</si>
  <si>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</si>
  <si>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</si>
  <si>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</si>
  <si>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</si>
  <si>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</si>
  <si>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</si>
  <si>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</si>
  <si>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</si>
  <si>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</si>
  <si>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</si>
  <si>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</si>
  <si>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</si>
  <si>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</si>
  <si>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</si>
  <si>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</si>
  <si>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</si>
  <si>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</si>
  <si>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</si>
  <si>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</si>
  <si>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</si>
  <si>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</si>
  <si>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</si>
  <si>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</si>
  <si>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</si>
  <si>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</si>
  <si>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</si>
  <si>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</si>
  <si>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</si>
  <si>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</si>
  <si>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</si>
  <si>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</si>
  <si>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</si>
  <si>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</si>
  <si>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</si>
  <si>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</si>
  <si>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</si>
  <si>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</si>
  <si>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</si>
  <si>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</si>
  <si>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</si>
  <si>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</si>
  <si>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</si>
  <si>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</si>
  <si>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</si>
  <si>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</si>
  <si>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</si>
  <si>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</si>
  <si>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</si>
  <si>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</si>
  <si>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</si>
  <si>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</si>
  <si>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</si>
  <si>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</si>
  <si>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</si>
  <si>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</si>
  <si>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</si>
  <si>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</si>
  <si>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</si>
  <si>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</si>
  <si>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</si>
  <si>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</si>
  <si>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</si>
  <si>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</si>
  <si>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</si>
  <si>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</si>
  <si>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</si>
  <si>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</si>
  <si>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</si>
  <si>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</si>
  <si>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</si>
  <si>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</si>
  <si>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</si>
  <si>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</si>
  <si>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</si>
  <si>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</si>
  <si>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</si>
  <si>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</si>
  <si>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</si>
  <si>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</si>
  <si>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</si>
  <si>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</si>
  <si>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</si>
  <si>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</si>
  <si>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</si>
  <si>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</si>
  <si>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</si>
  <si>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</si>
  <si>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</si>
  <si>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</si>
  <si>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</si>
  <si>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</si>
  <si>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</si>
  <si>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</si>
  <si>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</si>
  <si>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</si>
  <si>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</si>
  <si>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</si>
  <si>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</si>
  <si>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</si>
  <si>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</si>
  <si>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</si>
  <si>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</si>
  <si>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</si>
  <si>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</si>
  <si>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</si>
  <si>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</si>
  <si>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</si>
  <si>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</si>
  <si>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</si>
  <si>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</si>
  <si>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</si>
  <si>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</si>
  <si>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</si>
  <si>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</si>
  <si>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</si>
  <si>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</si>
  <si>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</si>
  <si>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</si>
  <si>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</si>
  <si>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</si>
  <si>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</si>
  <si>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</si>
  <si>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</si>
  <si>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</si>
  <si>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</si>
  <si>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</si>
  <si>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</si>
  <si>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</si>
  <si>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</si>
  <si>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</si>
  <si>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</si>
  <si>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</si>
  <si>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</si>
  <si>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</si>
  <si>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</si>
  <si>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</si>
  <si>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</si>
  <si>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</si>
  <si>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</si>
  <si>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</si>
  <si>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</si>
  <si>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</si>
  <si>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</si>
  <si>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</si>
  <si>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</si>
  <si>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</si>
  <si>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</si>
  <si>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</si>
  <si>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</si>
  <si>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</si>
  <si>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</si>
  <si>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</si>
  <si>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</si>
  <si>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</si>
  <si>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</si>
  <si>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</si>
  <si>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</si>
  <si>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</si>
  <si>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</si>
  <si>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</si>
  <si>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</si>
  <si>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</si>
  <si>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</si>
  <si>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</si>
  <si>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</si>
  <si>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</si>
  <si>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</si>
  <si>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</si>
  <si>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</si>
  <si>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</si>
  <si>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</si>
  <si>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</si>
  <si>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</si>
  <si>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</si>
  <si>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</si>
  <si>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</si>
  <si>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</si>
  <si>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</si>
  <si>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</si>
  <si>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</si>
  <si>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</si>
  <si>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</si>
  <si>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</si>
  <si>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</si>
  <si>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</si>
  <si>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</si>
  <si>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</si>
  <si>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</si>
  <si>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</si>
  <si>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</si>
  <si>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</si>
  <si>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</si>
  <si>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</si>
  <si>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</si>
  <si>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</si>
  <si>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</si>
  <si>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</si>
  <si>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</si>
  <si>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</si>
  <si>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</si>
  <si>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</si>
  <si>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</si>
  <si>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</si>
  <si>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</si>
  <si>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</si>
  <si>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</si>
  <si>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</si>
  <si>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</si>
  <si>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</si>
  <si>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</si>
  <si>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</si>
  <si>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</si>
  <si>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</si>
  <si>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</si>
  <si>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</si>
  <si>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</si>
  <si>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</si>
  <si>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</si>
  <si>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</si>
  <si>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</si>
  <si>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</si>
  <si>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</si>
  <si>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</si>
  <si>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</si>
  <si>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</si>
  <si>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</si>
  <si>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</si>
  <si>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</si>
  <si>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</si>
  <si>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</si>
  <si>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</si>
  <si>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</si>
  <si>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</si>
  <si>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</si>
  <si>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</si>
  <si>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</si>
  <si>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</si>
  <si>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</si>
  <si>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</si>
  <si>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</si>
  <si>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</si>
  <si>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</si>
  <si>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</si>
  <si>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</si>
  <si>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</si>
  <si>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</si>
  <si>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</si>
  <si>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</si>
  <si>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</si>
  <si>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</si>
  <si>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</si>
  <si>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</si>
  <si>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</si>
  <si>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</si>
  <si>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</si>
  <si>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</si>
  <si>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</si>
  <si>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</si>
  <si>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</si>
  <si>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</si>
  <si>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</si>
  <si>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</si>
  <si>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</si>
  <si>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</si>
  <si>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</si>
  <si>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</si>
  <si>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</si>
  <si>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</si>
  <si>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</si>
  <si>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</si>
  <si>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</si>
  <si>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</si>
  <si>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</si>
  <si>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</si>
  <si>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</si>
  <si>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</si>
  <si>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</si>
  <si>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</si>
  <si>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</si>
  <si>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</si>
  <si>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</si>
  <si>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</si>
  <si>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</si>
  <si>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</si>
  <si>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</si>
  <si>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</si>
  <si>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</si>
  <si>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</si>
  <si>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</si>
  <si>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</si>
  <si>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</si>
  <si>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</si>
  <si>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</si>
  <si>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</si>
  <si>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</si>
  <si>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</si>
  <si>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</si>
  <si>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</si>
  <si>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</si>
  <si>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</si>
  <si>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</si>
  <si>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</si>
  <si>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</si>
  <si>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</si>
  <si>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</si>
  <si>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</si>
  <si>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</si>
  <si>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</si>
  <si>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</si>
  <si>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</si>
  <si>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</si>
  <si>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</si>
  <si>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</si>
  <si>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</si>
  <si>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</si>
  <si>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</si>
  <si>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</si>
  <si>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</si>
  <si>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</si>
  <si>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</si>
  <si>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</si>
  <si>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</si>
  <si>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</si>
  <si>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</si>
  <si>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</si>
  <si>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</si>
  <si>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</si>
  <si>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</si>
  <si>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</si>
  <si>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</si>
  <si>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</si>
  <si>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</si>
  <si>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</si>
  <si>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</si>
  <si>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</si>
  <si>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</si>
  <si>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</si>
  <si>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</si>
  <si>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</si>
  <si>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</si>
  <si>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</si>
  <si>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</si>
  <si>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</si>
  <si>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</si>
  <si>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</si>
  <si>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</si>
  <si>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</si>
  <si>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</si>
  <si>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</si>
  <si>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</si>
  <si>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</si>
  <si>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</si>
  <si>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</si>
  <si>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</si>
  <si>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</si>
  <si>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</si>
  <si>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</si>
  <si>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</si>
  <si>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</si>
  <si>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</si>
  <si>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</si>
  <si>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</si>
  <si>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</si>
  <si>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</si>
  <si>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</si>
  <si>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</si>
  <si>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</si>
  <si>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</si>
  <si>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</si>
  <si>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</si>
  <si>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</si>
  <si>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</si>
  <si>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</si>
  <si>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</si>
  <si>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</si>
  <si>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</si>
  <si>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</si>
  <si>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</si>
  <si>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</si>
  <si>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</si>
  <si>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</si>
  <si>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</si>
  <si>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</si>
  <si>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</si>
  <si>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</si>
  <si>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</si>
  <si>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</si>
  <si>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</si>
  <si>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</si>
  <si>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</si>
  <si>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</si>
  <si>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</si>
  <si>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</si>
  <si>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</si>
  <si>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</si>
  <si>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</si>
  <si>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</si>
  <si>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</si>
  <si>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</si>
  <si>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</si>
  <si>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</si>
  <si>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</si>
  <si>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</si>
  <si>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</si>
  <si>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</si>
  <si>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</si>
  <si>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</si>
  <si>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</si>
  <si>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</si>
  <si>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</si>
  <si>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</si>
  <si>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</si>
  <si>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</si>
  <si>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</si>
  <si>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</si>
  <si>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</si>
  <si>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</si>
  <si>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</si>
  <si>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</si>
  <si>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</si>
  <si>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</si>
  <si>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</si>
  <si>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</si>
  <si>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</si>
  <si>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</si>
  <si>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</si>
  <si>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</si>
  <si>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</si>
  <si>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</si>
  <si>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</si>
  <si>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</si>
  <si>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</si>
  <si>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</si>
  <si>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</si>
  <si>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</si>
  <si>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</si>
  <si>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</si>
  <si>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</si>
  <si>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</si>
  <si>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</si>
  <si>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</si>
  <si>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</si>
  <si>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</si>
  <si>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</si>
  <si>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</si>
  <si>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</si>
  <si>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</si>
  <si>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</si>
  <si>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</si>
  <si>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</si>
  <si>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</si>
  <si>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</si>
  <si>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</si>
  <si>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</si>
  <si>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</si>
  <si>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</si>
  <si>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</si>
  <si>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</si>
  <si>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</si>
  <si>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</si>
  <si>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</si>
  <si>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</si>
  <si>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</si>
  <si>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</si>
  <si>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</si>
  <si>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</si>
  <si>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</si>
  <si>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</si>
  <si>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</si>
  <si>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</si>
  <si>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</si>
  <si>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</si>
  <si>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</si>
  <si>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</si>
  <si>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</si>
  <si>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</si>
  <si>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</si>
  <si>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</si>
  <si>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</si>
  <si>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</si>
  <si>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</si>
  <si>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</si>
  <si>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</si>
  <si>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</si>
  <si>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</si>
  <si>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</si>
  <si>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</si>
  <si>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</si>
  <si>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</si>
  <si>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</si>
  <si>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</si>
  <si>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</si>
  <si>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</si>
  <si>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</si>
  <si>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</si>
  <si>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</si>
  <si>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</si>
  <si>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</si>
  <si>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</si>
  <si>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</si>
  <si>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</si>
  <si>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</si>
  <si>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</si>
  <si>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</si>
  <si>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</si>
  <si>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</si>
  <si>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</si>
  <si>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</si>
  <si>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</si>
  <si>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</si>
  <si>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</si>
  <si>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</si>
  <si>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</si>
  <si>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</si>
  <si>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</si>
  <si>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</si>
  <si>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</si>
  <si>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</si>
  <si>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</si>
  <si>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</si>
  <si>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</si>
  <si>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</si>
  <si>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</si>
  <si>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</si>
  <si>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</si>
  <si>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</si>
  <si>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</si>
  <si>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</si>
  <si>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</si>
  <si>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</si>
  <si>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</si>
  <si>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</si>
  <si>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</si>
  <si>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</si>
  <si>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</si>
  <si>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</si>
  <si>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</si>
  <si>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</si>
  <si>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</si>
  <si>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</si>
  <si>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</si>
  <si>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</si>
  <si>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</si>
  <si>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</si>
  <si>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</si>
  <si>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</si>
  <si>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</si>
  <si>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</si>
  <si>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</si>
  <si>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</si>
  <si>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</si>
  <si>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</si>
  <si>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</si>
  <si>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</si>
  <si>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</si>
  <si>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</si>
  <si>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</si>
  <si>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</si>
  <si>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</si>
  <si>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</si>
  <si>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</si>
  <si>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</si>
  <si>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</si>
  <si>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</si>
  <si>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</si>
  <si>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</si>
  <si>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</si>
  <si>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</si>
  <si>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</si>
  <si>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</si>
  <si>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</si>
  <si>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</si>
  <si>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</si>
  <si>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</si>
  <si>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</si>
  <si>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</si>
  <si>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</si>
  <si>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</si>
  <si>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</si>
  <si>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</si>
  <si>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</si>
  <si>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</si>
  <si>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</si>
  <si>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</si>
  <si>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</si>
  <si>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</si>
  <si>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</si>
  <si>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</si>
  <si>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</si>
  <si>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</si>
  <si>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</si>
  <si>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</si>
  <si>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</si>
  <si>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</si>
  <si>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</si>
  <si>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</si>
  <si>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</si>
  <si>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</si>
  <si>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</si>
  <si>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</si>
  <si>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</si>
  <si>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</si>
  <si>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</si>
  <si>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</si>
  <si>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</si>
  <si>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</si>
  <si>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</si>
  <si>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</si>
  <si>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</si>
  <si>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</si>
  <si>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</si>
  <si>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</si>
  <si>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</si>
  <si>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</si>
  <si>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</si>
  <si>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</si>
  <si>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</si>
  <si>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</si>
  <si>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</si>
  <si>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</si>
  <si>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</si>
  <si>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</si>
  <si>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</si>
  <si>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</si>
  <si>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</si>
  <si>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</si>
  <si>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</si>
  <si>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</si>
  <si>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</si>
  <si>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</si>
  <si>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</si>
  <si>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</si>
  <si>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</si>
  <si>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</si>
  <si>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</si>
  <si>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</si>
  <si>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</si>
  <si>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</si>
  <si>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</si>
  <si>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</si>
  <si>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</si>
  <si>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</si>
  <si>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</si>
  <si>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</si>
  <si>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</si>
  <si>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</si>
  <si>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</si>
  <si>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</si>
  <si>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</si>
  <si>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</si>
  <si>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</si>
  <si>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</si>
  <si>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</si>
  <si>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</si>
  <si>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</si>
  <si>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</si>
  <si>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</si>
  <si>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</si>
  <si>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</si>
  <si>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</si>
  <si>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</si>
  <si>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</si>
  <si>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</si>
  <si>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</si>
  <si>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</si>
  <si>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</si>
  <si>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</si>
  <si>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</si>
  <si>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</si>
  <si>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</si>
  <si>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</si>
  <si>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</si>
  <si>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</si>
  <si>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</si>
  <si>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</si>
  <si>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</si>
  <si>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</si>
  <si>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</si>
  <si>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</si>
  <si>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</si>
  <si>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</si>
  <si>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</si>
  <si>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</si>
  <si>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</si>
  <si>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</si>
  <si>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</si>
  <si>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</si>
  <si>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</si>
  <si>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</si>
  <si>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</si>
  <si>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</si>
  <si>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</si>
  <si>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</si>
  <si>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</si>
  <si>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</si>
  <si>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</si>
  <si>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</si>
  <si>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</si>
  <si>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</si>
  <si>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</si>
  <si>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</si>
  <si>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</si>
  <si>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</si>
  <si>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</si>
  <si>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</si>
  <si>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</si>
  <si>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</si>
  <si>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</si>
  <si>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</si>
  <si>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</si>
  <si>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</si>
  <si>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</si>
  <si>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</si>
  <si>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</si>
  <si>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</si>
  <si>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</si>
  <si>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</si>
  <si>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</si>
  <si>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</si>
  <si>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</si>
  <si>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</si>
  <si>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</si>
  <si>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</si>
  <si>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</si>
  <si>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</si>
  <si>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</si>
  <si>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</si>
  <si>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</si>
  <si>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</si>
  <si>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</si>
  <si>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</si>
  <si>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</si>
  <si>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</si>
  <si>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</si>
  <si>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</si>
  <si>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</si>
  <si>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</si>
  <si>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</si>
  <si>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</si>
  <si>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</si>
  <si>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</si>
  <si>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</si>
  <si>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</si>
  <si>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</si>
  <si>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</si>
  <si>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</si>
  <si>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</si>
  <si>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</si>
  <si>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</si>
  <si>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</si>
  <si>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</si>
  <si>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</si>
  <si>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</si>
  <si>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</si>
  <si>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</si>
  <si>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</si>
  <si>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</si>
  <si>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</si>
  <si>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</si>
  <si>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</si>
  <si>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</si>
  <si>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</si>
  <si>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</si>
  <si>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</si>
  <si>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</si>
  <si>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</si>
  <si>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</si>
  <si>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</si>
  <si>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</si>
  <si>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</si>
  <si>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</si>
  <si>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</si>
  <si>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</si>
  <si>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</si>
  <si>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</si>
  <si>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</si>
  <si>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</si>
  <si>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</si>
  <si>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</si>
  <si>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</si>
  <si>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</si>
  <si>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</si>
  <si>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</si>
  <si>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</si>
  <si>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</si>
  <si>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</si>
  <si>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</si>
  <si>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</si>
  <si>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</si>
  <si>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</si>
  <si>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</si>
  <si>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</si>
  <si>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</si>
  <si>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</si>
  <si>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</si>
  <si>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</si>
  <si>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</si>
  <si>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</si>
  <si>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</si>
  <si>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</si>
  <si>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</si>
  <si>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</si>
  <si>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</si>
  <si>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</si>
  <si>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</si>
  <si>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</si>
  <si>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</si>
  <si>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</si>
  <si>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</si>
  <si>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</si>
  <si>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</si>
  <si>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</si>
  <si>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</si>
  <si>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</si>
  <si>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</si>
  <si>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</si>
  <si>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</si>
  <si>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</si>
  <si>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</si>
  <si>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</si>
  <si>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</si>
  <si>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</si>
  <si>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</si>
  <si>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</si>
  <si>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</si>
  <si>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</si>
  <si>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</si>
  <si>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</si>
  <si>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</si>
  <si>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</si>
  <si>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</si>
  <si>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</si>
  <si>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</si>
  <si>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</si>
  <si>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</si>
  <si>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</si>
  <si>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</si>
  <si>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</si>
  <si>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</si>
  <si>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</si>
  <si>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</si>
  <si>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</si>
  <si>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</si>
  <si>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</si>
  <si>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</si>
  <si>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</si>
  <si>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</si>
  <si>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</si>
  <si>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</si>
  <si>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</si>
  <si>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</si>
  <si>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</si>
  <si>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</si>
  <si>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</si>
  <si>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</si>
  <si>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</si>
  <si>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</si>
  <si>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</si>
  <si>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</si>
  <si>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</si>
  <si>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</si>
  <si>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</si>
  <si>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</si>
  <si>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</si>
  <si>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</si>
  <si>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</si>
  <si>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</si>
  <si>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</si>
  <si>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</si>
  <si>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</si>
  <si>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</si>
  <si>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</si>
  <si>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</si>
  <si>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</si>
  <si>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</si>
  <si>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</si>
  <si>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</si>
  <si>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</si>
  <si>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</si>
  <si>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</si>
  <si>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</si>
  <si>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</si>
  <si>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</si>
  <si>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</si>
  <si>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</si>
  <si>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</si>
  <si>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</si>
  <si>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</si>
  <si>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</si>
  <si>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</si>
  <si>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</si>
  <si>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</si>
  <si>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</si>
  <si>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</si>
  <si>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</si>
  <si>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</si>
  <si>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</si>
  <si>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</si>
  <si>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</si>
  <si>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</si>
  <si>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</si>
  <si>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</si>
  <si>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</si>
  <si>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</si>
  <si>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</si>
  <si>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</si>
  <si>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</si>
  <si>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</si>
  <si>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</si>
  <si>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</si>
  <si>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</si>
  <si>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</si>
  <si>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</si>
  <si>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</si>
  <si>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</si>
  <si>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</si>
  <si>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</si>
  <si>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</si>
  <si>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</si>
  <si>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</si>
  <si>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</si>
  <si>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</si>
  <si>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</si>
  <si>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</si>
  <si>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</si>
  <si>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</si>
  <si>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</si>
  <si>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</si>
  <si>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</si>
  <si>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</si>
  <si>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</si>
  <si>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</si>
  <si>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</si>
  <si>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</si>
  <si>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</si>
  <si>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</si>
  <si>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</si>
  <si>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</si>
  <si>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</si>
  <si>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</si>
  <si>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</si>
  <si>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</si>
  <si>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</si>
  <si>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</si>
  <si>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</si>
  <si>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</si>
  <si>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</si>
  <si>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</si>
  <si>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</si>
  <si>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</si>
  <si>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</si>
  <si>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</si>
  <si>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</si>
  <si>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</si>
  <si>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</si>
  <si>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</si>
  <si>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</si>
  <si>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</si>
  <si>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</si>
  <si>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</si>
  <si>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</si>
  <si>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</si>
  <si>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</si>
  <si>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</si>
  <si>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</si>
  <si>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</si>
  <si>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</si>
  <si>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</si>
  <si>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</si>
  <si>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</si>
  <si>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</si>
  <si>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</si>
  <si>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</si>
  <si>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</si>
  <si>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</si>
  <si>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</si>
  <si>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</si>
  <si>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</si>
  <si>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</si>
  <si>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</si>
  <si>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</si>
  <si>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</si>
  <si>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</si>
  <si>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</si>
  <si>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</si>
  <si>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</si>
  <si>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</si>
  <si>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</si>
  <si>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</si>
  <si>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</si>
  <si>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</si>
  <si>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</si>
  <si>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</si>
  <si>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</si>
  <si>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</si>
  <si>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</si>
  <si>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</si>
  <si>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</si>
  <si>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</si>
  <si>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</si>
  <si>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</si>
  <si>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</si>
  <si>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</si>
  <si>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</si>
  <si>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</si>
  <si>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</si>
  <si>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</si>
  <si>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</si>
  <si>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</si>
  <si>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</si>
  <si>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</si>
  <si>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</si>
  <si>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</si>
  <si>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</si>
  <si>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</si>
  <si>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</si>
  <si>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</si>
  <si>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</si>
  <si>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</si>
  <si>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</si>
  <si>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</si>
  <si>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</si>
  <si>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</si>
  <si>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</si>
  <si>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</si>
  <si>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</si>
  <si>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</si>
  <si>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</si>
  <si>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</si>
  <si>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</si>
  <si>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</si>
  <si>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</si>
  <si>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</si>
  <si>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</si>
  <si>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</si>
  <si>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</si>
  <si>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</si>
  <si>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</si>
  <si>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</si>
  <si>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</si>
  <si>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</si>
  <si>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</si>
  <si>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</si>
  <si>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</si>
  <si>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</si>
  <si>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</si>
  <si>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</si>
  <si>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</si>
  <si>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</si>
  <si>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</si>
  <si>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</si>
  <si>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</si>
  <si>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</si>
  <si>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</si>
  <si>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</si>
  <si>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</si>
  <si>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</si>
  <si>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</si>
  <si>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</si>
  <si>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</si>
  <si>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</si>
  <si>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</si>
  <si>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</si>
  <si>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</si>
  <si>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</si>
  <si>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</si>
  <si>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</si>
  <si>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</si>
  <si>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</si>
  <si>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</si>
  <si>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</si>
  <si>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</si>
  <si>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</si>
  <si>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</si>
  <si>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</si>
  <si>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</si>
  <si>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</si>
  <si>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</si>
  <si>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</si>
  <si>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</si>
  <si>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</si>
  <si>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</si>
  <si>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</si>
  <si>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</si>
  <si>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</si>
  <si>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</si>
  <si>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</si>
  <si>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</si>
  <si>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</si>
  <si>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</si>
  <si>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</si>
  <si>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</si>
  <si>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</si>
  <si>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</si>
  <si>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</si>
  <si>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</si>
  <si>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</si>
  <si>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</si>
  <si>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</si>
  <si>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</si>
  <si>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</si>
  <si>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</si>
  <si>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</si>
  <si>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</si>
  <si>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</si>
  <si>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</si>
  <si>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</si>
  <si>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</si>
  <si>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</si>
  <si>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</si>
  <si>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</si>
  <si>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</si>
  <si>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</si>
  <si>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</si>
  <si>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</si>
  <si>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</si>
  <si>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</si>
  <si>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</si>
  <si>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</si>
  <si>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</si>
  <si>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</si>
  <si>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</si>
  <si>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</si>
  <si>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</si>
  <si>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</si>
  <si>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</si>
  <si>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</si>
  <si>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</si>
  <si>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</si>
  <si>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</si>
  <si>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</si>
  <si>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</si>
  <si>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</si>
  <si>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</si>
  <si>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</si>
  <si>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</si>
  <si>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</si>
  <si>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</si>
  <si>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</si>
  <si>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</si>
  <si>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</si>
  <si>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</si>
  <si>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</si>
  <si>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</si>
  <si>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</si>
  <si>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</si>
  <si>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</si>
  <si>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</si>
  <si>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</si>
  <si>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</si>
  <si>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</si>
  <si>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</si>
  <si>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</si>
  <si>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</si>
  <si>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</si>
  <si>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</si>
  <si>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</si>
  <si>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</si>
  <si>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</si>
  <si>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</si>
  <si>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</si>
  <si>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</si>
  <si>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</si>
  <si>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</si>
  <si>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</si>
  <si>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</si>
  <si>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</si>
  <si>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</si>
  <si>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</si>
  <si>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</si>
  <si>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</si>
  <si>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</si>
  <si>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</si>
  <si>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</si>
  <si>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</si>
  <si>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</si>
  <si>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</si>
  <si>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</si>
  <si>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</si>
  <si>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</si>
  <si>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</si>
  <si>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</si>
  <si>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</si>
  <si>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</si>
  <si>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</si>
  <si>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</si>
  <si>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</si>
  <si>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</si>
  <si>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</si>
  <si>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</si>
  <si>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</si>
  <si>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</si>
  <si>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</si>
  <si>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</si>
  <si>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</si>
  <si>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</si>
  <si>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</si>
  <si>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</si>
  <si>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</si>
  <si>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</si>
  <si>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</si>
  <si>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</si>
  <si>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</si>
  <si>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</si>
  <si>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</si>
  <si>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</si>
  <si>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</si>
  <si>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</si>
  <si>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</si>
  <si>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</si>
  <si>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</si>
  <si>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</si>
  <si>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</si>
  <si>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</si>
  <si>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</si>
  <si>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</si>
  <si>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</si>
  <si>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</si>
  <si>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</si>
  <si>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</si>
  <si>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</si>
  <si>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</si>
  <si>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</si>
  <si>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</si>
  <si>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</si>
  <si>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</si>
  <si>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</si>
  <si>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</si>
  <si>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</si>
  <si>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</si>
  <si>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</si>
  <si>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</si>
  <si>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</si>
  <si>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</si>
  <si>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</si>
  <si>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</si>
  <si>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</si>
  <si>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</si>
  <si>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</si>
  <si>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</si>
  <si>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</si>
  <si>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</si>
  <si>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</si>
  <si>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</si>
  <si>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</si>
  <si>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</si>
  <si>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</si>
  <si>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</si>
  <si>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</si>
  <si>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</si>
  <si>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</si>
  <si>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</si>
  <si>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</si>
  <si>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</si>
  <si>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</si>
  <si>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</si>
  <si>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</si>
  <si>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</si>
  <si>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</si>
  <si>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</si>
  <si>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</si>
  <si>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</si>
  <si>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</si>
  <si>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</si>
  <si>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</si>
  <si>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</si>
  <si>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</si>
  <si>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</si>
  <si>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</si>
  <si>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</si>
  <si>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</si>
  <si>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</si>
  <si>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</si>
  <si>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</si>
  <si>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</si>
  <si>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</si>
  <si>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</si>
  <si>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</si>
  <si>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</si>
  <si>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</si>
  <si>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</si>
  <si>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</si>
  <si>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</si>
  <si>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</si>
  <si>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</si>
  <si>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</si>
  <si>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</si>
  <si>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</si>
  <si>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</si>
  <si>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</si>
  <si>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</si>
  <si>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</si>
  <si>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</si>
  <si>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</si>
  <si>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</si>
  <si>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</si>
  <si>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</si>
  <si>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</si>
  <si>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</si>
  <si>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</si>
  <si>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</si>
  <si>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</si>
  <si>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</si>
  <si>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</si>
  <si>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</si>
  <si>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</si>
  <si>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</si>
  <si>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</si>
  <si>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</si>
  <si>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</si>
  <si>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</si>
  <si>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</si>
  <si>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</si>
  <si>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</si>
  <si>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</si>
  <si>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</si>
  <si>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</si>
  <si>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</si>
  <si>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</si>
  <si>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</si>
  <si>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</si>
  <si>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</si>
  <si>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</si>
  <si>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</si>
  <si>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</si>
  <si>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</si>
  <si>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</si>
  <si>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</si>
  <si>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</si>
  <si>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</si>
  <si>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</si>
  <si>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</si>
  <si>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</si>
  <si>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</si>
  <si>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</si>
  <si>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</si>
  <si>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</si>
  <si>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</si>
  <si>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</si>
  <si>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</si>
  <si>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</si>
  <si>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</si>
  <si>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</si>
  <si>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</si>
  <si>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</si>
  <si>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</si>
  <si>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</si>
  <si>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</si>
  <si>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</si>
  <si>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</si>
  <si>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</si>
  <si>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</si>
  <si>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</si>
  <si>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</si>
  <si>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</si>
  <si>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</si>
  <si>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</si>
  <si>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</si>
  <si>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</si>
  <si>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</si>
  <si>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</si>
  <si>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</si>
  <si>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</si>
  <si>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</si>
  <si>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</si>
  <si>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</si>
  <si>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</si>
  <si>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</si>
  <si>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</si>
  <si>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</si>
  <si>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</si>
  <si>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</si>
  <si>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</si>
  <si>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</si>
  <si>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</si>
  <si>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</si>
  <si>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</si>
  <si>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</si>
  <si>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</si>
  <si>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</si>
  <si>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</si>
  <si>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</si>
  <si>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</si>
  <si>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</si>
  <si>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</si>
  <si>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</si>
  <si>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</si>
  <si>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</si>
  <si>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</si>
  <si>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</si>
  <si>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</si>
  <si>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</si>
  <si>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</si>
  <si>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</si>
  <si>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</si>
  <si>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</si>
  <si>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</si>
  <si>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</si>
  <si>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</si>
  <si>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</si>
  <si>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</si>
  <si>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</si>
  <si>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</si>
  <si>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</si>
  <si>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</si>
  <si>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</si>
  <si>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</si>
  <si>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</si>
  <si>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</si>
  <si>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</si>
  <si>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</si>
  <si>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</si>
  <si>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</si>
  <si>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</si>
  <si>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</si>
  <si>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</si>
  <si>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</si>
  <si>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</si>
  <si>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</si>
  <si>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</si>
  <si>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</si>
  <si>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</si>
  <si>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</si>
  <si>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</si>
  <si>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</si>
  <si>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</si>
  <si>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</si>
  <si>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</si>
  <si>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</si>
  <si>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</si>
  <si>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</si>
  <si>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</si>
  <si>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</si>
  <si>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</si>
  <si>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</si>
  <si>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</si>
  <si>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</si>
  <si>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</si>
  <si>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</si>
  <si>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</si>
  <si>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</si>
  <si>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</si>
  <si>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</si>
  <si>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</si>
  <si>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</si>
  <si>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</si>
  <si>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</si>
  <si>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</si>
  <si>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</si>
  <si>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</si>
  <si>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</si>
  <si>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</si>
  <si>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</si>
  <si>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</si>
  <si>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</si>
  <si>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</si>
  <si>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</si>
  <si>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</si>
  <si>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</si>
  <si>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</si>
  <si>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</si>
  <si>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</si>
  <si>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</si>
  <si>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</si>
  <si>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</si>
  <si>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</si>
  <si>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</si>
  <si>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</si>
  <si>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</si>
  <si>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</si>
  <si>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</si>
  <si>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</si>
  <si>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</si>
  <si>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</si>
  <si>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</si>
  <si>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</si>
  <si>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</si>
  <si>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</si>
  <si>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</si>
  <si>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</si>
  <si>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</si>
  <si>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</si>
  <si>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</si>
  <si>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</si>
  <si>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</si>
  <si>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</si>
  <si>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</si>
  <si>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</si>
  <si>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</si>
  <si>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</si>
  <si>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</si>
  <si>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</si>
  <si>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</si>
  <si>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</si>
  <si>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</si>
  <si>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</si>
  <si>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</si>
  <si>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</si>
  <si>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</si>
  <si>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</si>
  <si>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</si>
  <si>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</si>
  <si>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</si>
  <si>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</si>
  <si>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</si>
  <si>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</si>
  <si>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</si>
  <si>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</si>
  <si>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</si>
  <si>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</si>
  <si>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</si>
  <si>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</si>
  <si>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</si>
  <si>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</si>
  <si>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</si>
  <si>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</si>
  <si>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</si>
  <si>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</si>
  <si>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</si>
  <si>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</si>
  <si>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</si>
  <si>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</si>
  <si>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</si>
  <si>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</si>
  <si>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</si>
  <si>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</si>
  <si>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</si>
  <si>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</si>
  <si>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</si>
  <si>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</si>
  <si>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</si>
  <si>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</si>
  <si>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</si>
  <si>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</si>
  <si>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</si>
  <si>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</si>
  <si>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</si>
  <si>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</si>
  <si>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</si>
  <si>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</si>
  <si>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</si>
  <si>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</si>
  <si>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</si>
  <si>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</si>
  <si>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</si>
  <si>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</si>
  <si>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</si>
  <si>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</si>
  <si>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</si>
  <si>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</si>
  <si>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</si>
  <si>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</si>
  <si>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</si>
  <si>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</si>
  <si>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</si>
  <si>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</si>
  <si>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</si>
  <si>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</si>
  <si>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</si>
  <si>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</si>
  <si>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</si>
  <si>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</si>
  <si>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</si>
  <si>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</si>
  <si>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</si>
  <si>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</si>
  <si>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</si>
  <si>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</si>
  <si>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</si>
  <si>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</si>
  <si>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</si>
  <si>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</si>
  <si>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</si>
  <si>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</si>
  <si>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</si>
  <si>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</si>
  <si>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</si>
  <si>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</si>
  <si>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</si>
  <si>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</si>
  <si>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</si>
  <si>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</si>
  <si>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</si>
  <si>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</si>
  <si>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</si>
  <si>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</si>
  <si>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</si>
  <si>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</si>
  <si>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</si>
  <si>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</si>
  <si>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</si>
  <si>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</si>
  <si>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</si>
  <si>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</si>
  <si>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</si>
  <si>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</si>
  <si>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</si>
  <si>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</si>
  <si>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</si>
  <si>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</si>
  <si>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</si>
  <si>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</si>
  <si>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</si>
  <si>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</si>
  <si>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</si>
  <si>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</si>
  <si>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</si>
  <si>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</si>
  <si>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</si>
  <si>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</si>
  <si>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</si>
  <si>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</si>
  <si>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</si>
  <si>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</si>
  <si>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</si>
  <si>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</si>
  <si>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</si>
  <si>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</si>
  <si>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</si>
  <si>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</si>
  <si>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</si>
  <si>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</si>
  <si>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</si>
  <si>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</si>
  <si>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</si>
  <si>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</si>
  <si>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</si>
  <si>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</si>
  <si>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</si>
  <si>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</si>
  <si>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</si>
  <si>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</si>
  <si>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</si>
  <si>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</si>
  <si>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</si>
  <si>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</si>
  <si>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</si>
  <si>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</si>
  <si>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</si>
  <si>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</si>
  <si>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</si>
  <si>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</si>
  <si>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</si>
  <si>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</si>
  <si>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</si>
  <si>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</si>
  <si>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</si>
  <si>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</si>
  <si>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</si>
  <si>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</si>
  <si>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</si>
  <si>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</si>
  <si>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</si>
  <si>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</si>
  <si>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</si>
  <si>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</si>
  <si>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</si>
  <si>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</si>
  <si>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</si>
  <si>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</si>
  <si>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</si>
  <si>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</si>
  <si>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</si>
  <si>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</si>
  <si>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</si>
  <si>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</si>
  <si>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</si>
  <si>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</si>
  <si>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</si>
  <si>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</si>
  <si>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</si>
  <si>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</si>
  <si>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</si>
  <si>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</si>
  <si>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</si>
  <si>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</si>
  <si>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</si>
  <si>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</si>
  <si>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</si>
  <si>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</si>
  <si>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</si>
  <si>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</si>
  <si>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</si>
  <si>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</si>
  <si>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</si>
  <si>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</si>
  <si>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</si>
  <si>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</si>
  <si>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</si>
  <si>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</si>
  <si>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</si>
  <si>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</si>
  <si>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</si>
  <si>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</si>
  <si>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</si>
  <si>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</si>
  <si>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</si>
  <si>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</si>
  <si>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</si>
  <si>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</si>
  <si>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</si>
  <si>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</si>
  <si>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</si>
  <si>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</si>
  <si>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</si>
  <si>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</si>
  <si>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</si>
  <si>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</si>
  <si>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</si>
  <si>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</si>
  <si>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</si>
  <si>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</si>
  <si>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</si>
  <si>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</si>
  <si>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</si>
  <si>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</si>
  <si>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</si>
  <si>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</si>
  <si>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</si>
  <si>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</si>
  <si>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</si>
  <si>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</si>
  <si>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</si>
  <si>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</si>
  <si>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</si>
  <si>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</si>
  <si>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</si>
  <si>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</si>
  <si>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</si>
  <si>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</si>
  <si>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</si>
  <si>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</si>
  <si>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</si>
  <si>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</si>
  <si>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</si>
  <si>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</si>
  <si>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</si>
  <si>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</si>
  <si>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</si>
  <si>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</si>
  <si>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</si>
  <si>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</si>
  <si>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</si>
  <si>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</si>
  <si>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</si>
  <si>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</si>
  <si>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</si>
  <si>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</si>
  <si>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</si>
  <si>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</si>
  <si>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</si>
  <si>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</si>
  <si>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</si>
  <si>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</si>
  <si>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</si>
  <si>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</si>
  <si>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</si>
  <si>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</si>
  <si>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</si>
  <si>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</si>
  <si>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</si>
  <si>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</si>
  <si>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</si>
  <si>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</si>
  <si>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</si>
  <si>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</si>
  <si>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</si>
  <si>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</si>
  <si>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</si>
  <si>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</si>
  <si>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</si>
  <si>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</si>
  <si>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</si>
  <si>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</si>
  <si>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</si>
  <si>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</si>
  <si>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</si>
  <si>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</si>
  <si>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</si>
  <si>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</si>
  <si>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</si>
  <si>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</si>
  <si>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</si>
  <si>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</si>
  <si>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</si>
  <si>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</si>
  <si>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</si>
  <si>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</si>
  <si>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</si>
  <si>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</si>
  <si>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</si>
  <si>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</si>
  <si>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</si>
  <si>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</si>
  <si>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</si>
  <si>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</si>
  <si>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</si>
  <si>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</si>
  <si>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</si>
  <si>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</si>
  <si>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</si>
  <si>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</si>
  <si>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</si>
  <si>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</si>
  <si>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</si>
  <si>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</si>
  <si>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</si>
  <si>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</si>
  <si>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</si>
  <si>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</si>
  <si>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</si>
  <si>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</si>
  <si>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</si>
  <si>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</si>
  <si>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</si>
  <si>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</si>
  <si>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</si>
  <si>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</si>
  <si>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</si>
  <si>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</si>
  <si>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</si>
  <si>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</si>
  <si>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</si>
  <si>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</si>
  <si>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</si>
  <si>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</si>
  <si>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</si>
  <si>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</si>
  <si>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</si>
  <si>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</si>
  <si>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</si>
  <si>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</si>
  <si>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</si>
  <si>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</si>
  <si>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</si>
  <si>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</si>
  <si>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</si>
  <si>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</si>
  <si>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</si>
  <si>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</si>
  <si>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</si>
  <si>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</si>
  <si>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</si>
  <si>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</si>
  <si>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</si>
  <si>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</si>
  <si>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</si>
  <si>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</si>
  <si>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</si>
  <si>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</si>
  <si>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</si>
  <si>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</si>
  <si>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</si>
  <si>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</si>
  <si>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</si>
  <si>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</si>
  <si>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</si>
  <si>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</si>
  <si>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</si>
  <si>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</si>
  <si>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</si>
  <si>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</si>
  <si>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</si>
  <si>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</si>
  <si>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</si>
  <si>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</si>
  <si>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</si>
  <si>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</si>
  <si>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</si>
  <si>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</si>
  <si>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</si>
  <si>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</si>
  <si>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</si>
  <si>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</si>
  <si>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</si>
  <si>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</si>
  <si>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</si>
  <si>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</si>
  <si>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</si>
  <si>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</si>
  <si>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</si>
  <si>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</si>
  <si>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</si>
  <si>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</si>
  <si>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</si>
  <si>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</si>
  <si>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</si>
  <si>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</si>
  <si>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</si>
  <si>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</si>
  <si>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</si>
  <si>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</si>
  <si>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</si>
  <si>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</si>
  <si>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</si>
  <si>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</si>
  <si>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</si>
  <si>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</si>
  <si>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</si>
  <si>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</si>
  <si>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</si>
  <si>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</si>
  <si>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</si>
  <si>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</si>
  <si>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</si>
  <si>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</si>
  <si>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</si>
  <si>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</si>
  <si>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</si>
  <si>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</si>
  <si>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</si>
  <si>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</si>
  <si>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</si>
  <si>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</si>
  <si>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</si>
  <si>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</si>
  <si>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</si>
  <si>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</si>
  <si>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</si>
  <si>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</si>
  <si>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</si>
  <si>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</si>
  <si>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</si>
  <si>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</si>
  <si>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</si>
  <si>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</si>
  <si>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</si>
  <si>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</si>
  <si>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</si>
  <si>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</si>
  <si>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</si>
  <si>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</si>
  <si>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</si>
  <si>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</si>
  <si>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</si>
  <si>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</si>
  <si>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</si>
  <si>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</si>
  <si>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</si>
  <si>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</si>
  <si>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</si>
  <si>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</si>
  <si>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</si>
  <si>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</si>
  <si>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抵押</t>
  </si>
  <si>
    <t>房地产抵押价值</t>
  </si>
  <si>
    <t>北京市</t>
  </si>
  <si>
    <t>自然人</t>
  </si>
  <si>
    <r>
      <rPr>
        <sz val="10"/>
        <color theme="9" tint="-0.249977111117893"/>
        <rFont val="宋体"/>
        <family val="3"/>
        <charset val="134"/>
      </rPr>
      <t>通州区新华西街</t>
    </r>
    <r>
      <rPr>
        <sz val="10"/>
        <color theme="9" tint="-0.249977111117893"/>
        <rFont val="Arial"/>
        <family val="2"/>
      </rPr>
      <t>60</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22</t>
    </r>
    <r>
      <rPr>
        <sz val="10"/>
        <color theme="9" tint="-0.249977111117893"/>
        <rFont val="宋体"/>
        <family val="3"/>
        <charset val="134"/>
      </rPr>
      <t>层</t>
    </r>
    <r>
      <rPr>
        <sz val="10"/>
        <color theme="9" tint="-0.249977111117893"/>
        <rFont val="Arial"/>
        <family val="2"/>
      </rPr>
      <t>2210</t>
    </r>
    <r>
      <rPr>
        <sz val="10"/>
        <color theme="9" tint="-0.249977111117893"/>
        <rFont val="宋体"/>
        <family val="3"/>
        <charset val="134"/>
      </rPr>
      <t>商务办公用房</t>
    </r>
    <phoneticPr fontId="6" type="noConversion"/>
  </si>
  <si>
    <t>办公项目</t>
  </si>
  <si>
    <t>现房</t>
  </si>
  <si>
    <t>郑燚</t>
  </si>
  <si>
    <t>地上</t>
  </si>
  <si>
    <t>是</t>
  </si>
  <si>
    <t>办公</t>
    <phoneticPr fontId="7" type="noConversion"/>
  </si>
  <si>
    <t>成新度</t>
  </si>
  <si>
    <t>收益法 (元)</t>
  </si>
  <si>
    <t>押一</t>
  </si>
  <si>
    <t>钢混</t>
  </si>
  <si>
    <t>非生产用房</t>
  </si>
  <si>
    <t>否</t>
  </si>
  <si>
    <t>比较法-办公</t>
  </si>
  <si>
    <t>楼面单价</t>
  </si>
  <si>
    <t>收益比率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</si>
  <si>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</si>
  <si>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</si>
  <si>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</si>
  <si>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</si>
  <si>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</si>
  <si>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</si>
  <si>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</si>
  <si>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</si>
  <si>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</si>
  <si>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</si>
  <si>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</si>
  <si>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高层写字楼</t>
  </si>
  <si>
    <t>高层写字楼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</si>
  <si>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</si>
  <si>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</si>
  <si>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</si>
  <si>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</si>
  <si>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</si>
  <si>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</si>
  <si>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</si>
  <si>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</si>
  <si>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</si>
  <si>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</si>
  <si>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</si>
  <si>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</si>
  <si>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</si>
  <si>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专业</t>
    <phoneticPr fontId="31" type="noConversion"/>
  </si>
  <si>
    <t>普通</t>
    <phoneticPr fontId="31" type="noConversion"/>
  </si>
  <si>
    <t>甲级</t>
    <phoneticPr fontId="31" type="noConversion"/>
  </si>
  <si>
    <t>乙级</t>
    <phoneticPr fontId="31" type="noConversion"/>
  </si>
  <si>
    <t>较好</t>
  </si>
  <si>
    <t>北苑街道</t>
    <phoneticPr fontId="3" type="noConversion"/>
  </si>
  <si>
    <t>高区</t>
  </si>
  <si>
    <t>高区</t>
    <phoneticPr fontId="31" type="noConversion"/>
  </si>
  <si>
    <t>中区</t>
  </si>
  <si>
    <t>中区</t>
    <phoneticPr fontId="31" type="noConversion"/>
  </si>
  <si>
    <t>低区</t>
  </si>
  <si>
    <t>低区</t>
    <phoneticPr fontId="31" type="noConversion"/>
  </si>
  <si>
    <r>
      <rPr>
        <sz val="10"/>
        <color indexed="8"/>
        <rFont val="宋体"/>
        <family val="3"/>
        <charset val="134"/>
      </rPr>
      <t>链家：本项目为纯写字楼，</t>
    </r>
    <r>
      <rPr>
        <sz val="10"/>
        <color indexed="8"/>
        <rFont val="Arial"/>
        <family val="2"/>
      </rPr>
      <t>7</t>
    </r>
    <r>
      <rPr>
        <sz val="10"/>
        <color indexed="8"/>
        <rFont val="宋体"/>
        <family val="3"/>
        <charset val="134"/>
      </rPr>
      <t>月</t>
    </r>
    <r>
      <rPr>
        <sz val="10"/>
        <color indexed="8"/>
        <rFont val="Arial"/>
        <family val="2"/>
      </rPr>
      <t>28</t>
    </r>
    <r>
      <rPr>
        <sz val="10"/>
        <color indexed="8"/>
        <rFont val="宋体"/>
        <family val="3"/>
        <charset val="134"/>
      </rPr>
      <t>日左右成交</t>
    </r>
    <r>
      <rPr>
        <sz val="10"/>
        <color indexed="8"/>
        <rFont val="Arial"/>
        <family val="2"/>
      </rPr>
      <t>1</t>
    </r>
    <r>
      <rPr>
        <sz val="10"/>
        <color indexed="8"/>
        <rFont val="宋体"/>
        <family val="3"/>
        <charset val="134"/>
      </rPr>
      <t>套</t>
    </r>
    <r>
      <rPr>
        <sz val="10"/>
        <color indexed="8"/>
        <rFont val="Arial"/>
        <family val="2"/>
      </rPr>
      <t>C</t>
    </r>
    <r>
      <rPr>
        <sz val="10"/>
        <color indexed="8"/>
        <rFont val="宋体"/>
        <family val="3"/>
        <charset val="134"/>
      </rPr>
      <t>座、</t>
    </r>
    <r>
      <rPr>
        <sz val="10"/>
        <color indexed="8"/>
        <rFont val="Arial"/>
        <family val="2"/>
      </rPr>
      <t>21</t>
    </r>
    <r>
      <rPr>
        <sz val="10"/>
        <color indexed="8"/>
        <rFont val="宋体"/>
        <family val="3"/>
        <charset val="134"/>
      </rPr>
      <t>层、</t>
    </r>
    <r>
      <rPr>
        <sz val="10"/>
        <color indexed="8"/>
        <rFont val="Arial"/>
        <family val="2"/>
      </rPr>
      <t>71</t>
    </r>
    <r>
      <rPr>
        <sz val="10"/>
        <color indexed="8"/>
        <rFont val="宋体"/>
        <family val="3"/>
        <charset val="134"/>
      </rPr>
      <t>平左右的办公，成交单价</t>
    </r>
    <r>
      <rPr>
        <sz val="10"/>
        <color indexed="8"/>
        <rFont val="Arial"/>
        <family val="2"/>
      </rPr>
      <t>17800</t>
    </r>
    <r>
      <rPr>
        <sz val="10"/>
        <color indexed="8"/>
        <rFont val="宋体"/>
        <family val="3"/>
        <charset val="134"/>
      </rPr>
      <t>，同项目租金报价</t>
    </r>
    <r>
      <rPr>
        <sz val="10"/>
        <color indexed="8"/>
        <rFont val="Arial"/>
        <family val="2"/>
      </rPr>
      <t>3-4</t>
    </r>
    <r>
      <rPr>
        <sz val="10"/>
        <color indexed="8"/>
        <rFont val="宋体"/>
        <family val="3"/>
        <charset val="134"/>
      </rPr>
      <t>块，成交租金</t>
    </r>
    <r>
      <rPr>
        <sz val="10"/>
        <color indexed="8"/>
        <rFont val="Arial"/>
        <family val="2"/>
      </rPr>
      <t>3-3.3</t>
    </r>
    <r>
      <rPr>
        <sz val="10"/>
        <color indexed="8"/>
        <rFont val="宋体"/>
        <family val="3"/>
        <charset val="134"/>
      </rPr>
      <t>左右，售价报价</t>
    </r>
    <r>
      <rPr>
        <sz val="10"/>
        <color indexed="8"/>
        <rFont val="Arial"/>
        <family val="2"/>
      </rPr>
      <t>1.8-2</t>
    </r>
    <r>
      <rPr>
        <sz val="10"/>
        <color indexed="8"/>
        <rFont val="宋体"/>
        <family val="3"/>
        <charset val="134"/>
      </rPr>
      <t>万</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</si>
</sst>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256372</xdr:colOff>
      <xdr:row>30</xdr:row>
      <xdr:rowOff>75569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6428572" cy="5047619"/>
        </a:xfrm>
        <a:prstGeom prst="rect">
          <a:avLst/>
        </a:prstGeom>
      </xdr:spPr>
    </xdr:pic>
    <xdr:clientData/>
  </xdr:twoCellAnchor>
  <xdr:twoCellAnchor editAs="oneCell">
    <xdr:from>
      <xdr:col>0</xdr:col>
      <xdr:colOff>0</xdr:colOff>
      <xdr:row>31</xdr:row>
      <xdr:rowOff>0</xdr:rowOff>
    </xdr:from>
    <xdr:to>
      <xdr:col>9</xdr:col>
      <xdr:colOff>180181</xdr:colOff>
      <xdr:row>61</xdr:row>
      <xdr:rowOff>37453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6352381" cy="5180953"/>
        </a:xfrm>
        <a:prstGeom prst="rect">
          <a:avLst/>
        </a:prstGeom>
      </xdr:spPr>
    </xdr:pic>
    <xdr:clientData/>
  </xdr:twoCellAnchor>
  <xdr:twoCellAnchor editAs="oneCell">
    <xdr:from>
      <xdr:col>0</xdr:col>
      <xdr:colOff>0</xdr:colOff>
      <xdr:row>62</xdr:row>
      <xdr:rowOff>0</xdr:rowOff>
    </xdr:from>
    <xdr:to>
      <xdr:col>8</xdr:col>
      <xdr:colOff>551696</xdr:colOff>
      <xdr:row>95</xdr:row>
      <xdr:rowOff>170722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629900"/>
          <a:ext cx="6038096" cy="5828572"/>
        </a:xfrm>
        <a:prstGeom prst="rect">
          <a:avLst/>
        </a:prstGeom>
      </xdr:spPr>
    </xdr:pic>
    <xdr:clientData/>
  </xdr:twoCellAnchor>
  <xdr:twoCellAnchor editAs="oneCell">
    <xdr:from>
      <xdr:col>9</xdr:col>
      <xdr:colOff>361950</xdr:colOff>
      <xdr:row>0</xdr:row>
      <xdr:rowOff>133350</xdr:rowOff>
    </xdr:from>
    <xdr:to>
      <xdr:col>18</xdr:col>
      <xdr:colOff>275465</xdr:colOff>
      <xdr:row>28</xdr:row>
      <xdr:rowOff>142274</xdr:rowOff>
    </xdr:to>
    <xdr:pic>
      <xdr:nvPicPr>
        <xdr:cNvPr id="5" name="图片 4"/>
        <xdr:cNvPicPr>
          <a:picLocks noChangeAspect="1"/>
        </xdr:cNvPicPr>
      </xdr:nvPicPr>
      <xdr:blipFill>
        <a:blip xmlns:r="http://schemas.openxmlformats.org/officeDocument/2006/relationships" r:embed="rId4"/>
        <a:stretch>
          <a:fillRect/>
        </a:stretch>
      </xdr:blipFill>
      <xdr:spPr>
        <a:xfrm>
          <a:off x="6534150" y="133350"/>
          <a:ext cx="6085715" cy="4809524"/>
        </a:xfrm>
        <a:prstGeom prst="rect">
          <a:avLst/>
        </a:prstGeom>
      </xdr:spPr>
    </xdr:pic>
    <xdr:clientData/>
  </xdr:twoCellAnchor>
  <xdr:twoCellAnchor editAs="oneCell">
    <xdr:from>
      <xdr:col>9</xdr:col>
      <xdr:colOff>438150</xdr:colOff>
      <xdr:row>29</xdr:row>
      <xdr:rowOff>0</xdr:rowOff>
    </xdr:from>
    <xdr:to>
      <xdr:col>18</xdr:col>
      <xdr:colOff>446903</xdr:colOff>
      <xdr:row>63</xdr:row>
      <xdr:rowOff>18319</xdr:rowOff>
    </xdr:to>
    <xdr:pic>
      <xdr:nvPicPr>
        <xdr:cNvPr id="6" name="图片 5"/>
        <xdr:cNvPicPr>
          <a:picLocks noChangeAspect="1"/>
        </xdr:cNvPicPr>
      </xdr:nvPicPr>
      <xdr:blipFill>
        <a:blip xmlns:r="http://schemas.openxmlformats.org/officeDocument/2006/relationships" r:embed="rId5"/>
        <a:stretch>
          <a:fillRect/>
        </a:stretch>
      </xdr:blipFill>
      <xdr:spPr>
        <a:xfrm>
          <a:off x="6610350" y="4972050"/>
          <a:ext cx="6180953" cy="5847619"/>
        </a:xfrm>
        <a:prstGeom prst="rect">
          <a:avLst/>
        </a:prstGeom>
      </xdr:spPr>
    </xdr:pic>
    <xdr:clientData/>
  </xdr:twoCellAnchor>
  <xdr:twoCellAnchor editAs="oneCell">
    <xdr:from>
      <xdr:col>0</xdr:col>
      <xdr:colOff>0</xdr:colOff>
      <xdr:row>98</xdr:row>
      <xdr:rowOff>0</xdr:rowOff>
    </xdr:from>
    <xdr:to>
      <xdr:col>8</xdr:col>
      <xdr:colOff>551696</xdr:colOff>
      <xdr:row>131</xdr:row>
      <xdr:rowOff>132627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802100"/>
          <a:ext cx="6038096" cy="5790477"/>
        </a:xfrm>
        <a:prstGeom prst="rect">
          <a:avLst/>
        </a:prstGeom>
      </xdr:spPr>
    </xdr:pic>
    <xdr:clientData/>
  </xdr:twoCellAnchor>
  <xdr:twoCellAnchor editAs="oneCell">
    <xdr:from>
      <xdr:col>0</xdr:col>
      <xdr:colOff>0</xdr:colOff>
      <xdr:row>132</xdr:row>
      <xdr:rowOff>0</xdr:rowOff>
    </xdr:from>
    <xdr:to>
      <xdr:col>8</xdr:col>
      <xdr:colOff>551696</xdr:colOff>
      <xdr:row>165</xdr:row>
      <xdr:rowOff>113579</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631400"/>
          <a:ext cx="6038096" cy="5771429"/>
        </a:xfrm>
        <a:prstGeom prst="rect">
          <a:avLst/>
        </a:prstGeom>
      </xdr:spPr>
    </xdr:pic>
    <xdr:clientData/>
  </xdr:twoCellAnchor>
  <xdr:twoCellAnchor editAs="oneCell">
    <xdr:from>
      <xdr:col>8</xdr:col>
      <xdr:colOff>647700</xdr:colOff>
      <xdr:row>97</xdr:row>
      <xdr:rowOff>47625</xdr:rowOff>
    </xdr:from>
    <xdr:to>
      <xdr:col>17</xdr:col>
      <xdr:colOff>551691</xdr:colOff>
      <xdr:row>131</xdr:row>
      <xdr:rowOff>37373</xdr:rowOff>
    </xdr:to>
    <xdr:pic>
      <xdr:nvPicPr>
        <xdr:cNvPr id="10" name="图片 9"/>
        <xdr:cNvPicPr>
          <a:picLocks noChangeAspect="1"/>
        </xdr:cNvPicPr>
      </xdr:nvPicPr>
      <xdr:blipFill>
        <a:blip xmlns:r="http://schemas.openxmlformats.org/officeDocument/2006/relationships" r:embed="rId8"/>
        <a:stretch>
          <a:fillRect/>
        </a:stretch>
      </xdr:blipFill>
      <xdr:spPr>
        <a:xfrm>
          <a:off x="6134100" y="16678275"/>
          <a:ext cx="6076191" cy="5819048"/>
        </a:xfrm>
        <a:prstGeom prst="rect">
          <a:avLst/>
        </a:prstGeom>
      </xdr:spPr>
    </xdr:pic>
    <xdr:clientData/>
  </xdr:twoCellAnchor>
  <xdr:twoCellAnchor editAs="oneCell">
    <xdr:from>
      <xdr:col>0</xdr:col>
      <xdr:colOff>0</xdr:colOff>
      <xdr:row>167</xdr:row>
      <xdr:rowOff>0</xdr:rowOff>
    </xdr:from>
    <xdr:to>
      <xdr:col>8</xdr:col>
      <xdr:colOff>446934</xdr:colOff>
      <xdr:row>200</xdr:row>
      <xdr:rowOff>151674</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8632150"/>
          <a:ext cx="5933334" cy="5809524"/>
        </a:xfrm>
        <a:prstGeom prst="rect">
          <a:avLst/>
        </a:prstGeom>
      </xdr:spPr>
    </xdr:pic>
    <xdr:clientData/>
  </xdr:twoCellAnchor>
  <xdr:twoCellAnchor editAs="oneCell">
    <xdr:from>
      <xdr:col>0</xdr:col>
      <xdr:colOff>0</xdr:colOff>
      <xdr:row>201</xdr:row>
      <xdr:rowOff>0</xdr:rowOff>
    </xdr:from>
    <xdr:to>
      <xdr:col>8</xdr:col>
      <xdr:colOff>475505</xdr:colOff>
      <xdr:row>234</xdr:row>
      <xdr:rowOff>123103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4461450"/>
          <a:ext cx="5961905" cy="5780953"/>
        </a:xfrm>
        <a:prstGeom prst="rect">
          <a:avLst/>
        </a:prstGeom>
      </xdr:spPr>
    </xdr:pic>
    <xdr:clientData/>
  </xdr:twoCellAnchor>
  <xdr:twoCellAnchor editAs="oneCell">
    <xdr:from>
      <xdr:col>0</xdr:col>
      <xdr:colOff>0</xdr:colOff>
      <xdr:row>236</xdr:row>
      <xdr:rowOff>0</xdr:rowOff>
    </xdr:from>
    <xdr:to>
      <xdr:col>8</xdr:col>
      <xdr:colOff>485029</xdr:colOff>
      <xdr:row>269</xdr:row>
      <xdr:rowOff>142150</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40462200"/>
          <a:ext cx="5971429" cy="5800000"/>
        </a:xfrm>
        <a:prstGeom prst="rect">
          <a:avLst/>
        </a:prstGeom>
      </xdr:spPr>
    </xdr:pic>
    <xdr:clientData/>
  </xdr:twoCellAnchor>
  <xdr:twoCellAnchor editAs="oneCell">
    <xdr:from>
      <xdr:col>0</xdr:col>
      <xdr:colOff>0</xdr:colOff>
      <xdr:row>270</xdr:row>
      <xdr:rowOff>0</xdr:rowOff>
    </xdr:from>
    <xdr:to>
      <xdr:col>8</xdr:col>
      <xdr:colOff>494553</xdr:colOff>
      <xdr:row>303</xdr:row>
      <xdr:rowOff>142150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46291500"/>
          <a:ext cx="5980953" cy="5800000"/>
        </a:xfrm>
        <a:prstGeom prst="rect">
          <a:avLst/>
        </a:prstGeom>
      </xdr:spPr>
    </xdr:pic>
    <xdr:clientData/>
  </xdr:twoCellAnchor>
  <xdr:twoCellAnchor editAs="oneCell">
    <xdr:from>
      <xdr:col>0</xdr:col>
      <xdr:colOff>0</xdr:colOff>
      <xdr:row>304</xdr:row>
      <xdr:rowOff>0</xdr:rowOff>
    </xdr:from>
    <xdr:to>
      <xdr:col>8</xdr:col>
      <xdr:colOff>313600</xdr:colOff>
      <xdr:row>337</xdr:row>
      <xdr:rowOff>170722</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52120800"/>
          <a:ext cx="5800000" cy="5828572"/>
        </a:xfrm>
        <a:prstGeom prst="rect">
          <a:avLst/>
        </a:prstGeom>
      </xdr:spPr>
    </xdr:pic>
    <xdr:clientData/>
  </xdr:twoCellAnchor>
  <xdr:twoCellAnchor editAs="oneCell">
    <xdr:from>
      <xdr:col>9</xdr:col>
      <xdr:colOff>0</xdr:colOff>
      <xdr:row>236</xdr:row>
      <xdr:rowOff>0</xdr:rowOff>
    </xdr:from>
    <xdr:to>
      <xdr:col>17</xdr:col>
      <xdr:colOff>561219</xdr:colOff>
      <xdr:row>263</xdr:row>
      <xdr:rowOff>123231</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172200" y="40462200"/>
          <a:ext cx="6047619" cy="4752381"/>
        </a:xfrm>
        <a:prstGeom prst="rect">
          <a:avLst/>
        </a:prstGeom>
      </xdr:spPr>
    </xdr:pic>
    <xdr:clientData/>
  </xdr:twoCellAnchor>
  <xdr:twoCellAnchor editAs="oneCell">
    <xdr:from>
      <xdr:col>9</xdr:col>
      <xdr:colOff>0</xdr:colOff>
      <xdr:row>339</xdr:row>
      <xdr:rowOff>0</xdr:rowOff>
    </xdr:from>
    <xdr:to>
      <xdr:col>17</xdr:col>
      <xdr:colOff>323124</xdr:colOff>
      <xdr:row>359</xdr:row>
      <xdr:rowOff>56715</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172200" y="58121550"/>
          <a:ext cx="5809524" cy="3485715"/>
        </a:xfrm>
        <a:prstGeom prst="rect">
          <a:avLst/>
        </a:prstGeom>
      </xdr:spPr>
    </xdr:pic>
    <xdr:clientData/>
  </xdr:twoCellAnchor>
  <xdr:twoCellAnchor editAs="oneCell">
    <xdr:from>
      <xdr:col>0</xdr:col>
      <xdr:colOff>0</xdr:colOff>
      <xdr:row>339</xdr:row>
      <xdr:rowOff>0</xdr:rowOff>
    </xdr:from>
    <xdr:to>
      <xdr:col>8</xdr:col>
      <xdr:colOff>475505</xdr:colOff>
      <xdr:row>373</xdr:row>
      <xdr:rowOff>18319</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58121550"/>
          <a:ext cx="5961905" cy="5847619"/>
        </a:xfrm>
        <a:prstGeom prst="rect">
          <a:avLst/>
        </a:prstGeom>
      </xdr:spPr>
    </xdr:pic>
    <xdr:clientData/>
  </xdr:twoCellAnchor>
  <xdr:twoCellAnchor editAs="oneCell">
    <xdr:from>
      <xdr:col>0</xdr:col>
      <xdr:colOff>0</xdr:colOff>
      <xdr:row>374</xdr:row>
      <xdr:rowOff>0</xdr:rowOff>
    </xdr:from>
    <xdr:to>
      <xdr:col>8</xdr:col>
      <xdr:colOff>618362</xdr:colOff>
      <xdr:row>407</xdr:row>
      <xdr:rowOff>113579</xdr:rowOff>
    </xdr:to>
    <xdr:pic>
      <xdr:nvPicPr>
        <xdr:cNvPr id="19" name="图片 18"/>
        <xdr:cNvPicPr>
          <a:picLocks noChangeAspect="1"/>
        </xdr:cNvPicPr>
      </xdr:nvPicPr>
      <xdr:blipFill>
        <a:blip xmlns:r="http://schemas.openxmlformats.org/officeDocument/2006/relationships" r:embed="rId17"/>
        <a:stretch>
          <a:fillRect/>
        </a:stretch>
      </xdr:blipFill>
      <xdr:spPr>
        <a:xfrm>
          <a:off x="0" y="64122300"/>
          <a:ext cx="6104762"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北京市通州区新华西街60号院2号楼22层2210商务办公用房房地产抵押价值预评估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受贵公司委托，我公司对北京市通州区新华西街60号院2号楼22层2210商务办公用房房地产抵押价值进行了预评估。</v>
      </c>
    </row>
    <row r="7" spans="1:2" s="1203" customFormat="1">
      <c r="A7" s="1201" t="s">
        <v>566</v>
      </c>
      <c r="B7" s="1202" t="str">
        <f>'预评函-1'!A7</f>
        <v>估价对象为北京市通州区新华西街60号院2号楼22层2210商务办公用房房地产，为所有。根据《国有土地使用证》[]，估价对象（分摊）出让国有建设用地使用权面积为0平方米，建筑面积为88.15平方米。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新华西街60号院2号楼22层2210商务办公用房房地产,属开发建设的办公项目，该项目尚在开发建设中。根据《国有土地使用证》[]，估价对象（分摊）出让国有建设用地使用权面积为0平方米，规划建筑面积为88.15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新华西街60号院2号楼22层2210商务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2025年8月1日（评估专业人员实地查勘之日）</v>
      </c>
    </row>
    <row r="13" spans="1:2" s="1203" customFormat="1">
      <c r="A13" s="1201" t="s">
        <v>529</v>
      </c>
      <c r="B13" s="1202" t="str">
        <f>'预评函-1'!A18</f>
        <v>本次估价的“房地产价值”是指在正常市场情况下，在价值时点2025年8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166</v>
      </c>
    </row>
    <row r="21" spans="1:2" s="1203" customFormat="1">
      <c r="A21" s="1201" t="s">
        <v>537</v>
      </c>
      <c r="B21" s="1202">
        <f ca="1">'预评函-2'!D7</f>
        <v>18792</v>
      </c>
    </row>
    <row r="22" spans="1:2" s="1203" customFormat="1">
      <c r="A22" s="1201" t="s">
        <v>538</v>
      </c>
      <c r="B22" s="1202" t="str">
        <f ca="1">'预评函-2'!D6</f>
        <v>壹佰陆拾陆万元整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166</v>
      </c>
    </row>
    <row r="31" spans="1:2" s="1203" customFormat="1">
      <c r="A31" s="1201" t="s">
        <v>576</v>
      </c>
      <c r="B31" s="1202">
        <f ca="1">'预评函-2'!D15</f>
        <v>18792</v>
      </c>
    </row>
    <row r="32" spans="1:2" s="1203" customFormat="1">
      <c r="A32" s="1201" t="s">
        <v>543</v>
      </c>
      <c r="B32" s="1202" t="str">
        <f ca="1">'预评函-2'!D14</f>
        <v>壹佰陆拾陆万元整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北京市通州区新华西街60号院2号楼22层2210商务办公用房房地产</v>
      </c>
    </row>
    <row r="42" spans="1:2" s="1203" customFormat="1">
      <c r="A42" s="1201" t="s">
        <v>590</v>
      </c>
      <c r="B42" s="1202" t="str">
        <f>'预评函-3'!B2</f>
        <v>建筑面积</v>
      </c>
    </row>
    <row r="43" spans="1:2" s="1203" customFormat="1">
      <c r="A43" s="1201" t="s">
        <v>591</v>
      </c>
      <c r="B43" s="1202">
        <f>'预评函-3'!B4</f>
        <v>88.15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78</v>
      </c>
    </row>
    <row r="48" spans="1:2" s="1203" customFormat="1">
      <c r="A48" s="1201" t="s">
        <v>549</v>
      </c>
      <c r="B48" s="1202">
        <f ca="1">'预评函-3'!E4</f>
        <v>8813</v>
      </c>
    </row>
    <row r="49" spans="1:2" s="1203" customFormat="1">
      <c r="A49" s="1201" t="s">
        <v>550</v>
      </c>
      <c r="B49" s="1202" t="str">
        <f ca="1">'预评函-3'!D5</f>
        <v>柒拾捌万元整</v>
      </c>
    </row>
    <row r="50" spans="1:2" s="1203" customFormat="1">
      <c r="A50" s="1201" t="s">
        <v>574</v>
      </c>
      <c r="B50" s="1202" t="str">
        <f>'预评函-3'!F2</f>
        <v>在建建筑物价值</v>
      </c>
    </row>
    <row r="51" spans="1:2" s="1203" customFormat="1">
      <c r="A51" s="1201" t="s">
        <v>551</v>
      </c>
      <c r="B51" s="1202">
        <f ca="1">'预评函-3'!F4</f>
        <v>88</v>
      </c>
    </row>
    <row r="52" spans="1:2" s="1203" customFormat="1">
      <c r="A52" s="1201" t="s">
        <v>552</v>
      </c>
      <c r="B52" s="1202">
        <f ca="1">'预评函-3'!G4</f>
        <v>9979</v>
      </c>
    </row>
    <row r="53" spans="1:2" s="1203" customFormat="1">
      <c r="A53" s="1201" t="s">
        <v>580</v>
      </c>
      <c r="B53" s="1202" t="str">
        <f ca="1">'预评函-3'!F5</f>
        <v>捌拾捌万元整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新华西街60号院2号楼22层2210商务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5" t="s">
        <v>2580</v>
      </c>
      <c r="J2" s="3525"/>
      <c r="K2" s="3525"/>
      <c r="L2" s="3525"/>
      <c r="M2" s="3525"/>
      <c r="N2" s="3525"/>
      <c r="O2" s="3525"/>
      <c r="P2" s="3525"/>
      <c r="Q2" s="3525"/>
      <c r="R2" s="3525"/>
    </row>
    <row r="3" spans="1:18">
      <c r="A3" s="3020" t="s">
        <v>2501</v>
      </c>
      <c r="B3" s="3021">
        <f>项目基本情况!D3</f>
        <v>45870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1.38</v>
      </c>
      <c r="D5" s="3025">
        <f>IF(ISERROR(ROUND(POWER(1+E5,A5-C5)*(POWER(1+E5,C5)-1)/(POWER(1+E5,A5)-1),3)),0,ROUND(POWER(1+E5,A5-C5)*(POWER(1+E5,C5)-1)/(POWER(1+E5,A5)-1),4))</f>
        <v>6.6500000000000004E-2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11.39</v>
      </c>
      <c r="D6" s="3025">
        <f>IF(ISERROR(ROUND(POWER(1+E6,A6-C6)*(POWER(1+E6,C6)-1)/(POWER(1+E6,A6)-1),3)),0,ROUND(POWER(1+E6,A6-C6)*(POWER(1+E6,C6)-1)/(POWER(1+E6,A6)-1),4))</f>
        <v>0.41930000000000001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31.4</v>
      </c>
      <c r="D7" s="3025">
        <f>IF(ISERROR(ROUND(POWER(1+E7,A7-C7)*(POWER(1+E7,C7)-1)/(POWER(1+E7,A7)-1),3)),0,ROUND(POWER(1+E7,A7-C7)*(POWER(1+E7,C7)-1)/(POWER(1+E7,A7)-1),4))</f>
        <v>0.75680000000000003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4" t="str">
        <f>IF(B10="北京市","北京市",C10)&amp;F10&amp;IF(结果表!G1="在建","出让国有建设用地使用权及在建建筑物",IF(结果表!G1="土地","出让国有建设用地使用权",))&amp;B9&amp;"预评估"</f>
        <v>北京市通州区新华西街60号院2号楼22层2210商务办公用房房地产抵押价值预评估</v>
      </c>
      <c r="C1" s="3535"/>
      <c r="D1" s="3535"/>
      <c r="E1" s="3535"/>
      <c r="F1" s="3535"/>
      <c r="G1" s="3535"/>
      <c r="H1" s="3535"/>
      <c r="I1" s="353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北京市通州区新华西街60号院2号楼22层2210商务办公用房房地产抵押价值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北京市通州区新华西街60号院2号楼22层2210商务办公用房房地产</v>
      </c>
      <c r="T2" s="1745"/>
      <c r="U2" s="1745"/>
      <c r="V2" s="1745"/>
      <c r="W2" s="1745"/>
      <c r="X2" s="1745"/>
      <c r="Y2" s="1745"/>
      <c r="Z2" s="1745"/>
      <c r="AA2" s="1745"/>
      <c r="AB2" s="1745"/>
    </row>
    <row r="3" spans="1:30">
      <c r="A3" s="302" t="s">
        <v>2170</v>
      </c>
      <c r="B3" s="2373">
        <v>45870</v>
      </c>
      <c r="C3" s="2374" t="s">
        <v>2171</v>
      </c>
      <c r="D3" s="2373">
        <f>B3</f>
        <v>45870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3419</v>
      </c>
      <c r="C4" s="2376">
        <f ca="1">SUMIF(注册房地产估价师,B4,估价师及机构信息!B3:B24)</f>
        <v>1419970001</v>
      </c>
      <c r="D4" s="2375" t="s">
        <v>3427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3420</v>
      </c>
      <c r="C8" s="2390"/>
      <c r="D8" s="3537" t="s">
        <v>2177</v>
      </c>
      <c r="E8" s="2391" t="s">
        <v>3421</v>
      </c>
      <c r="F8" s="2392"/>
      <c r="G8" s="2663"/>
      <c r="H8" s="2663"/>
      <c r="I8" s="2663"/>
      <c r="J8" s="2439"/>
      <c r="K8" s="2614"/>
      <c r="L8" s="2613"/>
      <c r="M8" s="2613"/>
      <c r="N8" s="2439"/>
      <c r="O8" s="2450"/>
      <c r="P8" s="2439"/>
      <c r="Q8" s="2439"/>
      <c r="R8" s="2439"/>
    </row>
    <row r="9" spans="1:30" ht="13.5" thickBot="1">
      <c r="A9" s="2393" t="s">
        <v>2178</v>
      </c>
      <c r="B9" s="2394" t="s">
        <v>3421</v>
      </c>
      <c r="C9" s="2395"/>
      <c r="D9" s="3538"/>
      <c r="E9" s="2394"/>
      <c r="F9" s="2396"/>
      <c r="G9" s="2665"/>
      <c r="H9" s="2665"/>
      <c r="I9" s="2665"/>
      <c r="J9" s="2439"/>
      <c r="K9" s="2616"/>
      <c r="L9" s="2613"/>
      <c r="M9" s="2613"/>
      <c r="N9" s="2439"/>
      <c r="O9" s="2450"/>
      <c r="P9" s="2439"/>
      <c r="Q9" s="2439"/>
      <c r="R9" s="2439"/>
    </row>
    <row r="10" spans="1:30" ht="13.5" thickTop="1">
      <c r="A10" s="2397" t="s">
        <v>2179</v>
      </c>
      <c r="B10" s="2398" t="s">
        <v>3422</v>
      </c>
      <c r="C10" s="2399"/>
      <c r="D10" s="2382"/>
      <c r="E10" s="2400" t="s">
        <v>2180</v>
      </c>
      <c r="F10" s="2666" t="s">
        <v>3424</v>
      </c>
      <c r="G10" s="2667"/>
      <c r="H10" s="2668"/>
      <c r="I10" s="2669"/>
      <c r="J10" s="2439"/>
      <c r="K10" s="2616"/>
      <c r="L10" s="2613"/>
      <c r="M10" s="2613"/>
      <c r="N10" s="2439"/>
      <c r="O10" s="2450"/>
      <c r="P10" s="2439"/>
      <c r="Q10" s="2439"/>
      <c r="R10" s="2439"/>
    </row>
    <row r="11" spans="1:30">
      <c r="A11" s="2401" t="s">
        <v>2181</v>
      </c>
      <c r="B11" s="2402" t="s">
        <v>3423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59539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37.44</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4"/>
      <c r="C16" s="3545"/>
      <c r="D16" s="3546"/>
      <c r="E16" s="2413" t="s">
        <v>2194</v>
      </c>
      <c r="F16" s="3547"/>
      <c r="G16" s="3548"/>
      <c r="H16" s="3548"/>
      <c r="I16" s="3549"/>
      <c r="J16" s="2439"/>
      <c r="K16" s="2617"/>
      <c r="L16" s="2451"/>
      <c r="M16" s="2451"/>
      <c r="N16" s="2509"/>
      <c r="O16" s="2451"/>
      <c r="P16" s="2509"/>
      <c r="Q16" s="2439"/>
      <c r="R16" s="2439"/>
    </row>
    <row r="17" spans="1:28">
      <c r="A17" s="313" t="s">
        <v>2195</v>
      </c>
      <c r="B17" s="302" t="s">
        <v>2196</v>
      </c>
      <c r="C17" s="8">
        <f>'数据-汇总表'!E3</f>
        <v>88.15</v>
      </c>
      <c r="D17" s="2322" t="s">
        <v>2197</v>
      </c>
      <c r="E17" s="3550" t="s">
        <v>2198</v>
      </c>
      <c r="F17" s="3551"/>
      <c r="G17" s="3551"/>
      <c r="H17" s="3551"/>
      <c r="I17" s="355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3" t="s">
        <v>2202</v>
      </c>
      <c r="F18" s="3554"/>
      <c r="G18" s="3554"/>
      <c r="H18" s="3554"/>
      <c r="I18" s="355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0" t="s">
        <v>2206</v>
      </c>
      <c r="C20" s="3541"/>
      <c r="D20" s="3542" t="s">
        <v>2207</v>
      </c>
      <c r="E20" s="3543"/>
      <c r="F20" s="2647" t="s">
        <v>1056</v>
      </c>
      <c r="G20" s="2664"/>
      <c r="H20" s="2664"/>
      <c r="I20" s="2664"/>
      <c r="J20" s="2439"/>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7" t="s">
        <v>2214</v>
      </c>
      <c r="B27" s="320" t="s">
        <v>2215</v>
      </c>
      <c r="C27" s="2416" t="s">
        <v>3425</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2218</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2219</v>
      </c>
      <c r="B31" s="2422" t="s">
        <v>3426</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88.15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88.15</v>
      </c>
      <c r="H5" s="13">
        <f t="shared" ref="H5:AT5" si="0">SUM(H13:H656)</f>
        <v>88.15</v>
      </c>
      <c r="I5" s="13">
        <f t="shared" si="0"/>
        <v>88.15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88.15</v>
      </c>
      <c r="BA5" s="15">
        <f t="shared" si="1"/>
        <v>88.15</v>
      </c>
      <c r="BB5" s="15">
        <f t="shared" si="1"/>
        <v>88.15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3429</v>
      </c>
      <c r="E13" s="13">
        <f>IF($C$3="是",ROUND($A$3*G13/$B$3,2),ROUND($A$3*(G13-AT13)/$B$3,2))</f>
        <v>0</v>
      </c>
      <c r="F13" s="29"/>
      <c r="G13" s="30">
        <f>H13+AC13+AT13</f>
        <v>88.15</v>
      </c>
      <c r="H13" s="17">
        <f>SUMIF(I$12:AB$12,"总值",I13:AB13)</f>
        <v>88.15</v>
      </c>
      <c r="I13" s="1626">
        <v>88.15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88.15</v>
      </c>
      <c r="BA13" s="13">
        <f>SUM(BB13:BK13)</f>
        <v>88.15</v>
      </c>
      <c r="BB13" s="13">
        <f>IF($D13="是",I13-J13,0)</f>
        <v>88.15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5"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9"/>
      <c r="G2" s="2650"/>
      <c r="H2" s="2651"/>
      <c r="I2" s="2325" t="s">
        <v>1132</v>
      </c>
      <c r="J2" s="2659"/>
      <c r="K2" s="2659"/>
      <c r="L2" s="2659"/>
      <c r="M2" s="2659"/>
      <c r="N2" s="2661"/>
      <c r="O2" s="2659"/>
      <c r="P2" s="2659"/>
    </row>
    <row r="3" spans="1:16" ht="15.75" thickBot="1">
      <c r="A3" s="3566" t="s">
        <v>1105</v>
      </c>
      <c r="B3" s="3566"/>
      <c r="C3" s="3566"/>
      <c r="D3" s="43">
        <f>'数据-基础表'!AY6</f>
        <v>0</v>
      </c>
      <c r="E3" s="43">
        <f>'数据-基础表'!AZ5</f>
        <v>88.15</v>
      </c>
      <c r="F3" s="2659"/>
      <c r="G3" s="1145"/>
      <c r="H3" s="1026" t="s">
        <v>1106</v>
      </c>
      <c r="I3" s="855" t="e">
        <f>ROUND('数据-基础表'!B3/'数据-基础表'!A3,2)</f>
        <v>#DIV/0!</v>
      </c>
      <c r="J3" s="2659"/>
      <c r="K3" s="2659"/>
      <c r="L3" s="2659"/>
      <c r="M3" s="2659"/>
      <c r="N3" s="2661"/>
      <c r="O3" s="2659"/>
      <c r="P3" s="2659"/>
    </row>
    <row r="4" spans="1:16" ht="15">
      <c r="A4" s="3567"/>
      <c r="B4" s="3568"/>
      <c r="C4" s="356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0" t="s">
        <v>1110</v>
      </c>
      <c r="C5" s="357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0" t="s">
        <v>1111</v>
      </c>
      <c r="C6" s="3570"/>
      <c r="D6" s="45">
        <f>ROUND($D$3*E6/$E$3,2)</f>
        <v>0</v>
      </c>
      <c r="E6" s="46">
        <f>E3-E5</f>
        <v>88.15</v>
      </c>
      <c r="F6" s="2659"/>
      <c r="G6" s="2653" t="s">
        <v>1112</v>
      </c>
      <c r="H6" s="1146" t="s">
        <v>1113</v>
      </c>
      <c r="I6" s="2654" t="e">
        <f>ROUND(F31/D31,2)</f>
        <v>#DIV/0!</v>
      </c>
      <c r="J6" s="2659"/>
      <c r="K6" s="2659"/>
      <c r="L6" s="2659"/>
      <c r="M6" s="2659"/>
      <c r="N6" s="2659"/>
      <c r="O6" s="2659"/>
      <c r="P6" s="2659"/>
    </row>
    <row r="7" spans="1:16" ht="15.75" thickBot="1">
      <c r="A7" s="3562"/>
      <c r="B7" s="3563"/>
      <c r="C7" s="356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88.15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88.15</v>
      </c>
      <c r="F16" s="2659"/>
      <c r="G16" s="2660"/>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3430</v>
      </c>
      <c r="D19" s="45">
        <f>ROUND($D$3*E19/$E$3,2)</f>
        <v>0</v>
      </c>
      <c r="E19" s="53">
        <f t="shared" ref="E19:E26" si="1">SUM(F19:G19)</f>
        <v>88.15</v>
      </c>
      <c r="F19" s="2795">
        <f>'数据-基础表'!I13</f>
        <v>88.15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88.15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88.15</v>
      </c>
      <c r="F27" s="1140">
        <f>IF(SUM(F19:F26)=E8,SUM(F19:F26),"地上面积有误")</f>
        <v>88.15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88.15</v>
      </c>
      <c r="F31" s="677">
        <f>F27+F30</f>
        <v>88.15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T20" sqref="T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59539</v>
      </c>
      <c r="F6" s="64">
        <f>SUMIF(项目基本情况!C$12:I$12,C6,项目基本情况!C$15:I$15)</f>
        <v>37.44</v>
      </c>
      <c r="G6" s="65">
        <f>IF(ISERROR(ROUND(POWER(1+H6,D6-F6)*(POWER(1+H6,F6)-1)/(POWER(1+H6,D6)-1),3)),0,ROUND(POWER(1+H6,D6-F6)*(POWER(1+H6,F6)-1)/(POWER(1+H6,D6)-1),3))</f>
        <v>0.91900000000000004</v>
      </c>
      <c r="H6" s="732">
        <v>0.05</v>
      </c>
      <c r="I6" s="732">
        <v>5.5E-2</v>
      </c>
      <c r="J6" s="66">
        <v>7.0000000000000007E-2</v>
      </c>
      <c r="K6" s="1030">
        <f>SUMIF('数据-汇总表'!C$19:C$33,A6,'数据-汇总表'!E$19:E$33)</f>
        <v>88.15</v>
      </c>
      <c r="L6" s="733">
        <v>5800</v>
      </c>
      <c r="M6" s="67">
        <f t="shared" ref="M6:M14" si="0">ROUND(K6*L6/10000,0)</f>
        <v>51</v>
      </c>
      <c r="N6" s="731">
        <f>ROUND(1-(1-0%)*(2025-N18)/60,2)</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3.2</v>
      </c>
      <c r="V6" s="70">
        <v>0.02</v>
      </c>
      <c r="W6" s="70">
        <v>0.1</v>
      </c>
      <c r="X6" s="1040"/>
      <c r="Y6" s="71">
        <f>N6</f>
        <v>0.83</v>
      </c>
      <c r="Z6" s="72"/>
      <c r="AA6" s="66"/>
      <c r="AB6" s="66"/>
      <c r="AC6" s="1040"/>
      <c r="AD6" s="73"/>
      <c r="AE6" s="1041">
        <f ca="1">IF(AN6="",0,SUMIF(INDIRECT("'"&amp;AN6&amp;"'"&amp;"!E:E"),$AE$5,INDIRECT("'"&amp;AN6&amp;"'"&amp;"!F:F")))</f>
        <v>37.44</v>
      </c>
      <c r="AF6" s="1348"/>
      <c r="AG6" s="138">
        <f>IF(AF6="",0,AE6-AF6)</f>
        <v>0</v>
      </c>
      <c r="AH6" s="74"/>
      <c r="AI6" s="76">
        <v>365</v>
      </c>
      <c r="AJ6" s="77"/>
      <c r="AK6" s="78">
        <v>5.0000000000000001E-3</v>
      </c>
      <c r="AL6" s="79">
        <v>1E-3</v>
      </c>
      <c r="AM6" s="80">
        <v>0.01</v>
      </c>
      <c r="AN6" s="1715" t="s">
        <v>3432</v>
      </c>
      <c r="AO6" s="52">
        <f ca="1">SUMIF(INDIRECT("'"&amp;AN6&amp;"'"&amp;"!A:A"),"总价",INDIRECT("'"&amp;AN6&amp;"'"&amp;"!B:B"))</f>
        <v>168.6679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0.91900000000000004</v>
      </c>
      <c r="H16" s="90">
        <f>ROUND(SUMPRODUCT(H6:H13,K6:K13)/SUMPRODUCT((H6:H13&gt;0)*(K6:K13)),3)</f>
        <v>0.05</v>
      </c>
      <c r="I16" s="91"/>
      <c r="J16" s="91"/>
      <c r="K16" s="92">
        <f>SUM(K6:K15)</f>
        <v>88.15</v>
      </c>
      <c r="L16" s="93">
        <f>ROUND(M16*10000/SUM(K6:K14),0)</f>
        <v>5786</v>
      </c>
      <c r="M16" s="93">
        <f>SUM(M6:M14)</f>
        <v>51</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2015</v>
      </c>
      <c r="O18" s="2671"/>
      <c r="P18" s="2671"/>
      <c r="Q18" s="2671">
        <f>Q16/B20</f>
        <v>7.4999999999999997E-2</v>
      </c>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3483" t="s">
        <v>3471</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1" t="s">
        <v>2286</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88.15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45870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165.6515</v>
      </c>
      <c r="C5" s="2512">
        <f ca="1">IF(B5=D14,结果表!H102,ROUND(B5*10000/$B$1,0))</f>
        <v>18792</v>
      </c>
      <c r="D5" s="2512" t="e">
        <f ca="1">ROUND(B5*10000/$B$2,0)</f>
        <v>#DIV/0!</v>
      </c>
      <c r="E5" s="2686"/>
      <c r="F5" s="2687"/>
      <c r="G5" s="2687"/>
      <c r="H5" s="2688"/>
      <c r="I5" s="2688"/>
      <c r="J5" s="2688"/>
      <c r="K5" s="2688"/>
    </row>
    <row r="6" spans="1:11" ht="16.5">
      <c r="A6" s="2512" t="s">
        <v>656</v>
      </c>
      <c r="B6" s="2512">
        <f ca="1">SUM(G14:G23)</f>
        <v>165.6515</v>
      </c>
      <c r="C6" s="2512">
        <f ca="1">IF(B6=G14,结果表!H108,ROUND(B6*10000/$B$1,0))</f>
        <v>18792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88.15</v>
      </c>
      <c r="C14" s="2518"/>
      <c r="D14" s="2518">
        <f ca="1">结果表!G23/10000</f>
        <v>165.6515</v>
      </c>
      <c r="E14" s="2518">
        <f ca="1">结果表!G20</f>
        <v>18792</v>
      </c>
      <c r="F14" s="2518" t="e">
        <f ca="1">ROUND(D14*10000/C14,0)</f>
        <v>#DIV/0!</v>
      </c>
      <c r="G14" s="2518">
        <f ca="1">D14</f>
        <v>165.6515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J22" sqref="J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北京市通州区新华西街60号院2号楼22层2210商务办公用房房地产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3437</v>
      </c>
      <c r="D4" s="1756" t="s">
        <v>3432</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574">
        <v>25</v>
      </c>
      <c r="C5" s="3590"/>
      <c r="D5" s="3610"/>
      <c r="E5" s="131" t="s">
        <v>1269</v>
      </c>
      <c r="F5" s="1757"/>
      <c r="G5" s="1757"/>
      <c r="H5" s="1757"/>
      <c r="I5" s="1373"/>
    </row>
    <row r="6" spans="1:12" ht="12.75">
      <c r="A6" s="3587"/>
      <c r="B6" s="3574"/>
      <c r="C6" s="3591"/>
      <c r="D6" s="3610"/>
      <c r="E6" s="131" t="s">
        <v>1270</v>
      </c>
      <c r="F6" s="1757"/>
      <c r="G6" s="1757"/>
      <c r="H6" s="1757"/>
      <c r="I6" s="1373"/>
    </row>
    <row r="7" spans="1:12" ht="12.75">
      <c r="A7" s="3587"/>
      <c r="B7" s="3574"/>
      <c r="C7" s="3592"/>
      <c r="D7" s="3610"/>
      <c r="E7" s="131" t="s">
        <v>1271</v>
      </c>
      <c r="F7" s="1757"/>
      <c r="G7" s="1757"/>
      <c r="H7" s="1757"/>
      <c r="I7" s="1373"/>
    </row>
    <row r="8" spans="1:12" ht="12.75">
      <c r="A8" s="3587" t="s">
        <v>1272</v>
      </c>
      <c r="B8" s="3574">
        <v>15</v>
      </c>
      <c r="C8" s="3590"/>
      <c r="D8" s="3610"/>
      <c r="E8" s="131" t="s">
        <v>1273</v>
      </c>
      <c r="F8" s="1757"/>
      <c r="G8" s="1757"/>
      <c r="H8" s="1757"/>
      <c r="I8" s="1373"/>
    </row>
    <row r="9" spans="1:12" ht="12.75">
      <c r="A9" s="3587"/>
      <c r="B9" s="3574"/>
      <c r="C9" s="3592"/>
      <c r="D9" s="3610"/>
      <c r="E9" s="131" t="s">
        <v>1274</v>
      </c>
      <c r="F9" s="1757"/>
      <c r="G9" s="1757"/>
      <c r="H9" s="1757"/>
      <c r="I9" s="1373"/>
    </row>
    <row r="10" spans="1:12" ht="12.75">
      <c r="A10" s="3587" t="s">
        <v>1275</v>
      </c>
      <c r="B10" s="3574">
        <v>15</v>
      </c>
      <c r="C10" s="3590"/>
      <c r="D10" s="3610"/>
      <c r="E10" s="131" t="s">
        <v>1276</v>
      </c>
      <c r="F10" s="1757"/>
      <c r="G10" s="1757"/>
      <c r="H10" s="1757"/>
      <c r="I10" s="1373"/>
    </row>
    <row r="11" spans="1:12" ht="12.75">
      <c r="A11" s="3587"/>
      <c r="B11" s="3574"/>
      <c r="C11" s="3592"/>
      <c r="D11" s="3610"/>
      <c r="E11" s="131" t="s">
        <v>1277</v>
      </c>
      <c r="F11" s="1757"/>
      <c r="G11" s="1757"/>
      <c r="H11" s="1757"/>
      <c r="I11" s="1373"/>
    </row>
    <row r="12" spans="1:12" ht="12.75">
      <c r="A12" s="3587" t="s">
        <v>1278</v>
      </c>
      <c r="B12" s="3574">
        <v>15</v>
      </c>
      <c r="C12" s="3590"/>
      <c r="D12" s="3610"/>
      <c r="E12" s="131" t="s">
        <v>1279</v>
      </c>
      <c r="F12" s="1757"/>
      <c r="G12" s="1757"/>
      <c r="H12" s="1757"/>
      <c r="I12" s="1373"/>
    </row>
    <row r="13" spans="1:12" ht="12.75">
      <c r="A13" s="3587"/>
      <c r="B13" s="3574"/>
      <c r="C13" s="3592"/>
      <c r="D13" s="3610"/>
      <c r="E13" s="131" t="s">
        <v>1280</v>
      </c>
      <c r="F13" s="1757"/>
      <c r="G13" s="1757"/>
      <c r="H13" s="1757"/>
      <c r="I13" s="1373"/>
    </row>
    <row r="14" spans="1:12" ht="12.75">
      <c r="A14" s="3587" t="s">
        <v>1281</v>
      </c>
      <c r="B14" s="3574">
        <v>30</v>
      </c>
      <c r="C14" s="3590">
        <v>5</v>
      </c>
      <c r="D14" s="3610">
        <v>5</v>
      </c>
      <c r="E14" s="131" t="s">
        <v>1282</v>
      </c>
      <c r="F14" s="1757"/>
      <c r="G14" s="1757"/>
      <c r="H14" s="1757"/>
      <c r="I14" s="1373"/>
    </row>
    <row r="15" spans="1:12" ht="12.75">
      <c r="A15" s="3587"/>
      <c r="B15" s="3574"/>
      <c r="C15" s="3591"/>
      <c r="D15" s="3610"/>
      <c r="E15" s="131" t="s">
        <v>1283</v>
      </c>
      <c r="F15" s="1757"/>
      <c r="G15" s="1757"/>
      <c r="H15" s="1757"/>
      <c r="I15" s="1373"/>
    </row>
    <row r="16" spans="1:12" ht="12.75">
      <c r="A16" s="3587"/>
      <c r="B16" s="3574"/>
      <c r="C16" s="3592"/>
      <c r="D16" s="361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7" t="s">
        <v>2131</v>
      </c>
      <c r="F18" s="3598"/>
      <c r="G18" s="3598"/>
      <c r="H18" s="3598"/>
      <c r="I18" s="3598"/>
      <c r="K18" s="302" t="s">
        <v>1289</v>
      </c>
      <c r="L18" s="302">
        <f>IF(C1="",'数据-汇总表'!E3,SUMIF(项目类型,C1,'数据-汇总表'!E17:E26)+SUMIF(项目类型,C1,'数据-汇总表'!I17:I26))</f>
        <v>88.15</v>
      </c>
      <c r="M18" s="302">
        <f>IF(C1="",'数据-汇总表'!E3,SUMIF(项目类型,C1,'数据-汇总表'!E17:E26))</f>
        <v>88.15</v>
      </c>
    </row>
    <row r="19" spans="1:36" ht="15">
      <c r="A19" s="1761" t="s">
        <v>1290</v>
      </c>
      <c r="B19" s="1762" t="s">
        <v>1291</v>
      </c>
      <c r="C19" s="134">
        <f ca="1">SUMIF(INDIRECT("'"&amp;C4&amp;"'"&amp;"!A:A"),结果表!B19,INDIRECT("'"&amp;C4&amp;"'"&amp;"!B:B"))</f>
        <v>162.63679999999999</v>
      </c>
      <c r="D19" s="135">
        <f ca="1">SUMIF(INDIRECT("'"&amp;D4&amp;"'"&amp;"!A:A"),结果表!B19,INDIRECT("'"&amp;D4&amp;"'"&amp;"!B:B"))</f>
        <v>168.6679</v>
      </c>
      <c r="E19" s="1761" t="s">
        <v>1292</v>
      </c>
      <c r="F19" s="1762" t="s">
        <v>1291</v>
      </c>
      <c r="G19" s="136">
        <f ca="1">ROUND(C19*$C$18+D19*$D$18,0)</f>
        <v>166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18450</v>
      </c>
      <c r="D20" s="138">
        <f ca="1">SUMIF(INDIRECT("'"&amp;D4&amp;"'"&amp;"!A:A"),结果表!B20,INDIRECT("'"&amp;D4&amp;"'"&amp;"!B:B"))</f>
        <v>19134</v>
      </c>
      <c r="E20" s="1764"/>
      <c r="F20" s="1026" t="s">
        <v>1295</v>
      </c>
      <c r="G20" s="139">
        <f ca="1">ROUND(C20*$C$18+D20*$D$18,0)</f>
        <v>18792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3.7083243152841172E-2</v>
      </c>
      <c r="E22" s="129"/>
      <c r="F22" s="129"/>
      <c r="G22" s="129"/>
      <c r="H22" s="129"/>
      <c r="I22" s="129"/>
      <c r="J22" s="725" t="s">
        <v>3478</v>
      </c>
    </row>
    <row r="23" spans="1:36" ht="13.5" thickBot="1">
      <c r="A23" s="1747"/>
      <c r="B23" s="1747"/>
      <c r="C23" s="1747"/>
      <c r="D23" s="1747"/>
      <c r="E23" s="129"/>
      <c r="F23" s="129"/>
      <c r="G23" s="129">
        <f ca="1">ROUND(G20*'数据-汇总表'!F19,0)</f>
        <v>1656515</v>
      </c>
      <c r="H23" s="129"/>
      <c r="I23" s="129"/>
    </row>
    <row r="24" spans="1:36" ht="14.25">
      <c r="A24" s="3581" t="s">
        <v>1299</v>
      </c>
      <c r="B24" s="1762" t="s">
        <v>1291</v>
      </c>
      <c r="C24" s="136">
        <f>IF(B30=0,0,D30)</f>
        <v>0</v>
      </c>
      <c r="D24" s="1769"/>
      <c r="E24" s="129"/>
      <c r="F24" s="129"/>
      <c r="G24" s="129"/>
      <c r="H24" s="129"/>
      <c r="I24" s="129"/>
    </row>
    <row r="25" spans="1:36" ht="14.25">
      <c r="A25" s="358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18792</v>
      </c>
      <c r="D32" s="1775" t="s">
        <v>3438</v>
      </c>
      <c r="E32" s="129"/>
      <c r="F32" s="129"/>
      <c r="G32" s="129"/>
      <c r="H32" s="129"/>
      <c r="I32" s="129"/>
    </row>
    <row r="33" spans="1:15" ht="15">
      <c r="A33" s="786" t="s">
        <v>1306</v>
      </c>
      <c r="B33" s="1776"/>
      <c r="C33" s="1777" t="s">
        <v>3439</v>
      </c>
      <c r="D33" s="1778" t="s">
        <v>3432</v>
      </c>
      <c r="E33" s="1779" t="s">
        <v>1307</v>
      </c>
      <c r="F33" s="1780" t="str">
        <f>IF(D32="楼面单价","取值（单价）","取值（总价）")</f>
        <v>取值（单价）</v>
      </c>
      <c r="G33" s="129"/>
      <c r="H33" s="129"/>
      <c r="I33" s="129"/>
    </row>
    <row r="34" spans="1:15" ht="15">
      <c r="A34" s="1781"/>
      <c r="B34" s="1782" t="s">
        <v>1308</v>
      </c>
      <c r="C34" s="148">
        <f ca="1">IF(C33="自定义",F34,C32-C35)</f>
        <v>8813</v>
      </c>
      <c r="D34" s="861">
        <f ca="1">IF(C33="自定义",ROUND(C34/C32,3),IF(C33="收益比率",SUMIF(INDIRECT("'"&amp;D33&amp;"'"&amp;"!b:b"),"土地收益比率",INDIRECT("'"&amp;D33&amp;"'"&amp;"!c:c")),SUMIF(INDIRECT("'"&amp;D33&amp;"'"&amp;"!b:b"),"土地成本比率",INDIRECT("'"&amp;D33&amp;"'"&amp;"!c:c"))))</f>
        <v>0.46899999999999997</v>
      </c>
      <c r="E34" s="1783" t="s">
        <v>1309</v>
      </c>
      <c r="F34" s="1330"/>
      <c r="G34" s="129"/>
      <c r="H34" s="129"/>
      <c r="I34" s="129"/>
    </row>
    <row r="35" spans="1:15" ht="15.75" thickBot="1">
      <c r="A35" s="1784"/>
      <c r="B35" s="1785" t="s">
        <v>1310</v>
      </c>
      <c r="C35" s="1170">
        <f ca="1">IF(C33="自定义",F35,ROUND(C32*D35,0))</f>
        <v>9979</v>
      </c>
      <c r="D35" s="1171">
        <f ca="1">IF(C33="自定义",ROUND(C35/C32,3),IF(C33="收益比率",SUMIF(INDIRECT("'"&amp;D33&amp;"'"&amp;"!b:b"),"建筑物收益比率",INDIRECT("'"&amp;D33&amp;"'"&amp;"!c:c")),SUMIF(INDIRECT("'"&amp;D33&amp;"'"&amp;"!b:b"),"建筑物成本比率",INDIRECT("'"&amp;D33&amp;"'"&amp;"!c:c"))))</f>
        <v>0.53100000000000003</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8" t="s">
        <v>1326</v>
      </c>
      <c r="B45" s="3579"/>
      <c r="C45" s="3580"/>
      <c r="D45" s="155">
        <f ca="1">ROUND(H101*F45,0)</f>
        <v>166</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6"/>
      <c r="I46" s="159"/>
      <c r="J46" s="2523">
        <v>1</v>
      </c>
      <c r="K46" s="3637" t="s">
        <v>1331</v>
      </c>
      <c r="L46" s="3637"/>
      <c r="M46" s="3657"/>
      <c r="N46" s="3657"/>
      <c r="O46" s="3657"/>
    </row>
    <row r="47" spans="1:15" ht="12" customHeight="1">
      <c r="A47" s="160" t="s">
        <v>1332</v>
      </c>
      <c r="B47" s="161"/>
      <c r="C47" s="162"/>
      <c r="D47" s="1087" t="s">
        <v>1333</v>
      </c>
      <c r="E47" s="302" t="s">
        <v>1334</v>
      </c>
      <c r="F47" s="163" t="s">
        <v>1335</v>
      </c>
      <c r="G47" s="2546" t="s">
        <v>1336</v>
      </c>
      <c r="H47" s="2547"/>
      <c r="I47" s="159"/>
      <c r="J47" s="2523">
        <v>2</v>
      </c>
      <c r="K47" s="3637" t="s">
        <v>1337</v>
      </c>
      <c r="L47" s="3637"/>
      <c r="M47" s="3658">
        <f>'数据-取费表'!B2</f>
        <v>45870</v>
      </c>
      <c r="N47" s="3658"/>
      <c r="O47" s="3658"/>
    </row>
    <row r="48" spans="1:15" ht="25.5">
      <c r="A48" s="3606" t="s">
        <v>1338</v>
      </c>
      <c r="B48" s="3589"/>
      <c r="C48" s="358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7" t="s">
        <v>1340</v>
      </c>
      <c r="L48" s="3637"/>
      <c r="M48" s="3659">
        <f ca="1">H101</f>
        <v>166</v>
      </c>
      <c r="N48" s="3659"/>
      <c r="O48" s="3659"/>
    </row>
    <row r="49" spans="1:35" ht="25.5" customHeight="1">
      <c r="A49" s="2333" t="s">
        <v>1341</v>
      </c>
      <c r="B49" s="3573" t="s">
        <v>1342</v>
      </c>
      <c r="C49" s="3573"/>
      <c r="D49" s="1590">
        <v>0</v>
      </c>
      <c r="E49" s="324" t="s">
        <v>1343</v>
      </c>
      <c r="F49" s="2424" t="s">
        <v>28</v>
      </c>
      <c r="G49" s="3643"/>
      <c r="H49" s="2310" t="s">
        <v>2134</v>
      </c>
      <c r="I49" s="2311"/>
      <c r="J49" s="2523">
        <v>4</v>
      </c>
      <c r="K49" s="3637" t="str">
        <f>IF(项目基本情况!E8="房地产抵押价值","房地产抵押价值","抵押担保权已注销时的房地产抵押价值")</f>
        <v>房地产抵押价值</v>
      </c>
      <c r="L49" s="3637"/>
      <c r="M49" s="3659">
        <f ca="1">IF(项目基本情况!E8="房地产抵押价值",H107,H109)</f>
        <v>166</v>
      </c>
      <c r="N49" s="3659"/>
      <c r="O49" s="3659"/>
    </row>
    <row r="50" spans="1:35" ht="25.5" customHeight="1">
      <c r="A50" s="2551"/>
      <c r="B50" s="3573" t="s">
        <v>1344</v>
      </c>
      <c r="C50" s="3573"/>
      <c r="D50" s="2552"/>
      <c r="E50" s="332"/>
      <c r="F50" s="2424"/>
      <c r="G50" s="3644"/>
      <c r="H50" s="2312" t="s">
        <v>2135</v>
      </c>
      <c r="I50" s="2311"/>
      <c r="J50" s="3656" t="s">
        <v>1345</v>
      </c>
      <c r="K50" s="3656"/>
      <c r="L50" s="3656"/>
      <c r="M50" s="3656"/>
      <c r="N50" s="3656"/>
      <c r="O50" s="3656"/>
    </row>
    <row r="51" spans="1:35" ht="20.45" customHeight="1">
      <c r="A51" s="2553"/>
      <c r="B51" s="3573" t="s">
        <v>1346</v>
      </c>
      <c r="C51" s="3573"/>
      <c r="D51" s="1087"/>
      <c r="E51" s="327"/>
      <c r="F51" s="2424"/>
      <c r="G51" s="3645"/>
      <c r="H51" s="2312" t="s">
        <v>2136</v>
      </c>
      <c r="I51" s="2311"/>
      <c r="J51" s="2524" t="s">
        <v>1347</v>
      </c>
      <c r="K51" s="3637" t="s">
        <v>1348</v>
      </c>
      <c r="L51" s="3637"/>
      <c r="M51" s="2524" t="s">
        <v>1349</v>
      </c>
      <c r="N51" s="2524" t="s">
        <v>1350</v>
      </c>
      <c r="O51" s="2524" t="s">
        <v>1351</v>
      </c>
    </row>
    <row r="52" spans="1:35" ht="24" customHeight="1">
      <c r="A52" s="2335" t="s">
        <v>1352</v>
      </c>
      <c r="B52" s="3573" t="s">
        <v>1353</v>
      </c>
      <c r="C52" s="3573"/>
      <c r="D52" s="1087">
        <f ca="1">ROUND(D45*'数据-取费表'!B41/(1+'数据-取费表'!C42),0)</f>
        <v>9</v>
      </c>
      <c r="E52" s="2334" t="s">
        <v>1354</v>
      </c>
      <c r="F52" s="2554">
        <f>'数据-取费表'!B41</f>
        <v>5.6000000000000001E-2</v>
      </c>
      <c r="G52" s="2555"/>
      <c r="H52" s="2544"/>
      <c r="I52" s="1807"/>
      <c r="J52" s="2523">
        <v>1</v>
      </c>
      <c r="K52" s="3638" t="s">
        <v>1355</v>
      </c>
      <c r="L52" s="3638"/>
      <c r="M52" s="2525" t="b">
        <f>D48</f>
        <v>0</v>
      </c>
      <c r="N52" s="2523" t="str">
        <f>E48</f>
        <v>销售额×税（费）率</v>
      </c>
      <c r="O52" s="2526">
        <f>F48</f>
        <v>5.6000000000000001E-2</v>
      </c>
    </row>
    <row r="53" spans="1:35" ht="12" customHeight="1">
      <c r="A53" s="2335" t="s">
        <v>1356</v>
      </c>
      <c r="B53" s="3599" t="s">
        <v>2291</v>
      </c>
      <c r="C53" s="3600"/>
      <c r="D53" s="1087">
        <f ca="1">ROUND(D45*'数据-取费表'!B41/(1+'数据-取费表'!C42),0)</f>
        <v>9</v>
      </c>
      <c r="E53" s="2334" t="s">
        <v>1354</v>
      </c>
      <c r="F53" s="2554">
        <f>'数据-取费表'!B41</f>
        <v>5.6000000000000001E-2</v>
      </c>
      <c r="G53" s="2555"/>
      <c r="H53" s="2544"/>
      <c r="I53" s="1807"/>
      <c r="J53" s="2523">
        <v>2</v>
      </c>
      <c r="K53" s="3638" t="s">
        <v>1357</v>
      </c>
      <c r="L53" s="3638"/>
      <c r="M53" s="2525">
        <f t="shared" ref="M53:O54" ca="1" si="0">D55</f>
        <v>0</v>
      </c>
      <c r="N53" s="2523" t="str">
        <f t="shared" si="0"/>
        <v>销售额×税（费）率</v>
      </c>
      <c r="O53" s="2526" t="str">
        <f t="shared" si="0"/>
        <v>免征</v>
      </c>
    </row>
    <row r="54" spans="1:35" ht="12" customHeight="1">
      <c r="A54" s="2335" t="s">
        <v>1358</v>
      </c>
      <c r="B54" s="3599" t="s">
        <v>2292</v>
      </c>
      <c r="C54" s="3600"/>
      <c r="D54" s="1087">
        <f ca="1">C68</f>
        <v>9</v>
      </c>
      <c r="E54" s="327" t="s">
        <v>1359</v>
      </c>
      <c r="F54" s="2554">
        <f>'数据-取费表'!B41</f>
        <v>5.6000000000000001E-2</v>
      </c>
      <c r="G54" s="2555"/>
      <c r="H54" s="2556"/>
      <c r="I54" s="1807"/>
      <c r="J54" s="2523">
        <v>3</v>
      </c>
      <c r="K54" s="3638" t="s">
        <v>1360</v>
      </c>
      <c r="L54" s="3638"/>
      <c r="M54" s="2525">
        <f t="shared" ca="1" si="0"/>
        <v>94</v>
      </c>
      <c r="N54" s="2523" t="str">
        <f t="shared" si="0"/>
        <v>增值额×税（费）率</v>
      </c>
      <c r="O54" s="2527" t="str">
        <f t="shared" si="0"/>
        <v>免征</v>
      </c>
    </row>
    <row r="55" spans="1:35" ht="24" customHeight="1">
      <c r="A55" s="3588" t="s">
        <v>1361</v>
      </c>
      <c r="B55" s="3589"/>
      <c r="C55" s="3589"/>
      <c r="D55" s="2324">
        <f ca="1">IF(H55="个人住宅",0,ROUND(D45*I55,0))</f>
        <v>0</v>
      </c>
      <c r="E55" s="2334" t="s">
        <v>1362</v>
      </c>
      <c r="F55" s="2554" t="str">
        <f>IF(H55="正常",I55,"免征")</f>
        <v>免征</v>
      </c>
      <c r="G55" s="2555"/>
      <c r="H55" s="2550"/>
      <c r="I55" s="165">
        <f>'数据-取费表'!B49</f>
        <v>5.0000000000000001E-4</v>
      </c>
      <c r="J55" s="2523">
        <f>IF(H59="非个人房产","",4)</f>
        <v>4</v>
      </c>
      <c r="K55" s="3638" t="str">
        <f>IF(H59="非个人房产","——","个人所得税")</f>
        <v>个人所得税</v>
      </c>
      <c r="L55" s="3638"/>
      <c r="M55" s="2528">
        <f ca="1">D59</f>
        <v>2</v>
      </c>
      <c r="N55" s="2040" t="str">
        <f>E59</f>
        <v>差额计税</v>
      </c>
      <c r="O55" s="2529">
        <f>F59</f>
        <v>0.01</v>
      </c>
    </row>
    <row r="56" spans="1:35" ht="24.75">
      <c r="A56" s="3588" t="s">
        <v>1363</v>
      </c>
      <c r="B56" s="3589"/>
      <c r="C56" s="3589"/>
      <c r="D56" s="2324">
        <f ca="1">IF(H56="个人住宅",D57,D58)</f>
        <v>94</v>
      </c>
      <c r="E56" s="2334" t="s">
        <v>1364</v>
      </c>
      <c r="F56" s="2554" t="str">
        <f>IF(H56="正常",F58,"免征")</f>
        <v>免征</v>
      </c>
      <c r="G56" s="2557" t="s">
        <v>1365</v>
      </c>
      <c r="H56" s="2558"/>
      <c r="I56" s="1808"/>
      <c r="J56" s="2523" t="str">
        <f>IF(项目基本情况!K6="上海银行",IF(J55="",4,J55+1),"")</f>
        <v/>
      </c>
      <c r="K56" s="3661" t="str">
        <f>IF(项目基本情况!K6="上海银行","其他处置费用","")</f>
        <v/>
      </c>
      <c r="L56" s="3662"/>
      <c r="M56" s="2525" t="str">
        <f>IF(项目基本情况!K6="上海银行",M69,"")</f>
        <v/>
      </c>
      <c r="N56" s="3661" t="str">
        <f>IF(项目基本情况!K6="上海银行","包含处置中涉及的律师、诉讼、拍卖、评估等费用","")</f>
        <v/>
      </c>
      <c r="O56" s="3664"/>
    </row>
    <row r="57" spans="1:35" ht="12.75">
      <c r="A57" s="2335" t="s">
        <v>1341</v>
      </c>
      <c r="B57" s="3599" t="s">
        <v>1366</v>
      </c>
      <c r="C57" s="3600"/>
      <c r="D57" s="1590">
        <v>0</v>
      </c>
      <c r="E57" s="324" t="s">
        <v>1343</v>
      </c>
      <c r="F57" s="302"/>
      <c r="G57" s="2555"/>
      <c r="H57" s="2559"/>
      <c r="I57" s="1808"/>
      <c r="J57" s="3638">
        <f>IF(AND(J55="",J56=""),4,IF(项目基本情况!K6="上海银行",结果表!J56+1,结果表!J55+1))</f>
        <v>5</v>
      </c>
      <c r="K57" s="3638" t="s">
        <v>1367</v>
      </c>
      <c r="L57" s="2530" t="s">
        <v>1368</v>
      </c>
      <c r="M57" s="2531"/>
      <c r="N57" s="2532">
        <f ca="1">SUMIF(M52:M56,"&lt;9e307")</f>
        <v>96</v>
      </c>
      <c r="O57" s="2533"/>
      <c r="P57" s="2690">
        <f ca="1">N57/M49</f>
        <v>0.57831325301204817</v>
      </c>
    </row>
    <row r="58" spans="1:35" ht="24.75">
      <c r="A58" s="2335" t="s">
        <v>1352</v>
      </c>
      <c r="B58" s="3599" t="s">
        <v>1369</v>
      </c>
      <c r="C58" s="3573"/>
      <c r="D58" s="2324">
        <f ca="1">IF(H58="转让取得",C81,C97)</f>
        <v>94</v>
      </c>
      <c r="E58" s="2334" t="s">
        <v>1364</v>
      </c>
      <c r="F58" s="302" t="s">
        <v>28</v>
      </c>
      <c r="G58" s="2555"/>
      <c r="H58" s="2558"/>
      <c r="I58" s="1808"/>
      <c r="J58" s="3638"/>
      <c r="K58" s="3638"/>
      <c r="L58" s="2530" t="s">
        <v>1370</v>
      </c>
      <c r="M58" s="2534"/>
      <c r="N58" s="2535" t="str">
        <f ca="1">NUMBERSTRING(INT(N57*10000),2)&amp;"元整"</f>
        <v>玖拾陆万元整</v>
      </c>
      <c r="O58" s="2536"/>
    </row>
    <row r="59" spans="1:35" ht="24.75" thickBot="1">
      <c r="A59" s="3641" t="s">
        <v>1371</v>
      </c>
      <c r="B59" s="3642"/>
      <c r="C59" s="3642"/>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9">
        <f>J57+1</f>
        <v>6</v>
      </c>
      <c r="K59" s="3638" t="s">
        <v>1372</v>
      </c>
      <c r="L59" s="2523" t="s">
        <v>1368</v>
      </c>
      <c r="M59" s="2537"/>
      <c r="N59" s="2538">
        <f ca="1">M49-N57</f>
        <v>70</v>
      </c>
      <c r="O59" s="2539"/>
    </row>
    <row r="60" spans="1:35" ht="12" customHeight="1">
      <c r="A60" s="1809"/>
      <c r="B60" s="1747"/>
      <c r="C60" s="1747"/>
      <c r="D60" s="1747"/>
      <c r="E60" s="1578"/>
      <c r="F60" s="1808"/>
      <c r="G60" s="1808"/>
      <c r="H60" s="1810"/>
      <c r="I60" s="129"/>
      <c r="J60" s="3640"/>
      <c r="K60" s="3638"/>
      <c r="L60" s="2530" t="s">
        <v>1370</v>
      </c>
      <c r="M60" s="2534"/>
      <c r="N60" s="2535" t="str">
        <f ca="1">NUMBERSTRING(INT(N59*10000),2)&amp;"元整"</f>
        <v>柒拾万元整</v>
      </c>
      <c r="O60" s="2536"/>
    </row>
    <row r="61" spans="1:35" ht="13.5" thickBot="1">
      <c r="A61" s="3586" t="s">
        <v>1373</v>
      </c>
      <c r="B61" s="3586"/>
      <c r="C61" s="3586"/>
      <c r="D61" s="3586"/>
      <c r="E61" s="3586"/>
      <c r="F61" s="1808"/>
      <c r="G61" s="1808"/>
      <c r="H61" s="1810"/>
      <c r="I61" s="129"/>
      <c r="J61" s="2523">
        <f>J59+1</f>
        <v>7</v>
      </c>
      <c r="K61" s="3638" t="s">
        <v>1374</v>
      </c>
      <c r="L61" s="3638"/>
      <c r="M61" s="2540"/>
      <c r="N61" s="2541">
        <f ca="1">ROUND(N59*10000/'数据-汇总表'!E3,0)</f>
        <v>7941</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158</v>
      </c>
      <c r="D63" s="167"/>
      <c r="E63" s="168"/>
      <c r="F63" s="1808"/>
      <c r="G63" s="1808"/>
      <c r="H63" s="1810"/>
      <c r="I63" s="129"/>
      <c r="J63" s="3663" t="s">
        <v>1379</v>
      </c>
      <c r="K63" s="1332" t="s">
        <v>1380</v>
      </c>
      <c r="L63" s="1332">
        <f ca="1">IF(M49&gt;10000,M49*0.5%,IF(AND(M49&gt;1000,M49&lt;=10000),M49*1%,IF(AND(M49&gt;100,M49&lt;=1000),M49*3%,IF(AND(M49&gt;10,M49&lt;=100),M49*5%,M49*8%))))</f>
        <v>4.9799999999999995</v>
      </c>
      <c r="M63" s="302">
        <f ca="1">ROUND(L63,1)</f>
        <v>5</v>
      </c>
      <c r="N63" s="2543"/>
      <c r="Z63" s="1752"/>
      <c r="AI63" s="1753"/>
    </row>
    <row r="64" spans="1:35" ht="14.25" customHeight="1">
      <c r="A64" s="169" t="s">
        <v>325</v>
      </c>
      <c r="B64" s="170" t="s">
        <v>1381</v>
      </c>
      <c r="C64" s="2565">
        <f ca="1">D45</f>
        <v>166</v>
      </c>
      <c r="D64" s="170" t="s">
        <v>26</v>
      </c>
      <c r="E64" s="172"/>
      <c r="F64" s="1808"/>
      <c r="G64" s="1808"/>
      <c r="H64" s="1810"/>
      <c r="I64" s="129"/>
      <c r="J64" s="3663"/>
      <c r="K64" s="1332" t="s">
        <v>1382</v>
      </c>
      <c r="L64" s="1332">
        <f ca="1">IF(M49&gt;2000,M49*0.5%,IF(AND(M49&gt;1000,M49&lt;=2000),M49*0.6%,IF(AND(M49&gt;500,M49&lt;=1000),M49*0.7%,IF(AND(M49&gt;200,M49&lt;=500),M49*0.8%,IF(AND(M49&gt;100,M49&lt;=200),M49*0.9%,IF(AND(M49&gt;50,M49&lt;=100),M49*1%,IF(AND(M49&gt;20,M49&lt;=50),M49*1.5%,IF(AND(M49&gt;10,M49&lt;=20),M49*2%,IF(AND(M49&gt;1,M49&lt;=10),M49*2.5%)))))))))</f>
        <v>1.4940000000000002</v>
      </c>
      <c r="M64" s="302">
        <f t="shared" ref="M64:M65" ca="1" si="1">ROUND(L64,1)</f>
        <v>1.5</v>
      </c>
      <c r="N64" s="2544" t="s">
        <v>1383</v>
      </c>
      <c r="Z64" s="1752"/>
      <c r="AI64" s="1753"/>
    </row>
    <row r="65" spans="1:35" ht="14.25" customHeight="1">
      <c r="A65" s="169" t="s">
        <v>326</v>
      </c>
      <c r="B65" s="170" t="s">
        <v>1384</v>
      </c>
      <c r="C65" s="2566"/>
      <c r="D65" s="170"/>
      <c r="E65" s="172"/>
      <c r="F65" s="1808"/>
      <c r="G65" s="1808"/>
      <c r="H65" s="1810"/>
      <c r="I65" s="129"/>
      <c r="J65" s="3663"/>
      <c r="K65" s="1332" t="s">
        <v>1385</v>
      </c>
      <c r="L65" s="1332">
        <f ca="1">IF(M49&gt;1000,M49*0.1%,IF(AND(M49&gt;500,M49&lt;=1000),M49*0.5%,IF(AND(M49&gt;50,M49&lt;=500),M49*1%,IF(AND(M49&gt;1,M49&lt;=50),M49*1.5%))))</f>
        <v>1.6600000000000001</v>
      </c>
      <c r="M65" s="302">
        <f t="shared" ca="1" si="1"/>
        <v>1.7</v>
      </c>
      <c r="N65" s="2544" t="s">
        <v>1383</v>
      </c>
      <c r="Z65" s="1752"/>
      <c r="AI65" s="1753"/>
    </row>
    <row r="66" spans="1:35" ht="14.25" customHeight="1">
      <c r="A66" s="173" t="s">
        <v>327</v>
      </c>
      <c r="B66" s="174" t="s">
        <v>1386</v>
      </c>
      <c r="C66" s="2567"/>
      <c r="D66" s="174" t="s">
        <v>26</v>
      </c>
      <c r="E66" s="1338" t="s">
        <v>671</v>
      </c>
      <c r="F66" s="1808"/>
      <c r="G66" s="1808"/>
      <c r="H66" s="1810"/>
      <c r="I66" s="129"/>
      <c r="J66" s="3663"/>
      <c r="K66" s="1332" t="s">
        <v>1387</v>
      </c>
      <c r="L66" s="1332">
        <f ca="1">M49*0.5%</f>
        <v>0.83000000000000007</v>
      </c>
      <c r="M66" s="302">
        <f ca="1">IF(L66&gt;0.5,0.5,ROUND(L66,0))</f>
        <v>0.5</v>
      </c>
      <c r="N66" s="2544" t="s">
        <v>1388</v>
      </c>
      <c r="Z66" s="1752"/>
      <c r="AI66" s="1753"/>
    </row>
    <row r="67" spans="1:35" ht="14.25" customHeight="1">
      <c r="A67" s="173" t="s">
        <v>328</v>
      </c>
      <c r="B67" s="174" t="s">
        <v>1389</v>
      </c>
      <c r="C67" s="2568">
        <f ca="1">C63-C66</f>
        <v>158</v>
      </c>
      <c r="D67" s="170" t="s">
        <v>26</v>
      </c>
      <c r="E67" s="172"/>
      <c r="F67" s="1808"/>
      <c r="G67" s="1808"/>
      <c r="H67" s="1810"/>
      <c r="I67" s="129"/>
      <c r="J67" s="3663"/>
      <c r="K67" s="1332" t="s">
        <v>1390</v>
      </c>
      <c r="L67" s="1332">
        <f ca="1">IF(M49&gt;=10000,(8.25+(M49-10000)*0.01%),IF(AND(M49&gt;=8000,M49&lt;10000),(7.85+(M49-8000)*0.02%),IF(AND(M49&gt;=5000,M49&lt;8000),(6.65+(M49-5000)*0.04%),IF(AND(M49&gt;=2000,M49&lt;5000),(4.25+(PM49-2000)*0.08%),IF(AND(M49&gt;=1000,M49&lt;2000),(2.75+(M49-1000)*0.15%),IF(AND(M49&gt;=100,M49&lt;1000),(0.5+(M49-100)*0.25%),IF(AND(M49&gt;0,M49&lt;100),M49*0.5%)))))))</f>
        <v>0.66500000000000004</v>
      </c>
      <c r="M67" s="302">
        <f ca="1">ROUND(L67*0.9,1)</f>
        <v>0.6</v>
      </c>
      <c r="N67" s="2543"/>
      <c r="Z67" s="1752"/>
      <c r="AI67" s="1753"/>
    </row>
    <row r="68" spans="1:35" ht="14.25" customHeight="1" thickBot="1">
      <c r="A68" s="176" t="s">
        <v>329</v>
      </c>
      <c r="B68" s="177" t="s">
        <v>1391</v>
      </c>
      <c r="C68" s="2569">
        <f ca="1">IF(C67&lt;=0,0,ROUND(C67*D68,0))</f>
        <v>9</v>
      </c>
      <c r="D68" s="2570">
        <f>'数据-取费表'!B41</f>
        <v>5.6000000000000001E-2</v>
      </c>
      <c r="E68" s="178"/>
      <c r="F68" s="1808"/>
      <c r="G68" s="1808"/>
      <c r="H68" s="1810"/>
      <c r="I68" s="129"/>
      <c r="J68" s="3663"/>
      <c r="K68" s="1332" t="s">
        <v>1392</v>
      </c>
      <c r="L68" s="1332">
        <f ca="1">IF(M49&gt;10000,M49*0.5%,IF(AND(M49&gt;5000,M49&lt;=10000),M49*1%,IF(AND(M49&gt;1000,M49&lt;=5000),M49*2%,IF(AND(M49&gt;200,M49&lt;=1000),M49*3%,M49*5%))))</f>
        <v>8.3000000000000007</v>
      </c>
      <c r="M68" s="302">
        <f ca="1">ROUND(L68,1)</f>
        <v>8.3000000000000007</v>
      </c>
      <c r="N68" s="2543"/>
      <c r="Z68" s="1752"/>
      <c r="AI68" s="1753"/>
    </row>
    <row r="69" spans="1:35" s="1772" customFormat="1" ht="16.5" customHeight="1">
      <c r="A69" s="1811"/>
      <c r="B69" s="1812"/>
      <c r="C69" s="1813"/>
      <c r="D69" s="1814"/>
      <c r="E69" s="1815"/>
      <c r="F69" s="1578"/>
      <c r="G69" s="1578"/>
      <c r="H69" s="1577"/>
      <c r="I69" s="1747"/>
      <c r="J69" s="3663"/>
      <c r="K69" s="1332" t="s">
        <v>1393</v>
      </c>
      <c r="L69" s="1332"/>
      <c r="M69" s="302">
        <f ca="1">ROUND(SUM(M63:M68),0)</f>
        <v>18</v>
      </c>
      <c r="N69" s="2545">
        <f ca="1">M69/M49</f>
        <v>0.10843373493975904</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73"/>
      <c r="G76" s="3573"/>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83" t="s">
        <v>1406</v>
      </c>
      <c r="F78" s="3584"/>
      <c r="G78" s="3584"/>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157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5" t="s">
        <v>2129</v>
      </c>
      <c r="H90" s="366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9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83" t="s">
        <v>1406</v>
      </c>
      <c r="F93" s="3584"/>
      <c r="G93" s="3584"/>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4" t="s">
        <v>1426</v>
      </c>
      <c r="F94" s="3595"/>
      <c r="G94" s="3595"/>
      <c r="H94" s="359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5" t="str">
        <f>C4</f>
        <v>比较法-办公</v>
      </c>
      <c r="D101" s="2586" t="str">
        <f>D4</f>
        <v>收益法 (元)</v>
      </c>
      <c r="E101" s="3660" t="s">
        <v>1431</v>
      </c>
      <c r="F101" s="3617"/>
      <c r="G101" s="1827" t="s">
        <v>1432</v>
      </c>
      <c r="H101" s="2595">
        <f ca="1">H118</f>
        <v>166</v>
      </c>
      <c r="I101" s="129"/>
    </row>
    <row r="102" spans="1:35" ht="18.75" customHeight="1">
      <c r="A102" s="3619" t="s">
        <v>1433</v>
      </c>
      <c r="B102" s="2584" t="s">
        <v>1432</v>
      </c>
      <c r="C102" s="2585">
        <f ca="1">IF(D32="楼面单价",ROUND(C19,0),C19)</f>
        <v>163</v>
      </c>
      <c r="D102" s="2586">
        <f ca="1">IF(D32="楼面单价",ROUND(D19,0),D19)</f>
        <v>169</v>
      </c>
      <c r="E102" s="3660"/>
      <c r="F102" s="3617"/>
      <c r="G102" s="1827" t="s">
        <v>1434</v>
      </c>
      <c r="H102" s="2555">
        <f ca="1">I118</f>
        <v>18792</v>
      </c>
      <c r="I102" s="129"/>
    </row>
    <row r="103" spans="1:35" ht="42.75" customHeight="1">
      <c r="A103" s="3619"/>
      <c r="B103" s="2584" t="s">
        <v>1434</v>
      </c>
      <c r="C103" s="2587">
        <f ca="1">C20</f>
        <v>18450</v>
      </c>
      <c r="D103" s="2588">
        <f ca="1">D20</f>
        <v>19134</v>
      </c>
      <c r="E103" s="3654" t="s">
        <v>1435</v>
      </c>
      <c r="F103" s="3655"/>
      <c r="G103" s="1828" t="s">
        <v>1436</v>
      </c>
      <c r="H103" s="2595">
        <f>IF(D36="正常操作",H104+H105+H106,H105+H106)</f>
        <v>0</v>
      </c>
      <c r="I103" s="129"/>
    </row>
    <row r="104" spans="1:35" ht="18.75" customHeight="1">
      <c r="A104" s="3619" t="s">
        <v>1437</v>
      </c>
      <c r="B104" s="2589" t="s">
        <v>1432</v>
      </c>
      <c r="C104" s="2590">
        <f ca="1">H118</f>
        <v>166</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f ca="1">I118</f>
        <v>18792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6" t="str">
        <f>IF(项目基本情况!E8="已注销","——","3.房地产抵押价值")</f>
        <v>3.房地产抵押价值</v>
      </c>
      <c r="F107" s="3617"/>
      <c r="G107" s="1827" t="s">
        <v>1432</v>
      </c>
      <c r="H107" s="2595">
        <f ca="1">IF(E107="——","——",H101-H103)</f>
        <v>166</v>
      </c>
      <c r="I107" s="129"/>
    </row>
    <row r="108" spans="1:35" ht="18.75" customHeight="1">
      <c r="A108" s="129"/>
      <c r="B108" s="129"/>
      <c r="C108" s="129"/>
      <c r="D108" s="129"/>
      <c r="E108" s="3616"/>
      <c r="F108" s="3617"/>
      <c r="G108" s="1827" t="s">
        <v>1434</v>
      </c>
      <c r="H108" s="2555">
        <f ca="1">IF(H107=H101,H102,ROUND(H107*10000/'数据-汇总表'!E3,0))</f>
        <v>18792</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7" t="s">
        <v>1432</v>
      </c>
      <c r="H109" s="2598" t="str">
        <f>IF(E109="——","——",H101-H105-H106)</f>
        <v>——</v>
      </c>
      <c r="I109" s="129"/>
    </row>
    <row r="110" spans="1:35" ht="18.75" customHeight="1">
      <c r="A110" s="129"/>
      <c r="B110" s="129"/>
      <c r="C110" s="129"/>
      <c r="D110" s="129"/>
      <c r="E110" s="3616"/>
      <c r="F110" s="3617"/>
      <c r="G110" s="1827" t="s">
        <v>1434</v>
      </c>
      <c r="H110" s="2555"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7" t="s">
        <v>1432</v>
      </c>
      <c r="H111" s="2595" t="str">
        <f>IF(E111="——","——",N59)</f>
        <v>——</v>
      </c>
      <c r="I111" s="129"/>
    </row>
    <row r="112" spans="1:35" ht="18.75" customHeight="1" thickBot="1">
      <c r="A112" s="129"/>
      <c r="B112" s="129"/>
      <c r="C112" s="129"/>
      <c r="D112" s="129"/>
      <c r="E112" s="3649"/>
      <c r="F112" s="3650"/>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9" t="s">
        <v>1449</v>
      </c>
      <c r="E117" s="2329" t="s">
        <v>1450</v>
      </c>
      <c r="F117" s="2329" t="s">
        <v>1449</v>
      </c>
      <c r="G117" s="2329" t="s">
        <v>1451</v>
      </c>
      <c r="H117" s="2329" t="s">
        <v>1449</v>
      </c>
      <c r="I117" s="2329" t="s">
        <v>1451</v>
      </c>
    </row>
    <row r="118" spans="1:27" ht="24.75" customHeight="1">
      <c r="A118" s="2600" t="str">
        <f>项目基本情况!S2</f>
        <v>北京市通州区新华西街60号院2号楼22层2210商务办公用房房地产</v>
      </c>
      <c r="B118" s="2329">
        <f>M18</f>
        <v>88.15</v>
      </c>
      <c r="C118" s="2329">
        <f>M19</f>
        <v>0</v>
      </c>
      <c r="D118" s="2329">
        <f ca="1">ROUND(IF(D32="总价",C34,E118*B118/10000),0)</f>
        <v>78</v>
      </c>
      <c r="E118" s="2329">
        <f ca="1">ROUND(IF(C33="自定义",IF(D32="楼面单价",C34,D118*10000/B118),I118-G118),0)</f>
        <v>8813</v>
      </c>
      <c r="F118" s="2329">
        <f ca="1">ROUND(IF(D32="总价",C35,G118*B118/10000),0)</f>
        <v>88</v>
      </c>
      <c r="G118" s="2329">
        <f ca="1">ROUND(IF(D32="楼面单价",C35,F118*10000/B118),0)</f>
        <v>9979</v>
      </c>
      <c r="H118" s="2329">
        <f ca="1">ROUND(IF(D32="总价",C32,I118*B118/10000),0)</f>
        <v>166</v>
      </c>
      <c r="I118" s="2329">
        <f ca="1">ROUND(IF(D32="楼面单价",C32,H118*10000/B118),0)</f>
        <v>18792</v>
      </c>
    </row>
    <row r="119" spans="1:27" ht="18.75" customHeight="1">
      <c r="A119" s="3587" t="s">
        <v>1452</v>
      </c>
      <c r="B119" s="3587"/>
      <c r="C119" s="3587"/>
      <c r="D119" s="3627" t="str">
        <f ca="1">NUMBERSTRING(INT(D118*10000),2)&amp;"元整"</f>
        <v>柒拾捌万元整</v>
      </c>
      <c r="E119" s="3629"/>
      <c r="F119" s="3627" t="str">
        <f ca="1">NUMBERSTRING(INT(F118*10000),2)&amp;"元整"</f>
        <v>捌拾捌万元整</v>
      </c>
      <c r="G119" s="3629"/>
      <c r="H119" s="3627" t="str">
        <f ca="1">NUMBERSTRING(INT(H118*10000),2)&amp;"元整"</f>
        <v>壹佰陆拾陆万元整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房地产抵押价值</v>
      </c>
      <c r="B122" s="3618"/>
      <c r="C122" s="3618"/>
      <c r="D122" s="3651">
        <f ca="1">H107</f>
        <v>166</v>
      </c>
      <c r="E122" s="3652"/>
      <c r="F122" s="3652"/>
      <c r="G122" s="3652"/>
      <c r="H122" s="3652"/>
      <c r="I122" s="3653"/>
      <c r="AA122" s="725"/>
    </row>
    <row r="123" spans="1:27" ht="18.75" customHeight="1">
      <c r="A123" s="3587" t="s">
        <v>1452</v>
      </c>
      <c r="B123" s="3587"/>
      <c r="C123" s="3587"/>
      <c r="D123" s="3627" t="str">
        <f ca="1">NUMBERSTRING(INT(D122*10000),2)&amp;"元整"</f>
        <v>壹佰陆拾陆万元整</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7374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88.15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88.15</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88.15</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5.9999999999999995E-4</v>
      </c>
      <c r="D44" s="238"/>
      <c r="E44" s="238"/>
      <c r="F44" s="239"/>
      <c r="G44" s="3669"/>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76</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63</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北京市通州区新华西街60号院2号楼22层2210商务办公用房房地产抵押价值预评估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66.471100000000007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7541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17630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17630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17630</v>
      </c>
      <c r="D10" s="845">
        <f ca="1">IF(B1="",'数据-汇总表'!E6,IF(INDIRECT("'数据-取费表'!c"&amp;$G$1)="住宅",INDIRECT("'数据-取费表'!s"&amp;$G$1),INDIRECT("'数据-取费表'!k"&amp;$G$1)+INDIRECT("'数据-取费表'!s"&amp;$G$1)))</f>
        <v>88.15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17630</v>
      </c>
      <c r="D19" s="849">
        <f ca="1">D9+D10</f>
        <v>88.15</v>
      </c>
      <c r="E19" s="211">
        <f>'数据-取费表'!B31</f>
        <v>200</v>
      </c>
      <c r="F19" s="231"/>
      <c r="G19" s="1856"/>
    </row>
    <row r="20" spans="1:7" s="214" customFormat="1" ht="13.5" customHeight="1">
      <c r="A20" s="255" t="s">
        <v>1574</v>
      </c>
      <c r="B20" s="210" t="s">
        <v>1575</v>
      </c>
      <c r="C20" s="232">
        <f ca="1">ROUND((C5+C19)*F20,0)</f>
        <v>1058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2180</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1074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1074</v>
      </c>
      <c r="D24" s="238"/>
      <c r="E24" s="238"/>
      <c r="F24" s="239"/>
      <c r="G24" s="240" t="s">
        <v>1586</v>
      </c>
    </row>
    <row r="25" spans="1:7" s="214" customFormat="1" ht="24">
      <c r="A25" s="780" t="s">
        <v>1476</v>
      </c>
      <c r="B25" s="215" t="s">
        <v>1587</v>
      </c>
      <c r="C25" s="1128">
        <f ca="1">ROUND(IF('数据-取费表'!B22&lt;=1,C20*F22*'数据-取费表'!B22/2,C20*(POWER((1+F22),'数据-取费表'!B22/2)-1)),0)</f>
        <v>32</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5448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5448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47607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564689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511270</v>
      </c>
      <c r="D34" s="217"/>
      <c r="E34" s="220"/>
      <c r="F34" s="257"/>
      <c r="G34" s="219"/>
    </row>
    <row r="35" spans="1:7" ht="13.5" customHeight="1">
      <c r="A35" s="780" t="s">
        <v>351</v>
      </c>
      <c r="B35" s="215" t="s">
        <v>1527</v>
      </c>
      <c r="C35" s="220">
        <f ca="1">ROUND(C34*F35,0)</f>
        <v>25564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17630</v>
      </c>
      <c r="D37" s="217">
        <f ca="1">D19</f>
        <v>88.15</v>
      </c>
      <c r="E37" s="249">
        <f>'数据-取费表'!B35</f>
        <v>200</v>
      </c>
      <c r="F37" s="259"/>
      <c r="G37" s="261"/>
    </row>
    <row r="38" spans="1:7" ht="13.5" customHeight="1">
      <c r="A38" s="780" t="s">
        <v>354</v>
      </c>
      <c r="B38" s="215" t="s">
        <v>1533</v>
      </c>
      <c r="C38" s="220">
        <f ca="1">ROUND(C34*F38,0)</f>
        <v>10225</v>
      </c>
      <c r="D38" s="220"/>
      <c r="E38" s="220"/>
      <c r="F38" s="259">
        <f>'数据-取费表'!B36</f>
        <v>0.02</v>
      </c>
      <c r="G38" s="219" t="s">
        <v>1528</v>
      </c>
    </row>
    <row r="39" spans="1:7" s="214" customFormat="1" ht="13.5" customHeight="1">
      <c r="A39" s="255" t="s">
        <v>1534</v>
      </c>
      <c r="B39" s="210" t="s">
        <v>1535</v>
      </c>
      <c r="C39" s="232">
        <f ca="1">ROUND(C33*F20,0)</f>
        <v>16941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17449</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16941</v>
      </c>
      <c r="D42" s="238"/>
      <c r="E42" s="238"/>
      <c r="F42" s="239"/>
      <c r="G42" s="3667" t="s">
        <v>1591</v>
      </c>
    </row>
    <row r="43" spans="1:7" ht="13.5" customHeight="1">
      <c r="A43" s="780" t="s">
        <v>347</v>
      </c>
      <c r="B43" s="215" t="s">
        <v>1545</v>
      </c>
      <c r="C43" s="238">
        <f ca="1">ROUND(IF('数据-取费表'!B22&lt;=1,C39*F22*'数据-取费表'!B20/2,C39*(POWER((1+F22),'数据-取费表'!B20/2)-1)),0)</f>
        <v>508</v>
      </c>
      <c r="D43" s="238"/>
      <c r="E43" s="238"/>
      <c r="F43" s="239"/>
      <c r="G43" s="3668"/>
    </row>
    <row r="44" spans="1:7" ht="13.5" customHeight="1">
      <c r="A44" s="780" t="s">
        <v>348</v>
      </c>
      <c r="B44" s="215" t="s">
        <v>1546</v>
      </c>
      <c r="C44" s="238">
        <f ca="1">ROUND(IF('数据-取费表'!B22&lt;=1,C40*F22*'数据-取费表'!B20/2,C40*(POWER((1+F22),'数据-取费表'!B20/2)-1)),4)</f>
        <v>5.9999999999999995E-4</v>
      </c>
      <c r="D44" s="238"/>
      <c r="E44" s="238"/>
      <c r="F44" s="239"/>
      <c r="G44" s="3669"/>
    </row>
    <row r="45" spans="1:7" s="214" customFormat="1" ht="13.5" customHeight="1">
      <c r="A45" s="255" t="s">
        <v>1547</v>
      </c>
      <c r="B45" s="244" t="s">
        <v>1513</v>
      </c>
      <c r="C45" s="245">
        <f ca="1">C46</f>
        <v>87245</v>
      </c>
      <c r="D45" s="235">
        <f ca="1">C47</f>
        <v>3.0000000000000001E-3</v>
      </c>
      <c r="E45" s="236" t="s">
        <v>1539</v>
      </c>
      <c r="F45" s="246">
        <f ca="1">F27</f>
        <v>0.15</v>
      </c>
      <c r="G45" s="247" t="s">
        <v>1548</v>
      </c>
    </row>
    <row r="46" spans="1:7" s="214" customFormat="1" ht="13.5" customHeight="1">
      <c r="A46" s="780" t="s">
        <v>346</v>
      </c>
      <c r="B46" s="248" t="s">
        <v>1549</v>
      </c>
      <c r="C46" s="249">
        <f ca="1">ROUND((C33+C39)*F27,0)</f>
        <v>87245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743499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617104</v>
      </c>
      <c r="D51" s="232"/>
      <c r="E51" s="232"/>
      <c r="F51" s="264"/>
      <c r="G51" s="234" t="s">
        <v>1560</v>
      </c>
    </row>
    <row r="52" spans="1:7" s="208" customFormat="1" ht="16.5" thickBot="1">
      <c r="A52" s="265" t="s">
        <v>1561</v>
      </c>
      <c r="B52" s="266"/>
      <c r="C52" s="267">
        <f ca="1">C31+C51</f>
        <v>664711</v>
      </c>
      <c r="D52" s="266"/>
      <c r="E52" s="266"/>
      <c r="F52" s="266"/>
      <c r="G52" s="268"/>
    </row>
    <row r="55" spans="1:7" ht="15">
      <c r="B55" s="270" t="s">
        <v>1562</v>
      </c>
      <c r="C55" s="271"/>
    </row>
    <row r="56" spans="1:7">
      <c r="B56" s="273" t="s">
        <v>802</v>
      </c>
      <c r="C56" s="275">
        <f ca="1">1-C57</f>
        <v>7.1999999999999953E-2</v>
      </c>
    </row>
    <row r="57" spans="1:7">
      <c r="B57" s="273" t="s">
        <v>803</v>
      </c>
      <c r="C57" s="274">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-227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88.15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0</v>
      </c>
      <c r="D6" s="155" t="s">
        <v>2109</v>
      </c>
      <c r="E6" s="302" t="s">
        <v>696</v>
      </c>
      <c r="F6" s="303">
        <f ca="1">INDIRECT("'数据-取费表'!u"&amp;$G$1)</f>
        <v>0</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682"/>
      <c r="B4" s="3683"/>
      <c r="C4" s="3683"/>
      <c r="D4" s="3684"/>
      <c r="E4" s="3684"/>
      <c r="F4" s="3684"/>
      <c r="G4" s="3684"/>
      <c r="H4" s="3684"/>
      <c r="I4" s="3684"/>
      <c r="J4" s="368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79" t="s">
        <v>1960</v>
      </c>
      <c r="X8" s="368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8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86" t="s">
        <v>3254</v>
      </c>
      <c r="B20" s="167" t="s">
        <v>1994</v>
      </c>
      <c r="C20" s="3325" t="e">
        <f>ROUND(IF(F21="与级别开发程度一致",0,(G21-E21)/C21),0)</f>
        <v>#DIV/0!</v>
      </c>
      <c r="D20" s="3341" t="s">
        <v>1998</v>
      </c>
      <c r="E20" s="3342"/>
      <c r="F20" s="3692" t="s">
        <v>1995</v>
      </c>
      <c r="G20" s="369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68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45870</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0"/>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1"/>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91"/>
      <c r="B39" s="2041" t="s">
        <v>3259</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8" t="s">
        <v>3294</v>
      </c>
      <c r="B103" s="3688"/>
      <c r="C103" s="3688"/>
      <c r="D103" s="3688"/>
      <c r="E103" s="3688"/>
      <c r="F103" s="3688"/>
      <c r="G103" s="3688"/>
      <c r="H103" s="3688"/>
      <c r="I103" s="3688"/>
      <c r="J103" s="3688"/>
      <c r="K103" s="3390"/>
      <c r="L103" s="3390"/>
      <c r="M103" s="3390"/>
      <c r="N103" s="3390"/>
    </row>
    <row r="104" spans="1:14">
      <c r="A104" s="3689" t="s">
        <v>3295</v>
      </c>
      <c r="B104" s="3689" t="s">
        <v>3296</v>
      </c>
      <c r="C104" s="3391" t="s">
        <v>3297</v>
      </c>
      <c r="D104" s="3392"/>
      <c r="E104" s="3392"/>
      <c r="F104" s="3392"/>
      <c r="G104" s="3392"/>
      <c r="H104" s="3392"/>
      <c r="I104" s="3392"/>
      <c r="J104" s="3393"/>
      <c r="K104" s="3394"/>
      <c r="L104" s="3394"/>
      <c r="M104" s="3394"/>
      <c r="N104" s="3394"/>
    </row>
    <row r="105" spans="1:14">
      <c r="A105" s="3689"/>
      <c r="B105" s="368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7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8" t="s">
        <v>3311</v>
      </c>
      <c r="B113" s="3678"/>
      <c r="C113" s="3678"/>
      <c r="D113" s="3678"/>
      <c r="E113" s="3678"/>
      <c r="F113" s="3678"/>
      <c r="G113" s="3678"/>
      <c r="H113" s="3678"/>
      <c r="I113" s="3678"/>
      <c r="J113" s="36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70" zoomScaleSheetLayoutView="90" workbookViewId="0">
      <selection activeCell="M46" sqref="M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3440</v>
      </c>
      <c r="F1" s="1879" t="s">
        <v>3441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162.63679999999999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18450</v>
      </c>
      <c r="C3" s="354" t="s">
        <v>1768</v>
      </c>
      <c r="D3" s="353">
        <f>IF(D1="",'数据-汇总表'!E3,SUMIF('数据-汇总表'!$C19:$C33,D1,'数据-汇总表'!$E19:$E33))</f>
        <v>88.15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958"/>
      <c r="Y4" s="3722" t="s">
        <v>1775</v>
      </c>
      <c r="Z4" s="3723"/>
      <c r="AA4" s="3740" t="s">
        <v>1771</v>
      </c>
      <c r="AB4" s="3740" t="s">
        <v>1772</v>
      </c>
      <c r="AC4" s="3709" t="s">
        <v>1773</v>
      </c>
    </row>
    <row r="5" spans="1:29" ht="15">
      <c r="A5" s="358"/>
      <c r="B5" s="359"/>
      <c r="C5" s="3732" t="s">
        <v>1673</v>
      </c>
      <c r="D5" s="3733"/>
      <c r="E5" s="3743" t="s">
        <v>1674</v>
      </c>
      <c r="F5" s="3744"/>
      <c r="G5" s="3732" t="s">
        <v>1675</v>
      </c>
      <c r="H5" s="3733"/>
      <c r="I5" s="3732" t="s">
        <v>1676</v>
      </c>
      <c r="J5" s="3733"/>
      <c r="K5" s="559"/>
      <c r="L5" s="2715"/>
      <c r="M5" s="2716"/>
      <c r="N5" s="2716"/>
      <c r="O5" s="2716"/>
      <c r="P5" s="3718"/>
      <c r="Q5" s="3719"/>
      <c r="R5" s="3724"/>
      <c r="S5" s="3725"/>
      <c r="T5" s="3724"/>
      <c r="U5" s="3725"/>
      <c r="V5" s="3729"/>
      <c r="W5" s="3729"/>
      <c r="X5" s="1355"/>
      <c r="Y5" s="3724"/>
      <c r="Z5" s="3725"/>
      <c r="AA5" s="3741"/>
      <c r="AB5" s="3741"/>
      <c r="AC5" s="3710"/>
    </row>
    <row r="6" spans="1:29" ht="15.75" thickBot="1">
      <c r="A6" s="360"/>
      <c r="B6" s="361"/>
      <c r="C6" s="3730" t="s">
        <v>1677</v>
      </c>
      <c r="D6" s="3731"/>
      <c r="E6" s="3738" t="s">
        <v>1677</v>
      </c>
      <c r="F6" s="3739"/>
      <c r="G6" s="3730" t="s">
        <v>1677</v>
      </c>
      <c r="H6" s="3731"/>
      <c r="I6" s="3730" t="s">
        <v>1677</v>
      </c>
      <c r="J6" s="3731"/>
      <c r="K6" s="559" t="s">
        <v>1678</v>
      </c>
      <c r="L6" s="2715"/>
      <c r="M6" s="2716"/>
      <c r="N6" s="2716"/>
      <c r="O6" s="2716"/>
      <c r="P6" s="3720"/>
      <c r="Q6" s="3721"/>
      <c r="R6" s="3724"/>
      <c r="S6" s="3725"/>
      <c r="T6" s="3726"/>
      <c r="U6" s="3727"/>
      <c r="V6" s="3729"/>
      <c r="W6" s="3729"/>
      <c r="X6" s="1355"/>
      <c r="Y6" s="3726"/>
      <c r="Z6" s="3727"/>
      <c r="AA6" s="3742"/>
      <c r="AB6" s="3742"/>
      <c r="AC6" s="3711"/>
    </row>
    <row r="7" spans="1:29" s="108" customFormat="1" ht="15.75" thickBot="1">
      <c r="A7" s="362" t="s">
        <v>1679</v>
      </c>
      <c r="B7" s="363"/>
      <c r="C7" s="364">
        <f>'数据-取费表'!B2</f>
        <v>45870</v>
      </c>
      <c r="D7" s="365">
        <v>100</v>
      </c>
      <c r="E7" s="366">
        <f>C7</f>
        <v>45870</v>
      </c>
      <c r="F7" s="367">
        <f>SUMIF(59:59,YEAR(E7)&amp;"-"&amp;MONTH(E7),60:60)</f>
        <v>100</v>
      </c>
      <c r="G7" s="366">
        <f>C7</f>
        <v>45870</v>
      </c>
      <c r="H7" s="365">
        <f>SUMIF(59:59,YEAR(G7)&amp;"-"&amp;MONTH(G7),60:60)</f>
        <v>100</v>
      </c>
      <c r="I7" s="366">
        <f>C7</f>
        <v>45870</v>
      </c>
      <c r="J7" s="365">
        <f>SUMIF(59:59,YEAR(I7)&amp;"-"&amp;MONTH(I7),60:60)</f>
        <v>100</v>
      </c>
      <c r="K7" s="560"/>
      <c r="L7" s="2717"/>
      <c r="M7" s="2718"/>
      <c r="N7" s="2718"/>
      <c r="O7" s="2718"/>
      <c r="P7" s="3734" t="s">
        <v>1680</v>
      </c>
      <c r="Q7" s="3737"/>
      <c r="R7" s="701" t="s">
        <v>14</v>
      </c>
      <c r="S7" s="702">
        <f t="shared" ref="S7:S15" si="0">F7</f>
        <v>100</v>
      </c>
      <c r="T7" s="701" t="s">
        <v>14</v>
      </c>
      <c r="U7" s="702">
        <f t="shared" ref="U7:U15" si="1">H7</f>
        <v>100</v>
      </c>
      <c r="V7" s="701" t="s">
        <v>14</v>
      </c>
      <c r="W7" s="702">
        <f t="shared" ref="W7:W15" si="2">J7</f>
        <v>100</v>
      </c>
      <c r="X7" s="703"/>
      <c r="Y7" s="3736" t="s">
        <v>1680</v>
      </c>
      <c r="Z7" s="3735"/>
      <c r="AA7" s="704">
        <f>D7/F7</f>
        <v>1</v>
      </c>
      <c r="AB7" s="704">
        <f>D7/H7</f>
        <v>1</v>
      </c>
      <c r="AC7" s="1959">
        <f>D7/J7</f>
        <v>1</v>
      </c>
    </row>
    <row r="8" spans="1:29" s="108" customFormat="1" ht="15.75" thickBot="1">
      <c r="A8" s="362" t="s">
        <v>1681</v>
      </c>
      <c r="B8" s="363"/>
      <c r="C8" s="368" t="s">
        <v>3442</v>
      </c>
      <c r="D8" s="365">
        <v>100</v>
      </c>
      <c r="E8" s="368" t="s">
        <v>3444</v>
      </c>
      <c r="F8" s="367">
        <f>SUMIF(62:62,E8,63:63)-SUMIF(62:62,C8,63:63)+100</f>
        <v>105</v>
      </c>
      <c r="G8" s="368" t="s">
        <v>3444</v>
      </c>
      <c r="H8" s="365">
        <f>SUMIF(62:62,G8,63:63)-SUMIF(62:62,C8,63:63)+100</f>
        <v>105</v>
      </c>
      <c r="I8" s="368" t="s">
        <v>3444</v>
      </c>
      <c r="J8" s="365">
        <f>SUMIF(62:62,I8,63:63)-SUMIF(62:62,C8,63:63)+100</f>
        <v>105</v>
      </c>
      <c r="K8" s="560"/>
      <c r="L8" s="2717"/>
      <c r="M8" s="2718"/>
      <c r="N8" s="2718"/>
      <c r="O8" s="2718"/>
      <c r="P8" s="3734" t="s">
        <v>1683</v>
      </c>
      <c r="Q8" s="3735"/>
      <c r="R8" s="701" t="s">
        <v>14</v>
      </c>
      <c r="S8" s="702">
        <f t="shared" si="0"/>
        <v>105</v>
      </c>
      <c r="T8" s="701" t="s">
        <v>14</v>
      </c>
      <c r="U8" s="702">
        <f t="shared" si="1"/>
        <v>105</v>
      </c>
      <c r="V8" s="701" t="s">
        <v>14</v>
      </c>
      <c r="W8" s="702">
        <f t="shared" si="2"/>
        <v>105</v>
      </c>
      <c r="X8" s="703"/>
      <c r="Y8" s="3736" t="s">
        <v>1683</v>
      </c>
      <c r="Z8" s="3735"/>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78" t="s">
        <v>3443</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9">
        <f t="shared" si="5"/>
        <v>1</v>
      </c>
    </row>
    <row r="10" spans="1:29" s="378" customFormat="1" ht="27">
      <c r="A10" s="374"/>
      <c r="B10" s="375" t="s">
        <v>1688</v>
      </c>
      <c r="C10" s="3434">
        <f>项目基本情况!E15</f>
        <v>37.44</v>
      </c>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0"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1"/>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1"/>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1"/>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1"/>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1"/>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1"/>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1"/>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1"/>
      <c r="Q26" s="1352"/>
      <c r="R26" s="705"/>
      <c r="S26" s="706"/>
      <c r="T26" s="705"/>
      <c r="U26" s="706"/>
      <c r="V26" s="705"/>
      <c r="W26" s="706"/>
      <c r="X26" s="1355"/>
      <c r="Y26" s="3703"/>
      <c r="Z26" s="1356"/>
      <c r="AA26" s="1353">
        <v>1</v>
      </c>
      <c r="AB26" s="1353">
        <v>1</v>
      </c>
      <c r="AC26" s="1962">
        <v>1</v>
      </c>
    </row>
    <row r="27" spans="1:29" ht="15">
      <c r="A27" s="379"/>
      <c r="B27" s="580" t="s">
        <v>1783</v>
      </c>
      <c r="C27" s="582" t="s">
        <v>3472</v>
      </c>
      <c r="D27" s="386">
        <v>100</v>
      </c>
      <c r="E27" s="565" t="s">
        <v>3474</v>
      </c>
      <c r="F27" s="386">
        <f>SUMIF(89:89,E27,90:90)-SUMIF(89:89,C27,90:90)+100</f>
        <v>98</v>
      </c>
      <c r="G27" s="582" t="s">
        <v>3476</v>
      </c>
      <c r="H27" s="386">
        <f>SUMIF(89:89,G27,90:90)-SUMIF(89:89,C27,90:90)+100</f>
        <v>96</v>
      </c>
      <c r="I27" s="565" t="s">
        <v>3476</v>
      </c>
      <c r="J27" s="386">
        <f>SUMIF(89:89,I27,90:90)-SUMIF(89:89,C27,90:90)+100</f>
        <v>96</v>
      </c>
      <c r="K27" s="561">
        <v>2</v>
      </c>
      <c r="L27" s="2722"/>
      <c r="M27" s="2716"/>
      <c r="N27" s="2716"/>
      <c r="O27" s="2716"/>
      <c r="P27" s="3701"/>
      <c r="Q27" s="1352" t="str">
        <f t="shared" ref="Q27:Q47" si="11">B27</f>
        <v>楼层</v>
      </c>
      <c r="R27" s="705" t="s">
        <v>14</v>
      </c>
      <c r="S27" s="706">
        <f>F27</f>
        <v>98</v>
      </c>
      <c r="T27" s="705" t="s">
        <v>14</v>
      </c>
      <c r="U27" s="706">
        <f>H27</f>
        <v>96</v>
      </c>
      <c r="V27" s="705" t="s">
        <v>14</v>
      </c>
      <c r="W27" s="706">
        <f>J27</f>
        <v>96</v>
      </c>
      <c r="X27" s="1355"/>
      <c r="Y27" s="3703"/>
      <c r="Z27" s="1356" t="str">
        <f>Q27</f>
        <v>楼层</v>
      </c>
      <c r="AA27" s="1353">
        <f t="shared" si="3"/>
        <v>1.0204081632653061</v>
      </c>
      <c r="AB27" s="1353">
        <f t="shared" si="4"/>
        <v>1.0416666666666667</v>
      </c>
      <c r="AC27" s="1962">
        <f t="shared" si="5"/>
        <v>1.0416666666666667</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1"/>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1"/>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t="s">
        <v>3451</v>
      </c>
      <c r="D33" s="418">
        <v>100</v>
      </c>
      <c r="E33" s="1967" t="s">
        <v>3451</v>
      </c>
      <c r="F33" s="412">
        <f>SUMIF(101:101,E33,102:102)-SUMIF(101:101,C33,102:102)+100</f>
        <v>100</v>
      </c>
      <c r="G33" s="1967" t="s">
        <v>3451</v>
      </c>
      <c r="H33" s="386">
        <f>SUMIF(101:101,G33,102:102)-SUMIF(101:101,C33,102:102)+100</f>
        <v>100</v>
      </c>
      <c r="I33" s="1967" t="s">
        <v>3451</v>
      </c>
      <c r="J33" s="418">
        <f>SUMIF(101:101,I33,102:102)-SUMIF(101:101,C33,102:102)+100</f>
        <v>100</v>
      </c>
      <c r="K33" s="561">
        <v>3</v>
      </c>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88.15</v>
      </c>
      <c r="D34" s="127">
        <v>100</v>
      </c>
      <c r="E34" s="381">
        <v>87.04</v>
      </c>
      <c r="F34" s="376">
        <f>LOOKUP(E34,104:104,105:105)-LOOKUP(C34,104:104,105:105)+100</f>
        <v>100</v>
      </c>
      <c r="G34" s="380">
        <v>109.1</v>
      </c>
      <c r="H34" s="127">
        <f>LOOKUP(G34,104:104,105:105)-LOOKUP(C34,104:104,105:105)+100</f>
        <v>100</v>
      </c>
      <c r="I34" s="380">
        <v>109.52</v>
      </c>
      <c r="J34" s="127">
        <f>LOOKUP(I34,104:104,105:105)-LOOKUP(C34,104:104,105:105)+100</f>
        <v>100</v>
      </c>
      <c r="K34" s="562"/>
      <c r="L34" s="2721"/>
      <c r="M34" s="2723"/>
      <c r="N34" s="2723"/>
      <c r="O34" s="2723"/>
      <c r="P34" s="3705"/>
      <c r="Q34" s="707" t="str">
        <f t="shared" si="11"/>
        <v>项目建筑规模</v>
      </c>
      <c r="R34" s="708" t="s">
        <v>14</v>
      </c>
      <c r="S34" s="709">
        <f t="shared" si="12"/>
        <v>100</v>
      </c>
      <c r="T34" s="708" t="s">
        <v>14</v>
      </c>
      <c r="U34" s="709">
        <f t="shared" si="13"/>
        <v>100</v>
      </c>
      <c r="V34" s="708" t="s">
        <v>14</v>
      </c>
      <c r="W34" s="709">
        <f t="shared" si="14"/>
        <v>100</v>
      </c>
      <c r="X34" s="710"/>
      <c r="Y34" s="3707"/>
      <c r="Z34" s="711" t="str">
        <f t="shared" si="15"/>
        <v>项目建筑规模</v>
      </c>
      <c r="AA34" s="1353">
        <f t="shared" si="3"/>
        <v>1</v>
      </c>
      <c r="AB34" s="1353">
        <f t="shared" si="4"/>
        <v>1</v>
      </c>
      <c r="AC34" s="1962">
        <f t="shared" si="5"/>
        <v>1</v>
      </c>
    </row>
    <row r="35" spans="1:29" ht="15">
      <c r="A35" s="423"/>
      <c r="B35" s="375" t="s">
        <v>1698</v>
      </c>
      <c r="C35" s="411" t="s">
        <v>3434</v>
      </c>
      <c r="D35" s="386">
        <v>100</v>
      </c>
      <c r="E35" s="411" t="s">
        <v>3434</v>
      </c>
      <c r="F35" s="412">
        <f>SUMIF(106:106,E35,107:107)-SUMIF(106:106,C35,107:107)+100</f>
        <v>100</v>
      </c>
      <c r="G35" s="411" t="s">
        <v>3434</v>
      </c>
      <c r="H35" s="386">
        <f>SUMIF(106:106,G35,107:107)-SUMIF(106:106,C35,107:107)+100</f>
        <v>100</v>
      </c>
      <c r="I35" s="411" t="s">
        <v>3434</v>
      </c>
      <c r="J35" s="386">
        <f>SUMIF(106:106,I35,107:107)-SUMIF(106:106,C35,107:107)+100</f>
        <v>100</v>
      </c>
      <c r="K35" s="561">
        <v>1</v>
      </c>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t="s">
        <v>3454</v>
      </c>
      <c r="D36" s="386">
        <v>100</v>
      </c>
      <c r="E36" s="411" t="s">
        <v>3454</v>
      </c>
      <c r="F36" s="412">
        <f>SUMIF(108:108,E36,109:109)-SUMIF(108:108,C36,109:109)+100</f>
        <v>100</v>
      </c>
      <c r="G36" s="411" t="s">
        <v>3454</v>
      </c>
      <c r="H36" s="386">
        <f>SUMIF(108:108,G36,109:109)-SUMIF(108:108,C36,109:109)+100</f>
        <v>100</v>
      </c>
      <c r="I36" s="411" t="s">
        <v>3454</v>
      </c>
      <c r="J36" s="386">
        <f>SUMIF(108:108,I36,109:109)-SUMIF(108:108,C36,109:109)+100</f>
        <v>100</v>
      </c>
      <c r="K36" s="561">
        <v>2</v>
      </c>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0.83</v>
      </c>
      <c r="H37" s="412">
        <f>LOOKUP(G37,111:111,112:112)-LOOKUP(C37,111:111,112:112)+100</f>
        <v>100</v>
      </c>
      <c r="I37" s="425">
        <v>0.83</v>
      </c>
      <c r="J37" s="386">
        <f>LOOKUP(I37,111:111,112:112)-LOOKUP(C37,111:111,112:112)+100</f>
        <v>100</v>
      </c>
      <c r="K37" s="561">
        <v>2</v>
      </c>
      <c r="L37" s="2722"/>
      <c r="M37" s="2716"/>
      <c r="N37" s="2716"/>
      <c r="O37" s="2716"/>
      <c r="P37" s="3705"/>
      <c r="Q37" s="1352" t="str">
        <f t="shared" si="11"/>
        <v>成新度</v>
      </c>
      <c r="R37" s="705" t="s">
        <v>14</v>
      </c>
      <c r="S37" s="706">
        <f t="shared" si="12"/>
        <v>100</v>
      </c>
      <c r="T37" s="705" t="s">
        <v>14</v>
      </c>
      <c r="U37" s="706">
        <f t="shared" si="13"/>
        <v>100</v>
      </c>
      <c r="V37" s="705" t="s">
        <v>14</v>
      </c>
      <c r="W37" s="706">
        <f t="shared" si="14"/>
        <v>100</v>
      </c>
      <c r="X37" s="1355"/>
      <c r="Y37" s="3707"/>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v>1</v>
      </c>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t="s">
        <v>3460</v>
      </c>
      <c r="D41" s="386">
        <v>100</v>
      </c>
      <c r="E41" s="565" t="s">
        <v>3460</v>
      </c>
      <c r="F41" s="412">
        <f>SUMIF(119:119,E41,120:120)-SUMIF(119:119,C41,120:120)+100</f>
        <v>100</v>
      </c>
      <c r="G41" s="565" t="s">
        <v>3460</v>
      </c>
      <c r="H41" s="386">
        <f>SUMIF(119:119,G41,120:120)-SUMIF(119:119,C41,120:120)+100</f>
        <v>100</v>
      </c>
      <c r="I41" s="565" t="s">
        <v>3460</v>
      </c>
      <c r="J41" s="386">
        <f>SUMIF(119:119,I41,120:120)-SUMIF(119:119,C41,120:120)+100</f>
        <v>100</v>
      </c>
      <c r="K41" s="561">
        <v>2</v>
      </c>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t="s">
        <v>3456</v>
      </c>
      <c r="D43" s="386">
        <v>100</v>
      </c>
      <c r="E43" s="411" t="s">
        <v>3456</v>
      </c>
      <c r="F43" s="412">
        <f>SUMIF(123:123,E43,124:124)-SUMIF(123:123,C43,124:124)+100</f>
        <v>100</v>
      </c>
      <c r="G43" s="411" t="s">
        <v>3456</v>
      </c>
      <c r="H43" s="386">
        <f>SUMIF(123:123,G43,124:124)-SUMIF(123:123,C43,124:124)+100</f>
        <v>100</v>
      </c>
      <c r="I43" s="411" t="s">
        <v>3456</v>
      </c>
      <c r="J43" s="386">
        <f>SUMIF(123:123,I43,124:124)-SUMIF(123:123,C43,124:124)+100</f>
        <v>100</v>
      </c>
      <c r="K43" s="561">
        <v>2</v>
      </c>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t="s">
        <v>3470</v>
      </c>
      <c r="D44" s="386">
        <v>100</v>
      </c>
      <c r="E44" s="411" t="s">
        <v>3470</v>
      </c>
      <c r="F44" s="412">
        <f>SUMIF(125:125,E44,126:126)-SUMIF(125:125,C44,126:126)+100</f>
        <v>100</v>
      </c>
      <c r="G44" s="411" t="s">
        <v>3470</v>
      </c>
      <c r="H44" s="386">
        <f>SUMIF(125:125,G44,126:126)-SUMIF(125:125,C44,126:126)+100</f>
        <v>100</v>
      </c>
      <c r="I44" s="411" t="s">
        <v>3470</v>
      </c>
      <c r="J44" s="386">
        <f>SUMIF(125:125,I44,126:126)-SUMIF(125:125,C44,126:126)+100</f>
        <v>100</v>
      </c>
      <c r="K44" s="561">
        <v>1</v>
      </c>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v>18383</v>
      </c>
      <c r="F48" s="1157"/>
      <c r="G48" s="1158">
        <v>19249</v>
      </c>
      <c r="H48" s="1159"/>
      <c r="I48" s="1156">
        <v>18536</v>
      </c>
      <c r="J48" s="436"/>
      <c r="K48" s="714"/>
      <c r="L48" s="2724"/>
      <c r="M48" s="2716"/>
      <c r="N48" s="2716"/>
      <c r="O48" s="2716"/>
      <c r="P48" s="3694" t="str">
        <f>A48</f>
        <v>成交单价（元/平方米）</v>
      </c>
      <c r="Q48" s="3695"/>
      <c r="R48" s="3696">
        <f>E48</f>
        <v>18383</v>
      </c>
      <c r="S48" s="3696"/>
      <c r="T48" s="3696">
        <f>G48</f>
        <v>19249</v>
      </c>
      <c r="U48" s="3696"/>
      <c r="V48" s="3696">
        <f>I48</f>
        <v>18536</v>
      </c>
      <c r="W48" s="3696"/>
      <c r="X48" s="397"/>
      <c r="Y48" s="712"/>
      <c r="Z48" s="397"/>
      <c r="AA48" s="397"/>
      <c r="AB48" s="397"/>
      <c r="AC48" s="578"/>
    </row>
    <row r="49" spans="1:29" ht="15.75" thickBot="1">
      <c r="A49" s="437" t="s">
        <v>1793</v>
      </c>
      <c r="B49" s="438"/>
      <c r="C49" s="1160">
        <f>R50</f>
        <v>18450</v>
      </c>
      <c r="D49" s="2317" t="s">
        <v>2138</v>
      </c>
      <c r="E49" s="1161">
        <f>R49</f>
        <v>17865</v>
      </c>
      <c r="F49" s="2318"/>
      <c r="G49" s="1160">
        <f>T49</f>
        <v>19096</v>
      </c>
      <c r="H49" s="2318"/>
      <c r="I49" s="1161">
        <f>V49</f>
        <v>18389</v>
      </c>
      <c r="J49" s="2318"/>
      <c r="K49" s="2320">
        <f>F49+H49+J49</f>
        <v>0</v>
      </c>
      <c r="L49" s="2724"/>
      <c r="M49" s="2716"/>
      <c r="N49" s="2716"/>
      <c r="O49" s="2716"/>
      <c r="P49" s="3694" t="str">
        <f>A49</f>
        <v>比较价值（元/平方米）</v>
      </c>
      <c r="Q49" s="3695"/>
      <c r="R49" s="3696">
        <f>IF(F1="售价",ROUND(PRODUCT(R48,AA7:AA47),0),ROUND(PRODUCT(R48,AA7:AA47),1))</f>
        <v>17865</v>
      </c>
      <c r="S49" s="3696"/>
      <c r="T49" s="3696">
        <f>IF(F1="售价",ROUND(PRODUCT(T48,AB7:AB47),0),ROUND(PRODUCT(T48,AB7:AB47),1))</f>
        <v>19096</v>
      </c>
      <c r="U49" s="3696"/>
      <c r="V49" s="3696">
        <f>IF(F1="售价",ROUND(PRODUCT(V48,AC7:AC47),0),ROUND(PRODUCT(V48,AC7:AC47),1))</f>
        <v>18389</v>
      </c>
      <c r="W49" s="3696"/>
      <c r="X49" s="397"/>
      <c r="Y49" s="397"/>
      <c r="Z49" s="397"/>
      <c r="AA49" s="397"/>
      <c r="AB49" s="397"/>
      <c r="AC49" s="578"/>
    </row>
    <row r="50" spans="1:29" ht="15.75" thickBot="1">
      <c r="A50" s="441" t="s">
        <v>1794</v>
      </c>
      <c r="B50" s="442"/>
      <c r="C50" s="1163">
        <f>R50</f>
        <v>18450</v>
      </c>
      <c r="D50" s="1163"/>
      <c r="E50" s="1163"/>
      <c r="F50" s="1163"/>
      <c r="G50" s="1163"/>
      <c r="H50" s="1163"/>
      <c r="I50" s="1163"/>
      <c r="J50" s="443"/>
      <c r="K50" s="715"/>
      <c r="L50" s="2724"/>
      <c r="M50" s="2716"/>
      <c r="N50" s="2716"/>
      <c r="O50" s="2716"/>
      <c r="P50" s="3697" t="str">
        <f>A50</f>
        <v>估价对象XX用房的比较价值（楼面单价，元/平方米）</v>
      </c>
      <c r="Q50" s="3698"/>
      <c r="R50" s="3699">
        <f>IF(F1="售价",ROUND(IF(D49="简单平均",AVERAGE(R49:V49),R49*F49+T49*H49+V49*J49),0),ROUND(IF(D49="简单平均",AVERAGE(R49:V49),R49*F49+T49*H49+V49*J49),1))</f>
        <v>18450</v>
      </c>
      <c r="S50" s="3699"/>
      <c r="T50" s="3699"/>
      <c r="U50" s="3699"/>
      <c r="V50" s="3699"/>
      <c r="W50" s="369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2.8995242093478923E-2</v>
      </c>
      <c r="F53" s="449" t="str">
        <f>IF(OR(E53&gt;=0.3,E53&lt;=-0.3),"超过30%","")</f>
        <v/>
      </c>
      <c r="G53" s="448">
        <f>IF(G48&lt;G49,G49/G48-1,G48/G49-1)</f>
        <v>8.0121491411813128E-3</v>
      </c>
      <c r="H53" s="449" t="str">
        <f>IF(OR(G53&gt;=0.3,G53&lt;=-0.3),"超过30%","")</f>
        <v/>
      </c>
      <c r="I53" s="448">
        <f>IF(I48&lt;I49,I49/I48-1,I48/I49-1)</f>
        <v>7.9939094023599999E-3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6.890568150013987E-2</v>
      </c>
      <c r="F54" s="449" t="str">
        <f>IF(OR(E54&gt;=0.2,E54&lt;=-0.2),"超过20%","")</f>
        <v/>
      </c>
      <c r="G54" s="448">
        <f>IF(G49&lt;I49,I49/G49-1,G49/I49-1)</f>
        <v>3.844689760182729E-2</v>
      </c>
      <c r="H54" s="449" t="str">
        <f>IF(OR(G54&gt;=0.2,G54&lt;=-0.2),"超过20%","")</f>
        <v/>
      </c>
      <c r="I54" s="448">
        <f>IF(I49&lt;E49,E49/I49-1,I49/E49-1)</f>
        <v>2.9331094318499895E-2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4.710874177228952E-2</v>
      </c>
      <c r="F55" s="449" t="str">
        <f>IF(OR(E55&gt;=0.3,E55&lt;=-0.3),"超过30%","")</f>
        <v/>
      </c>
      <c r="G55" s="448">
        <f>IF(G48&lt;I48,I48/G48-1,G48/I48-1)</f>
        <v>3.8465688390159736E-2</v>
      </c>
      <c r="H55" s="449" t="str">
        <f>IF(OR(G55&gt;=0.3,G55&lt;=-0.3),"超过30%","")</f>
        <v/>
      </c>
      <c r="I55" s="448">
        <f>IF(I48&lt;E48,E48/I48-1,I48/E48-1)</f>
        <v>8.3229070336723332E-3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79" t="s">
        <v>3445</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3446</v>
      </c>
      <c r="D66" s="532" t="s">
        <v>3447</v>
      </c>
      <c r="E66" s="532" t="s">
        <v>3448</v>
      </c>
      <c r="F66" s="532" t="s">
        <v>3449</v>
      </c>
      <c r="G66" s="532" t="s">
        <v>3450</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1" t="s">
        <v>3473</v>
      </c>
      <c r="D89" s="3481" t="s">
        <v>3475</v>
      </c>
      <c r="E89" s="3481" t="s">
        <v>3477</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0" t="s">
        <v>3452</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0(含)-200</v>
      </c>
      <c r="D103" s="527" t="str">
        <f t="shared" ref="D103:L103" si="24">D104&amp;"(含)"&amp;"-"&amp;E104</f>
        <v>200(含)-400</v>
      </c>
      <c r="E103" s="527" t="str">
        <f t="shared" si="24"/>
        <v>400(含)-600</v>
      </c>
      <c r="F103" s="527" t="str">
        <f t="shared" si="24"/>
        <v>600(含)-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v>400</v>
      </c>
      <c r="F104" s="544">
        <v>600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99</v>
      </c>
      <c r="D105" s="485">
        <v>100</v>
      </c>
      <c r="E105" s="485">
        <v>99</v>
      </c>
      <c r="F105" s="485">
        <v>98</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1" t="s">
        <v>3453</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81" t="s">
        <v>3455</v>
      </c>
      <c r="D108" s="3481" t="s">
        <v>3457</v>
      </c>
      <c r="E108" s="3481" t="s">
        <v>3458</v>
      </c>
      <c r="F108" s="3482" t="s">
        <v>3459</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81" t="s">
        <v>3468</v>
      </c>
      <c r="D113" s="3481" t="s">
        <v>3469</v>
      </c>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81" t="s">
        <v>3466</v>
      </c>
      <c r="D115" s="3481" t="s">
        <v>3467</v>
      </c>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81" t="s">
        <v>3462</v>
      </c>
      <c r="D117" s="3481" t="s">
        <v>3463</v>
      </c>
      <c r="E117" s="3481" t="s">
        <v>3464</v>
      </c>
      <c r="F117" s="3481" t="s">
        <v>3465</v>
      </c>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2" t="s">
        <v>3461</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81" t="s">
        <v>3455</v>
      </c>
      <c r="D123" s="3481" t="s">
        <v>3457</v>
      </c>
      <c r="E123" s="3481" t="s">
        <v>3458</v>
      </c>
      <c r="F123" s="3482" t="s">
        <v>3459</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40" activeCellId="1" sqref="L46 C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37.44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168.6679</v>
      </c>
      <c r="C2" s="1387" t="s">
        <v>879</v>
      </c>
      <c r="D2" s="1471">
        <f ca="1">C40+J29+L46</f>
        <v>1686679</v>
      </c>
      <c r="E2" s="1388" t="s">
        <v>880</v>
      </c>
      <c r="F2" s="1389"/>
      <c r="G2" s="2706"/>
      <c r="H2" s="2695"/>
      <c r="I2" s="2695"/>
      <c r="J2" s="2695"/>
      <c r="K2" s="2696"/>
      <c r="L2" s="2695"/>
      <c r="M2" s="2695"/>
    </row>
    <row r="3" spans="1:37" ht="18" customHeight="1" thickBot="1">
      <c r="A3" s="1390" t="s">
        <v>881</v>
      </c>
      <c r="B3" s="1391">
        <f ca="1">IF(ISERROR(D2/F43),0,ROUND(D2/F43,0))</f>
        <v>19134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92779</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92663</v>
      </c>
      <c r="D6" s="155" t="s">
        <v>2106</v>
      </c>
      <c r="E6" s="302" t="s">
        <v>696</v>
      </c>
      <c r="F6" s="303">
        <f ca="1">INDIRECT("'数据-取费表'!u"&amp;$G$1)</f>
        <v>3.2</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88.15</v>
      </c>
      <c r="G7" s="1384"/>
      <c r="H7" s="304"/>
      <c r="I7" s="3673"/>
      <c r="J7" s="306"/>
      <c r="K7" s="307"/>
      <c r="L7" s="302" t="s">
        <v>697</v>
      </c>
      <c r="M7" s="303">
        <f ca="1">F7</f>
        <v>88.15</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116</v>
      </c>
      <c r="D10" s="1366" t="s">
        <v>2116</v>
      </c>
      <c r="E10" s="313" t="s">
        <v>701</v>
      </c>
      <c r="F10" s="1116" t="s">
        <v>3433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617104</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511270</v>
      </c>
      <c r="D14" s="1345" t="s">
        <v>708</v>
      </c>
      <c r="E14" s="1342"/>
      <c r="F14" s="319"/>
      <c r="G14" s="1384"/>
      <c r="H14" s="982" t="s">
        <v>398</v>
      </c>
      <c r="I14" s="302" t="s">
        <v>709</v>
      </c>
      <c r="J14" s="21">
        <f ca="1">C29</f>
        <v>743499</v>
      </c>
      <c r="K14" s="12"/>
      <c r="L14" s="807"/>
      <c r="M14" s="808"/>
    </row>
    <row r="15" spans="1:37" s="1397" customFormat="1" ht="18" customHeight="1" thickBot="1">
      <c r="A15" s="982" t="s">
        <v>399</v>
      </c>
      <c r="B15" s="302" t="s">
        <v>710</v>
      </c>
      <c r="C15" s="21">
        <f ca="1">ROUND(C14*F15,0)</f>
        <v>25564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3717</v>
      </c>
      <c r="K16" s="1087" t="s">
        <v>715</v>
      </c>
      <c r="L16" s="1088"/>
      <c r="M16" s="1072"/>
    </row>
    <row r="17" spans="1:37" s="1397" customFormat="1" ht="18" customHeight="1">
      <c r="A17" s="982" t="s">
        <v>681</v>
      </c>
      <c r="B17" s="302" t="s">
        <v>716</v>
      </c>
      <c r="C17" s="21">
        <f ca="1">ROUND(F17*(F43+INDIRECT("'数据-取费表'!S"&amp;$G$1)),0)</f>
        <v>17630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10225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564689</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16941</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3717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17449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-3717</v>
      </c>
      <c r="K25" s="1095" t="s">
        <v>753</v>
      </c>
      <c r="L25" s="1096"/>
      <c r="M25" s="1097"/>
    </row>
    <row r="26" spans="1:37" ht="18" customHeight="1">
      <c r="A26" s="982" t="s">
        <v>397</v>
      </c>
      <c r="B26" s="302" t="s">
        <v>754</v>
      </c>
      <c r="C26" s="21">
        <f ca="1">ROUND((C19+C20)*F26,0)</f>
        <v>87245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743499</v>
      </c>
      <c r="D29" s="1092"/>
      <c r="E29" s="1090"/>
      <c r="F29" s="1093"/>
      <c r="G29" s="1396"/>
      <c r="H29" s="334" t="s">
        <v>396</v>
      </c>
      <c r="I29" s="335" t="s">
        <v>768</v>
      </c>
      <c r="J29" s="336">
        <f ca="1">ROUND(J26/(1+F40)^F41,0)</f>
        <v>0</v>
      </c>
      <c r="K29" s="337" t="s">
        <v>769</v>
      </c>
      <c r="L29" s="338"/>
      <c r="M29" s="339">
        <f ca="1">INDIRECT("'数据-取费表'!k"&amp;$G$1)</f>
        <v>88.15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11440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6178</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3717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617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928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81339</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1666845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37.44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18909</v>
      </c>
      <c r="D43" s="337" t="s">
        <v>777</v>
      </c>
      <c r="E43" s="338" t="s">
        <v>778</v>
      </c>
      <c r="F43" s="339">
        <f ca="1">INDIRECT("'数据-取费表'!k"&amp;$G$1)</f>
        <v>88.15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-173.50290000000001</v>
      </c>
      <c r="D45" s="3432" t="s">
        <v>3353</v>
      </c>
      <c r="E45" s="1400"/>
      <c r="F45" s="1400"/>
      <c r="O45" s="1403" t="s">
        <v>808</v>
      </c>
      <c r="P45" s="1461"/>
      <c r="Q45" s="1461"/>
      <c r="R45" s="1461"/>
    </row>
    <row r="46" spans="1:18" s="1384" customFormat="1" ht="13.5" thickBot="1">
      <c r="A46" s="1404" t="s">
        <v>809</v>
      </c>
      <c r="C46" s="1405">
        <f ca="1">ROUND(C45,0)</f>
        <v>-174</v>
      </c>
      <c r="D46" s="1406" t="str">
        <f>C2</f>
        <v>万元</v>
      </c>
      <c r="I46" s="1407" t="s">
        <v>810</v>
      </c>
      <c r="J46" s="1408"/>
      <c r="K46" s="1409"/>
      <c r="L46" s="1410">
        <f ca="1">IF(M47="住宅",0,IF(L48&gt;J51,L60,J60))</f>
        <v>19834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3434</v>
      </c>
      <c r="K47" s="1416" t="s">
        <v>816</v>
      </c>
      <c r="L47" s="1417">
        <f ca="1">INDIRECT("'数据-取费表'!d"&amp;$G$1)</f>
        <v>50</v>
      </c>
      <c r="M47" s="1380" t="str">
        <f>IF(ISNUMBER(FIND("住宅",C1)),"住宅","非住宅")</f>
        <v>非住宅</v>
      </c>
      <c r="O47" s="1418" t="s">
        <v>403</v>
      </c>
      <c r="P47" s="1419" t="s">
        <v>817</v>
      </c>
      <c r="Q47" s="1420">
        <f ca="1">C40+J29</f>
        <v>1666845</v>
      </c>
      <c r="R47" s="1420" t="s">
        <v>818</v>
      </c>
    </row>
    <row r="48" spans="1:18" s="1384" customFormat="1" ht="28.5" thickBot="1">
      <c r="A48" s="1110" t="s">
        <v>438</v>
      </c>
      <c r="B48" s="300" t="s">
        <v>692</v>
      </c>
      <c r="C48" s="1359">
        <f ca="1">C49+C53+C55</f>
        <v>0</v>
      </c>
      <c r="D48" s="1112"/>
      <c r="E48" s="1113"/>
      <c r="F48" s="962"/>
      <c r="G48" s="722"/>
      <c r="H48" s="723"/>
      <c r="I48" s="1421" t="s">
        <v>819</v>
      </c>
      <c r="J48" s="1422" t="s">
        <v>3435</v>
      </c>
      <c r="K48" s="1423" t="s">
        <v>820</v>
      </c>
      <c r="L48" s="1424">
        <f ca="1">INDIRECT("'数据-取费表'!f"&amp;$G$1)</f>
        <v>37.44</v>
      </c>
      <c r="O48" s="1418" t="s">
        <v>404</v>
      </c>
      <c r="P48" s="1419" t="s">
        <v>821</v>
      </c>
      <c r="Q48" s="1420">
        <f ca="1">J60</f>
        <v>19834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2015</v>
      </c>
      <c r="K49" s="1423" t="s">
        <v>824</v>
      </c>
      <c r="L49" s="1427"/>
      <c r="O49" s="1428" t="s">
        <v>405</v>
      </c>
      <c r="P49" s="1419" t="s">
        <v>825</v>
      </c>
      <c r="Q49" s="1420">
        <f ca="1">C29</f>
        <v>743499</v>
      </c>
      <c r="R49" s="1420" t="s">
        <v>818</v>
      </c>
    </row>
    <row r="50" spans="1:18" s="1384" customFormat="1" ht="13.5" thickBot="1">
      <c r="A50" s="976"/>
      <c r="B50" s="979"/>
      <c r="C50" s="980"/>
      <c r="D50" s="953"/>
      <c r="E50" s="1056" t="s">
        <v>697</v>
      </c>
      <c r="F50" s="1057">
        <f ca="1">F7</f>
        <v>88.15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696312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37.44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37.44</v>
      </c>
      <c r="K53" s="3670" t="s">
        <v>837</v>
      </c>
      <c r="L53" s="3671"/>
      <c r="O53" s="1418" t="s">
        <v>409</v>
      </c>
      <c r="P53" s="1419" t="s">
        <v>838</v>
      </c>
      <c r="Q53" s="1420">
        <f ca="1">Q47+Q48</f>
        <v>1686679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0.20899999999999999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617104</v>
      </c>
      <c r="D56" s="1447"/>
      <c r="E56" s="1448"/>
      <c r="F56" s="1440"/>
      <c r="I56" s="1449" t="s">
        <v>842</v>
      </c>
      <c r="J56" s="1450" t="s">
        <v>3436</v>
      </c>
      <c r="K56" s="1421" t="s">
        <v>843</v>
      </c>
      <c r="L56" s="1424" t="str">
        <f ca="1">IF(L48&lt;J51,"——",L48-J51)</f>
        <v>——</v>
      </c>
      <c r="O56" s="1418" t="s">
        <v>403</v>
      </c>
      <c r="P56" s="1419" t="s">
        <v>817</v>
      </c>
      <c r="Q56" s="1420">
        <f ca="1">C40+J29</f>
        <v>1666845</v>
      </c>
      <c r="R56" s="1420" t="s">
        <v>818</v>
      </c>
    </row>
    <row r="57" spans="1:18" s="1384" customFormat="1" ht="24.75" thickBot="1">
      <c r="A57" s="1451"/>
      <c r="B57" s="950" t="s">
        <v>767</v>
      </c>
      <c r="C57" s="238">
        <f ca="1">C29</f>
        <v>743499</v>
      </c>
      <c r="D57" s="1452"/>
      <c r="E57" s="1453"/>
      <c r="F57" s="1454"/>
      <c r="I57" s="1455" t="s">
        <v>844</v>
      </c>
      <c r="J57" s="1456">
        <f ca="1">IF(OR(M47="住宅",J51&lt;L48,J56="是"),"——",J51-L48)</f>
        <v>12.560000000000002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4334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297400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19834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1666845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3717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617</v>
      </c>
      <c r="D65" s="964" t="s">
        <v>743</v>
      </c>
      <c r="E65" s="950" t="s">
        <v>744</v>
      </c>
      <c r="F65" s="330">
        <f t="shared" ca="1" si="0"/>
        <v>1E-3</v>
      </c>
      <c r="I65" s="1462" t="s">
        <v>867</v>
      </c>
      <c r="J65" s="1463">
        <v>40</v>
      </c>
      <c r="K65" s="1463">
        <v>30</v>
      </c>
      <c r="L65" s="1463">
        <v>50</v>
      </c>
      <c r="M65" s="1465">
        <v>0.02</v>
      </c>
      <c r="O65" s="1418" t="s">
        <v>403</v>
      </c>
      <c r="P65" s="1419" t="s">
        <v>868</v>
      </c>
      <c r="Q65" s="1420">
        <f ca="1">C40+J29</f>
        <v>1666845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-4334</v>
      </c>
      <c r="D67" s="963" t="s">
        <v>753</v>
      </c>
      <c r="E67" s="968"/>
      <c r="F67" s="969"/>
      <c r="O67" s="1428" t="s">
        <v>405</v>
      </c>
      <c r="P67" s="1419" t="s">
        <v>850</v>
      </c>
      <c r="Q67" s="1466">
        <f ca="1">L51</f>
        <v>696312</v>
      </c>
      <c r="R67" s="1420" t="s">
        <v>870</v>
      </c>
    </row>
    <row r="68" spans="1:18" s="1384" customFormat="1" ht="16.5" thickBot="1">
      <c r="A68" s="947" t="s">
        <v>395</v>
      </c>
      <c r="B68" s="948" t="s">
        <v>774</v>
      </c>
      <c r="C68" s="301">
        <f ca="1">ROUND(C67*(1-((1+F70)/(1+F68))^F69)/(F68-F70),0)</f>
        <v>-68184</v>
      </c>
      <c r="D68" s="965" t="s">
        <v>758</v>
      </c>
      <c r="E68" s="950" t="s">
        <v>759</v>
      </c>
      <c r="F68" s="312">
        <f ca="1">F40</f>
        <v>5.5E-2</v>
      </c>
      <c r="O68" s="1428" t="s">
        <v>406</v>
      </c>
      <c r="P68" s="1467" t="s">
        <v>871</v>
      </c>
      <c r="Q68" s="1420">
        <f ca="1">ROUND(Q69-Q70*Q71,0)</f>
        <v>38142</v>
      </c>
      <c r="R68" s="1420" t="s">
        <v>414</v>
      </c>
    </row>
    <row r="69" spans="1:18" s="1384" customFormat="1" ht="13.5" thickBot="1">
      <c r="A69" s="951"/>
      <c r="B69" s="952"/>
      <c r="C69" s="306"/>
      <c r="D69" s="970" t="s">
        <v>762</v>
      </c>
      <c r="E69" s="950" t="s">
        <v>763</v>
      </c>
      <c r="F69" s="333">
        <f ca="1">F41</f>
        <v>37.44</v>
      </c>
      <c r="O69" s="1428" t="s">
        <v>411</v>
      </c>
      <c r="P69" s="1467" t="s">
        <v>872</v>
      </c>
      <c r="Q69" s="1420">
        <f ca="1">C39</f>
        <v>81339</v>
      </c>
      <c r="R69" s="1420" t="s">
        <v>818</v>
      </c>
    </row>
    <row r="70" spans="1:18" s="1384" customFormat="1" ht="13.5" thickBot="1">
      <c r="A70" s="954"/>
      <c r="B70" s="955"/>
      <c r="C70" s="310"/>
      <c r="D70" s="966"/>
      <c r="E70" s="950" t="s">
        <v>766</v>
      </c>
      <c r="F70" s="1054"/>
      <c r="O70" s="1428" t="s">
        <v>412</v>
      </c>
      <c r="P70" s="1467" t="s">
        <v>873</v>
      </c>
      <c r="Q70" s="1420">
        <f ca="1">C13</f>
        <v>617104</v>
      </c>
      <c r="R70" s="1420" t="s">
        <v>818</v>
      </c>
    </row>
    <row r="71" spans="1:18" s="1384" customFormat="1" ht="13.5" thickBot="1">
      <c r="A71" s="971" t="s">
        <v>396</v>
      </c>
      <c r="B71" s="972" t="s">
        <v>776</v>
      </c>
      <c r="C71" s="336">
        <f ca="1">ROUND(C68/F71,0)</f>
        <v>-773</v>
      </c>
      <c r="D71" s="973" t="s">
        <v>777</v>
      </c>
      <c r="E71" s="974" t="s">
        <v>778</v>
      </c>
      <c r="F71" s="339">
        <f ca="1">F43</f>
        <v>88.15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43197</v>
      </c>
      <c r="D75" s="1384"/>
      <c r="E75" s="1384"/>
      <c r="F75" s="1384"/>
      <c r="K75" s="1402"/>
      <c r="L75" s="1384"/>
      <c r="O75" s="1418" t="s">
        <v>409</v>
      </c>
      <c r="P75" s="1419" t="s">
        <v>838</v>
      </c>
      <c r="Q75" s="1420">
        <f ca="1">Q65+Q66</f>
        <v>1666845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0.46899999999999997</v>
      </c>
    </row>
    <row r="80" spans="1:18">
      <c r="B80" s="340" t="s">
        <v>800</v>
      </c>
      <c r="C80" s="274">
        <f ca="1">ROUND(C75/C39,3)</f>
        <v>0.53100000000000003</v>
      </c>
    </row>
    <row r="81" spans="2:3">
      <c r="B81" s="270" t="s">
        <v>801</v>
      </c>
      <c r="C81" s="238"/>
    </row>
    <row r="82" spans="2:3">
      <c r="B82" s="273" t="s">
        <v>802</v>
      </c>
      <c r="C82" s="275">
        <f ca="1">1-C83</f>
        <v>0.63</v>
      </c>
    </row>
    <row r="83" spans="2:3">
      <c r="B83" s="273" t="s">
        <v>803</v>
      </c>
      <c r="C83" s="274">
        <f ca="1">ROUND(C13/C40,3)</f>
        <v>0.37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751" t="s">
        <v>2317</v>
      </c>
      <c r="K2" s="375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53" t="s">
        <v>2327</v>
      </c>
      <c r="K3" s="375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53" t="s">
        <v>2329</v>
      </c>
      <c r="K4" s="375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59" t="s">
        <v>2333</v>
      </c>
      <c r="B6" s="3760"/>
      <c r="C6" s="3761"/>
      <c r="D6" s="2870"/>
      <c r="E6" s="2871"/>
      <c r="F6" s="2872"/>
      <c r="G6" s="2873"/>
      <c r="H6" s="2848"/>
      <c r="I6" s="2849"/>
      <c r="J6" s="3745">
        <v>1</v>
      </c>
      <c r="K6" s="374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45"/>
      <c r="K7" s="3747"/>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62" t="s">
        <v>2347</v>
      </c>
      <c r="C8" s="3763"/>
      <c r="D8" s="2889" t="s">
        <v>2348</v>
      </c>
      <c r="E8" s="2890" t="s">
        <v>2349</v>
      </c>
      <c r="F8" s="2891" t="s">
        <v>2350</v>
      </c>
      <c r="G8" s="2892"/>
      <c r="H8" s="2848"/>
      <c r="I8" s="2849"/>
      <c r="J8" s="3745"/>
      <c r="K8" s="3747"/>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62" t="s">
        <v>2353</v>
      </c>
      <c r="C9" s="3763"/>
      <c r="D9" s="2889">
        <f>ROUND(D6*E9,0)</f>
        <v>0</v>
      </c>
      <c r="E9" s="2893"/>
      <c r="F9" s="2894" t="s">
        <v>2354</v>
      </c>
      <c r="G9" s="2873"/>
      <c r="H9" s="2848"/>
      <c r="I9" s="2849"/>
      <c r="J9" s="3745"/>
      <c r="K9" s="3747"/>
      <c r="L9" s="2883" t="s">
        <v>2355</v>
      </c>
      <c r="M9" s="2884"/>
      <c r="N9" s="2860"/>
      <c r="O9" s="2885"/>
      <c r="P9" s="2885"/>
      <c r="Q9" s="2886">
        <v>365</v>
      </c>
      <c r="R9" s="2887">
        <f t="shared" si="0"/>
        <v>0</v>
      </c>
      <c r="S9" s="2841"/>
      <c r="T9" s="2841"/>
      <c r="U9" s="2841"/>
      <c r="V9" s="2849"/>
    </row>
    <row r="10" spans="1:22" s="2853" customFormat="1" ht="13.15" customHeight="1">
      <c r="A10" s="2888">
        <v>2</v>
      </c>
      <c r="B10" s="3762" t="s">
        <v>2356</v>
      </c>
      <c r="C10" s="3763"/>
      <c r="D10" s="2889">
        <f>ROUND(D6*E10,0)</f>
        <v>0</v>
      </c>
      <c r="E10" s="2893"/>
      <c r="F10" s="2894" t="s">
        <v>2357</v>
      </c>
      <c r="G10" s="2873"/>
      <c r="H10" s="2848"/>
      <c r="I10" s="2849"/>
      <c r="J10" s="3745"/>
      <c r="K10" s="3747"/>
      <c r="L10" s="2883" t="s">
        <v>2358</v>
      </c>
      <c r="M10" s="2884"/>
      <c r="N10" s="2860"/>
      <c r="O10" s="2885"/>
      <c r="P10" s="2885"/>
      <c r="Q10" s="2886">
        <v>365</v>
      </c>
      <c r="R10" s="2887">
        <f t="shared" si="0"/>
        <v>0</v>
      </c>
      <c r="S10" s="2841"/>
      <c r="T10" s="2841"/>
      <c r="U10" s="2841"/>
      <c r="V10" s="2849"/>
    </row>
    <row r="11" spans="1:22" s="2853" customFormat="1" ht="13.15" customHeight="1">
      <c r="A11" s="2888">
        <v>3</v>
      </c>
      <c r="B11" s="3762" t="s">
        <v>2359</v>
      </c>
      <c r="C11" s="3763"/>
      <c r="D11" s="2889">
        <f>D12+D14+D15+D16</f>
        <v>0</v>
      </c>
      <c r="E11" s="2895" t="e">
        <f>D11/D6</f>
        <v>#DIV/0!</v>
      </c>
      <c r="F11" s="2891"/>
      <c r="G11" s="2892"/>
      <c r="H11" s="2848"/>
      <c r="I11" s="2849"/>
      <c r="J11" s="3745"/>
      <c r="K11" s="3747"/>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55" t="s">
        <v>2362</v>
      </c>
      <c r="C12" s="3756"/>
      <c r="D12" s="2897">
        <f>ROUND(D13*1.2%*(1-30%),0)</f>
        <v>0</v>
      </c>
      <c r="E12" s="2898">
        <v>1.2E-2</v>
      </c>
      <c r="F12" s="2891" t="s">
        <v>2363</v>
      </c>
      <c r="G12" s="2892"/>
      <c r="H12" s="2848"/>
      <c r="I12" s="2849"/>
      <c r="J12" s="3745"/>
      <c r="K12" s="3747"/>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45"/>
      <c r="K13" s="3747"/>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55" t="s">
        <v>2368</v>
      </c>
      <c r="C14" s="3756"/>
      <c r="D14" s="2897">
        <f>ROUND(E14*B5/10000,0)</f>
        <v>0</v>
      </c>
      <c r="E14" s="2886"/>
      <c r="F14" s="2891" t="s">
        <v>2369</v>
      </c>
      <c r="G14" s="2892"/>
      <c r="H14" s="2848"/>
      <c r="I14" s="2849"/>
      <c r="J14" s="3745"/>
      <c r="K14" s="374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55" t="s">
        <v>2372</v>
      </c>
      <c r="C15" s="3756"/>
      <c r="D15" s="2897">
        <f>ROUND(D6*E15,0)</f>
        <v>0</v>
      </c>
      <c r="E15" s="2898">
        <v>5.5E-2</v>
      </c>
      <c r="F15" s="2891" t="s">
        <v>2373</v>
      </c>
      <c r="G15" s="2873"/>
      <c r="H15" s="2848"/>
      <c r="I15" s="2849"/>
      <c r="J15" s="3745">
        <v>2</v>
      </c>
      <c r="K15" s="374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55" t="s">
        <v>2381</v>
      </c>
      <c r="C16" s="3756"/>
      <c r="D16" s="2908">
        <f>D6*E16</f>
        <v>0</v>
      </c>
      <c r="E16" s="2909"/>
      <c r="F16" s="2894" t="s">
        <v>2382</v>
      </c>
      <c r="G16" s="2873"/>
      <c r="H16" s="2848"/>
      <c r="I16" s="2849"/>
      <c r="J16" s="3745"/>
      <c r="K16" s="3747"/>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57" t="s">
        <v>2384</v>
      </c>
      <c r="C17" s="3758"/>
      <c r="D17" s="2911">
        <f>ROUND(D6*E17,0)</f>
        <v>0</v>
      </c>
      <c r="E17" s="2912"/>
      <c r="F17" s="2913" t="s">
        <v>2385</v>
      </c>
      <c r="G17" s="2873"/>
      <c r="H17" s="2848"/>
      <c r="I17" s="2849"/>
      <c r="J17" s="3745"/>
      <c r="K17" s="3747"/>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45"/>
      <c r="K18" s="3747"/>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45"/>
      <c r="K19" s="374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45">
        <v>3</v>
      </c>
      <c r="K20" s="374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45"/>
      <c r="K21" s="3747"/>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45"/>
      <c r="K22" s="3747"/>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45"/>
      <c r="K23" s="3747"/>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45"/>
      <c r="K24" s="374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4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5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51" t="s">
        <v>2317</v>
      </c>
      <c r="K32" s="375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53" t="s">
        <v>2327</v>
      </c>
      <c r="K33" s="375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53" t="s">
        <v>2329</v>
      </c>
      <c r="K34" s="37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45">
        <v>1</v>
      </c>
      <c r="K36" s="3746"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45"/>
      <c r="K37" s="3747"/>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45"/>
      <c r="K38" s="3747"/>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45"/>
      <c r="K39" s="3747"/>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45"/>
      <c r="K40" s="3748"/>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49">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5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168.6679</v>
      </c>
      <c r="C2" s="1872" t="s">
        <v>1651</v>
      </c>
      <c r="D2" s="1873" t="s">
        <v>1652</v>
      </c>
      <c r="E2" s="2607">
        <f>SUM(E6:E13)</f>
        <v>88.15</v>
      </c>
      <c r="F2" s="2707"/>
      <c r="G2" s="1489"/>
      <c r="H2" s="1489"/>
      <c r="I2" s="1489"/>
      <c r="J2" s="1489"/>
      <c r="K2" s="1489"/>
      <c r="L2" s="1489"/>
      <c r="M2" s="1489"/>
      <c r="N2" s="1489"/>
      <c r="O2" s="1489"/>
      <c r="P2" s="1489"/>
      <c r="Q2" s="1489"/>
      <c r="R2" s="1489"/>
      <c r="S2" s="1489"/>
    </row>
    <row r="3" spans="1:22" ht="15.75">
      <c r="A3" s="1870" t="s">
        <v>686</v>
      </c>
      <c r="B3" s="2601">
        <f ca="1">ROUND(B2*10000/E2,0)</f>
        <v>19134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64" t="s">
        <v>1654</v>
      </c>
      <c r="C5" s="37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168.6679</v>
      </c>
      <c r="C6" s="1872" t="s">
        <v>1651</v>
      </c>
      <c r="D6" s="2709"/>
      <c r="E6" s="2606">
        <f>IF(OR(A6=0,F6="否"),0,'数据-取费表'!K6+'数据-取费表'!S6)</f>
        <v>88.15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88.15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2" t="s">
        <v>1667</v>
      </c>
      <c r="D4" s="3713"/>
      <c r="E4" s="3714" t="s">
        <v>1668</v>
      </c>
      <c r="F4" s="3715"/>
      <c r="G4" s="3712" t="s">
        <v>1669</v>
      </c>
      <c r="H4" s="3713"/>
      <c r="I4" s="3712" t="s">
        <v>1670</v>
      </c>
      <c r="J4" s="3713"/>
      <c r="K4" s="1889" t="s">
        <v>1671</v>
      </c>
      <c r="L4" s="2715"/>
      <c r="M4" s="2716"/>
      <c r="N4" s="2716"/>
      <c r="O4" s="2716"/>
      <c r="P4" s="3770" t="s">
        <v>1672</v>
      </c>
      <c r="Q4" s="3771"/>
      <c r="R4" s="3774" t="s">
        <v>1668</v>
      </c>
      <c r="S4" s="3775"/>
      <c r="T4" s="3774" t="s">
        <v>1669</v>
      </c>
      <c r="U4" s="3775"/>
      <c r="V4" s="3729" t="s">
        <v>1670</v>
      </c>
      <c r="W4" s="3729"/>
      <c r="X4" s="1355"/>
      <c r="Y4" s="3774" t="s">
        <v>1672</v>
      </c>
      <c r="Z4" s="3775"/>
      <c r="AA4" s="3769" t="s">
        <v>1668</v>
      </c>
      <c r="AB4" s="3769" t="s">
        <v>1669</v>
      </c>
      <c r="AC4" s="3769" t="s">
        <v>1670</v>
      </c>
    </row>
    <row r="5" spans="1:29" ht="15">
      <c r="A5" s="358"/>
      <c r="B5" s="359"/>
      <c r="C5" s="3732" t="s">
        <v>1673</v>
      </c>
      <c r="D5" s="3733"/>
      <c r="E5" s="3743" t="s">
        <v>1674</v>
      </c>
      <c r="F5" s="3744"/>
      <c r="G5" s="3732" t="s">
        <v>1675</v>
      </c>
      <c r="H5" s="3733"/>
      <c r="I5" s="3732" t="s">
        <v>1676</v>
      </c>
      <c r="J5" s="3733"/>
      <c r="K5" s="1890"/>
      <c r="L5" s="2715"/>
      <c r="M5" s="2716"/>
      <c r="N5" s="2716"/>
      <c r="O5" s="2716"/>
      <c r="P5" s="3772"/>
      <c r="Q5" s="3719"/>
      <c r="R5" s="3724"/>
      <c r="S5" s="3725"/>
      <c r="T5" s="3724"/>
      <c r="U5" s="3725"/>
      <c r="V5" s="3729"/>
      <c r="W5" s="3729"/>
      <c r="X5" s="1355"/>
      <c r="Y5" s="3724"/>
      <c r="Z5" s="3725"/>
      <c r="AA5" s="3741"/>
      <c r="AB5" s="3741"/>
      <c r="AC5" s="3741"/>
    </row>
    <row r="6" spans="1:29" ht="15.75" thickBot="1">
      <c r="A6" s="360"/>
      <c r="B6" s="361"/>
      <c r="C6" s="3730" t="s">
        <v>1677</v>
      </c>
      <c r="D6" s="3731"/>
      <c r="E6" s="3738" t="s">
        <v>1677</v>
      </c>
      <c r="F6" s="3739"/>
      <c r="G6" s="3730" t="s">
        <v>1677</v>
      </c>
      <c r="H6" s="3731"/>
      <c r="I6" s="3730" t="s">
        <v>1677</v>
      </c>
      <c r="J6" s="3731"/>
      <c r="K6" s="1890" t="s">
        <v>1678</v>
      </c>
      <c r="L6" s="2715"/>
      <c r="M6" s="2716"/>
      <c r="N6" s="2716"/>
      <c r="O6" s="2716"/>
      <c r="P6" s="3773"/>
      <c r="Q6" s="3721"/>
      <c r="R6" s="3724"/>
      <c r="S6" s="3725"/>
      <c r="T6" s="3726"/>
      <c r="U6" s="3727"/>
      <c r="V6" s="3729"/>
      <c r="W6" s="3729"/>
      <c r="X6" s="1355"/>
      <c r="Y6" s="3726"/>
      <c r="Z6" s="3727"/>
      <c r="AA6" s="3742"/>
      <c r="AB6" s="3742"/>
      <c r="AC6" s="3742"/>
    </row>
    <row r="7" spans="1:29" s="108" customFormat="1" ht="15.75" thickBot="1">
      <c r="A7" s="362" t="s">
        <v>1679</v>
      </c>
      <c r="B7" s="363"/>
      <c r="C7" s="364">
        <f>'数据-取费表'!B2</f>
        <v>45870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6" t="s">
        <v>1680</v>
      </c>
      <c r="Q7" s="3737"/>
      <c r="R7" s="701" t="s">
        <v>20</v>
      </c>
      <c r="S7" s="702">
        <f t="shared" ref="S7:S15" si="0">F7</f>
        <v>0</v>
      </c>
      <c r="T7" s="701" t="s">
        <v>20</v>
      </c>
      <c r="U7" s="702">
        <f t="shared" ref="U7:U15" si="1">H7</f>
        <v>0</v>
      </c>
      <c r="V7" s="701" t="s">
        <v>20</v>
      </c>
      <c r="W7" s="702">
        <f t="shared" ref="W7:W15" si="2">J7</f>
        <v>0</v>
      </c>
      <c r="X7" s="703"/>
      <c r="Y7" s="3736" t="s">
        <v>1680</v>
      </c>
      <c r="Z7" s="373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6" t="s">
        <v>1683</v>
      </c>
      <c r="Q8" s="3735"/>
      <c r="R8" s="701" t="s">
        <v>20</v>
      </c>
      <c r="S8" s="702">
        <f t="shared" si="0"/>
        <v>100</v>
      </c>
      <c r="T8" s="701" t="s">
        <v>20</v>
      </c>
      <c r="U8" s="702">
        <f t="shared" si="1"/>
        <v>100</v>
      </c>
      <c r="V8" s="701" t="s">
        <v>20</v>
      </c>
      <c r="W8" s="702">
        <f t="shared" si="2"/>
        <v>100</v>
      </c>
      <c r="X8" s="703"/>
      <c r="Y8" s="3736" t="s">
        <v>1683</v>
      </c>
      <c r="Z8" s="373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0"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1"/>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1"/>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1"/>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1"/>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1"/>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1"/>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1"/>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1"/>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1"/>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1"/>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1"/>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1"/>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1"/>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1"/>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88.15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70" t="s">
        <v>1775</v>
      </c>
      <c r="Q4" s="3771"/>
      <c r="R4" s="3774" t="s">
        <v>1771</v>
      </c>
      <c r="S4" s="3775"/>
      <c r="T4" s="3774" t="s">
        <v>1772</v>
      </c>
      <c r="U4" s="3775"/>
      <c r="V4" s="3729" t="s">
        <v>1773</v>
      </c>
      <c r="W4" s="3729"/>
      <c r="X4" s="1355"/>
      <c r="Y4" s="3774" t="s">
        <v>1775</v>
      </c>
      <c r="Z4" s="3775"/>
      <c r="AA4" s="3769" t="s">
        <v>1771</v>
      </c>
      <c r="AB4" s="3729" t="s">
        <v>1772</v>
      </c>
      <c r="AC4" s="3769" t="s">
        <v>1773</v>
      </c>
    </row>
    <row r="5" spans="1:29" ht="15">
      <c r="A5" s="358"/>
      <c r="B5" s="359"/>
      <c r="C5" s="3732" t="s">
        <v>1673</v>
      </c>
      <c r="D5" s="3733"/>
      <c r="E5" s="3743" t="s">
        <v>1674</v>
      </c>
      <c r="F5" s="3744"/>
      <c r="G5" s="3732" t="s">
        <v>1675</v>
      </c>
      <c r="H5" s="3733"/>
      <c r="I5" s="3732" t="s">
        <v>1676</v>
      </c>
      <c r="J5" s="3733"/>
      <c r="K5" s="559"/>
      <c r="L5" s="2715"/>
      <c r="M5" s="2716"/>
      <c r="N5" s="2716"/>
      <c r="O5" s="2716"/>
      <c r="P5" s="3772"/>
      <c r="Q5" s="3719"/>
      <c r="R5" s="3724"/>
      <c r="S5" s="3725"/>
      <c r="T5" s="3724"/>
      <c r="U5" s="3725"/>
      <c r="V5" s="3729"/>
      <c r="W5" s="3729"/>
      <c r="X5" s="1355"/>
      <c r="Y5" s="3724"/>
      <c r="Z5" s="3725"/>
      <c r="AA5" s="3741"/>
      <c r="AB5" s="3729"/>
      <c r="AC5" s="3741"/>
    </row>
    <row r="6" spans="1:29" ht="15.75" thickBot="1">
      <c r="A6" s="360"/>
      <c r="B6" s="361"/>
      <c r="C6" s="3730" t="s">
        <v>1677</v>
      </c>
      <c r="D6" s="3731"/>
      <c r="E6" s="3738" t="s">
        <v>1677</v>
      </c>
      <c r="F6" s="3739"/>
      <c r="G6" s="3730" t="s">
        <v>1677</v>
      </c>
      <c r="H6" s="3731"/>
      <c r="I6" s="3730" t="s">
        <v>1677</v>
      </c>
      <c r="J6" s="3731"/>
      <c r="K6" s="559" t="s">
        <v>1678</v>
      </c>
      <c r="L6" s="2715"/>
      <c r="M6" s="2716"/>
      <c r="N6" s="2716"/>
      <c r="O6" s="2716"/>
      <c r="P6" s="3773"/>
      <c r="Q6" s="3721"/>
      <c r="R6" s="3724"/>
      <c r="S6" s="3725"/>
      <c r="T6" s="3726"/>
      <c r="U6" s="3727"/>
      <c r="V6" s="3729"/>
      <c r="W6" s="3729"/>
      <c r="X6" s="1355"/>
      <c r="Y6" s="3726"/>
      <c r="Z6" s="3727"/>
      <c r="AA6" s="3742"/>
      <c r="AB6" s="3729"/>
      <c r="AC6" s="3742"/>
    </row>
    <row r="7" spans="1:29" s="108" customFormat="1" ht="15.75" thickBot="1">
      <c r="A7" s="362" t="s">
        <v>1679</v>
      </c>
      <c r="B7" s="363"/>
      <c r="C7" s="364">
        <f>'数据-取费表'!B2</f>
        <v>45870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6" t="s">
        <v>1680</v>
      </c>
      <c r="Q7" s="3737"/>
      <c r="R7" s="701" t="s">
        <v>14</v>
      </c>
      <c r="S7" s="702">
        <f t="shared" ref="S7:S15" si="0">F7</f>
        <v>0</v>
      </c>
      <c r="T7" s="701" t="s">
        <v>14</v>
      </c>
      <c r="U7" s="702">
        <f t="shared" ref="U7:U15" si="1">H7</f>
        <v>0</v>
      </c>
      <c r="V7" s="701" t="s">
        <v>14</v>
      </c>
      <c r="W7" s="702">
        <f t="shared" ref="W7:W15" si="2">J7</f>
        <v>0</v>
      </c>
      <c r="X7" s="703"/>
      <c r="Y7" s="3736" t="s">
        <v>1680</v>
      </c>
      <c r="Z7" s="373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6" t="s">
        <v>1683</v>
      </c>
      <c r="Q8" s="3735"/>
      <c r="R8" s="701" t="s">
        <v>14</v>
      </c>
      <c r="S8" s="702">
        <f t="shared" si="0"/>
        <v>100</v>
      </c>
      <c r="T8" s="701" t="s">
        <v>14</v>
      </c>
      <c r="U8" s="702">
        <f t="shared" si="1"/>
        <v>100</v>
      </c>
      <c r="V8" s="701" t="s">
        <v>14</v>
      </c>
      <c r="W8" s="702">
        <f t="shared" si="2"/>
        <v>100</v>
      </c>
      <c r="X8" s="703"/>
      <c r="Y8" s="3736" t="s">
        <v>1683</v>
      </c>
      <c r="Z8" s="373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0"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1"/>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1"/>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1"/>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1"/>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1"/>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1"/>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1"/>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1"/>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1"/>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1"/>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9">
        <f>E47</f>
        <v>0</v>
      </c>
      <c r="S47" s="3729"/>
      <c r="T47" s="3729">
        <f>G47</f>
        <v>0</v>
      </c>
      <c r="U47" s="3729"/>
      <c r="V47" s="3729">
        <f>I47</f>
        <v>0</v>
      </c>
      <c r="W47" s="372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受贵公司委托，我公司对北京市通州区新华西街60号院2号楼22层2210商务办公用房房地产抵押价值进行了预评估。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估价对象为北京市通州区新华西街60号院2号楼22层2210商务办公用房房地产，为所有。根据《国有土地使用证》[]，估价对象（分摊）出让国有建设用地使用权面积为0平方米，建筑面积为88.15平方米。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西街60号院2号楼22层2210商务办公用房房地产,属开发建设的办公项目，该项目尚在开发建设中。根据《国有土地使用证》[]，估价对象（分摊）出让国有建设用地使用权面积为0平方米，规划建筑面积为88.15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新华西街60号院2号楼22层2210商务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88.15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913"/>
      <c r="M4" s="914"/>
      <c r="N4" s="914"/>
      <c r="O4" s="914"/>
      <c r="P4" s="3770" t="s">
        <v>1775</v>
      </c>
      <c r="Q4" s="3771"/>
      <c r="R4" s="3774" t="s">
        <v>1771</v>
      </c>
      <c r="S4" s="3775"/>
      <c r="T4" s="3774" t="s">
        <v>1772</v>
      </c>
      <c r="U4" s="3775"/>
      <c r="V4" s="3729" t="s">
        <v>1773</v>
      </c>
      <c r="W4" s="3729"/>
      <c r="X4" s="1355"/>
      <c r="Y4" s="3774" t="s">
        <v>1775</v>
      </c>
      <c r="Z4" s="3775"/>
      <c r="AA4" s="3769" t="s">
        <v>1771</v>
      </c>
      <c r="AB4" s="3741" t="s">
        <v>1772</v>
      </c>
      <c r="AC4" s="3769" t="s">
        <v>1773</v>
      </c>
    </row>
    <row r="5" spans="1:29" ht="15">
      <c r="A5" s="358"/>
      <c r="B5" s="359"/>
      <c r="C5" s="3732" t="s">
        <v>1673</v>
      </c>
      <c r="D5" s="3733"/>
      <c r="E5" s="3743" t="s">
        <v>1674</v>
      </c>
      <c r="F5" s="3744"/>
      <c r="G5" s="3732" t="s">
        <v>1675</v>
      </c>
      <c r="H5" s="3733"/>
      <c r="I5" s="3732" t="s">
        <v>1676</v>
      </c>
      <c r="J5" s="3733"/>
      <c r="K5" s="559"/>
      <c r="L5" s="913"/>
      <c r="M5" s="914"/>
      <c r="N5" s="914"/>
      <c r="O5" s="914"/>
      <c r="P5" s="3772"/>
      <c r="Q5" s="3719"/>
      <c r="R5" s="3724"/>
      <c r="S5" s="3725"/>
      <c r="T5" s="3724"/>
      <c r="U5" s="3725"/>
      <c r="V5" s="3729"/>
      <c r="W5" s="3729"/>
      <c r="X5" s="1355"/>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913"/>
      <c r="M6" s="914"/>
      <c r="N6" s="914"/>
      <c r="O6" s="914"/>
      <c r="P6" s="3773"/>
      <c r="Q6" s="3721"/>
      <c r="R6" s="3724"/>
      <c r="S6" s="3725"/>
      <c r="T6" s="3726"/>
      <c r="U6" s="3727"/>
      <c r="V6" s="3729"/>
      <c r="W6" s="3729"/>
      <c r="X6" s="1355"/>
      <c r="Y6" s="3726"/>
      <c r="Z6" s="3727"/>
      <c r="AA6" s="3742"/>
      <c r="AB6" s="3742"/>
      <c r="AC6" s="3742"/>
    </row>
    <row r="7" spans="1:29" s="108" customFormat="1" ht="15.75" thickBot="1">
      <c r="A7" s="362" t="s">
        <v>1679</v>
      </c>
      <c r="B7" s="363"/>
      <c r="C7" s="364">
        <f>'数据-取费表'!B2</f>
        <v>45870</v>
      </c>
      <c r="D7" s="365">
        <v>100</v>
      </c>
      <c r="E7" s="366"/>
      <c r="F7" s="367">
        <f>SUMIF(52:52,YEAR(E7)&amp;"-"&amp;MONTH(E7),53:53)</f>
        <v>0</v>
      </c>
      <c r="G7" s="366"/>
      <c r="H7" s="365">
        <f>SUMIF(52:52,YEAR(G7)&amp;"-"&amp;MONTH(G7),53:53)</f>
        <v>0</v>
      </c>
      <c r="I7" s="366"/>
      <c r="J7" s="365">
        <f>SUMIF(52:52,YEAR(I7)&amp;"-"&amp;MONTH(I7),53:53)</f>
        <v>0</v>
      </c>
      <c r="K7" s="560"/>
      <c r="L7" s="915"/>
      <c r="M7" s="916"/>
      <c r="N7" s="916"/>
      <c r="O7" s="916"/>
      <c r="P7" s="3736" t="s">
        <v>1680</v>
      </c>
      <c r="Q7" s="3737"/>
      <c r="R7" s="701" t="s">
        <v>14</v>
      </c>
      <c r="S7" s="702">
        <f t="shared" ref="S7:S15" si="0">F7</f>
        <v>0</v>
      </c>
      <c r="T7" s="701" t="s">
        <v>14</v>
      </c>
      <c r="U7" s="702">
        <f t="shared" ref="U7:U15" si="1">H7</f>
        <v>0</v>
      </c>
      <c r="V7" s="701" t="s">
        <v>14</v>
      </c>
      <c r="W7" s="702">
        <f t="shared" ref="W7:W15" si="2">J7</f>
        <v>0</v>
      </c>
      <c r="X7" s="703"/>
      <c r="Y7" s="3736" t="s">
        <v>1680</v>
      </c>
      <c r="Z7" s="373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6" t="s">
        <v>1683</v>
      </c>
      <c r="Q8" s="3735"/>
      <c r="R8" s="701" t="s">
        <v>14</v>
      </c>
      <c r="S8" s="702">
        <f t="shared" si="0"/>
        <v>100</v>
      </c>
      <c r="T8" s="701" t="s">
        <v>14</v>
      </c>
      <c r="U8" s="702">
        <f t="shared" si="1"/>
        <v>100</v>
      </c>
      <c r="V8" s="701" t="s">
        <v>14</v>
      </c>
      <c r="W8" s="702">
        <f t="shared" si="2"/>
        <v>100</v>
      </c>
      <c r="X8" s="703"/>
      <c r="Y8" s="3736" t="s">
        <v>1683</v>
      </c>
      <c r="Z8" s="373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70" t="s">
        <v>1775</v>
      </c>
      <c r="Q4" s="3771"/>
      <c r="R4" s="3774" t="s">
        <v>1771</v>
      </c>
      <c r="S4" s="3775"/>
      <c r="T4" s="3774" t="s">
        <v>1772</v>
      </c>
      <c r="U4" s="3775"/>
      <c r="V4" s="3729" t="s">
        <v>1773</v>
      </c>
      <c r="W4" s="3729"/>
      <c r="X4" s="1355"/>
      <c r="Y4" s="3774" t="s">
        <v>1775</v>
      </c>
      <c r="Z4" s="3775"/>
      <c r="AA4" s="3769" t="s">
        <v>1771</v>
      </c>
      <c r="AB4" s="3741" t="s">
        <v>1772</v>
      </c>
      <c r="AC4" s="3769" t="s">
        <v>1773</v>
      </c>
    </row>
    <row r="5" spans="1:29" ht="15">
      <c r="A5" s="358"/>
      <c r="B5" s="359"/>
      <c r="C5" s="3732" t="s">
        <v>1673</v>
      </c>
      <c r="D5" s="3733"/>
      <c r="E5" s="3743" t="s">
        <v>1674</v>
      </c>
      <c r="F5" s="3744"/>
      <c r="G5" s="3732" t="s">
        <v>1675</v>
      </c>
      <c r="H5" s="3733"/>
      <c r="I5" s="3732" t="s">
        <v>1676</v>
      </c>
      <c r="J5" s="3733"/>
      <c r="K5" s="559"/>
      <c r="L5" s="2715"/>
      <c r="M5" s="2716"/>
      <c r="N5" s="2716"/>
      <c r="O5" s="2716"/>
      <c r="P5" s="3772"/>
      <c r="Q5" s="3719"/>
      <c r="R5" s="3724"/>
      <c r="S5" s="3725"/>
      <c r="T5" s="3724"/>
      <c r="U5" s="3725"/>
      <c r="V5" s="3729"/>
      <c r="W5" s="3729"/>
      <c r="X5" s="1355"/>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2715"/>
      <c r="M6" s="2716"/>
      <c r="N6" s="2716"/>
      <c r="O6" s="2716"/>
      <c r="P6" s="3773"/>
      <c r="Q6" s="3721"/>
      <c r="R6" s="3724"/>
      <c r="S6" s="3725"/>
      <c r="T6" s="3726"/>
      <c r="U6" s="3727"/>
      <c r="V6" s="3729"/>
      <c r="W6" s="3729"/>
      <c r="X6" s="1355"/>
      <c r="Y6" s="3726"/>
      <c r="Z6" s="3727"/>
      <c r="AA6" s="3742"/>
      <c r="AB6" s="3742"/>
      <c r="AC6" s="3742"/>
    </row>
    <row r="7" spans="1:29" s="108" customFormat="1" ht="15.75" thickBot="1">
      <c r="A7" s="362" t="s">
        <v>1679</v>
      </c>
      <c r="B7" s="363"/>
      <c r="C7" s="364">
        <f>'数据-取费表'!B2</f>
        <v>45870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6" t="s">
        <v>1680</v>
      </c>
      <c r="Q7" s="3737"/>
      <c r="R7" s="701" t="s">
        <v>14</v>
      </c>
      <c r="S7" s="702">
        <f t="shared" ref="S7:S14" si="0">F7</f>
        <v>0</v>
      </c>
      <c r="T7" s="701" t="s">
        <v>14</v>
      </c>
      <c r="U7" s="702">
        <f t="shared" ref="U7:U14" si="1">H7</f>
        <v>0</v>
      </c>
      <c r="V7" s="701" t="s">
        <v>14</v>
      </c>
      <c r="W7" s="702">
        <f t="shared" ref="W7:W14" si="2">J7</f>
        <v>0</v>
      </c>
      <c r="X7" s="703"/>
      <c r="Y7" s="3736" t="s">
        <v>1680</v>
      </c>
      <c r="Z7" s="373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6" t="s">
        <v>1683</v>
      </c>
      <c r="Q8" s="3735"/>
      <c r="R8" s="701" t="s">
        <v>14</v>
      </c>
      <c r="S8" s="702">
        <f t="shared" si="0"/>
        <v>100</v>
      </c>
      <c r="T8" s="701" t="s">
        <v>14</v>
      </c>
      <c r="U8" s="702">
        <f t="shared" si="1"/>
        <v>100</v>
      </c>
      <c r="V8" s="701" t="s">
        <v>14</v>
      </c>
      <c r="W8" s="702">
        <f t="shared" si="2"/>
        <v>100</v>
      </c>
      <c r="X8" s="703"/>
      <c r="Y8" s="3736" t="s">
        <v>1683</v>
      </c>
      <c r="Z8" s="373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66" t="str">
        <f>A39</f>
        <v>估价对象XX用房的比较价值（楼面单价，元/平方米）</v>
      </c>
      <c r="Q39" s="3767"/>
      <c r="R39" s="3777" t="e">
        <f>IF(F1="售价",ROUND(IF(D38="简单平均",AVERAGE(R38:W38),R38*F38+T38*H38+V38*J38),0),ROUND(IF(D38="简单平均",AVERAGE(R38:V38),R38*F38+T38*H38+V38*J38),1))</f>
        <v>#DIV/0!</v>
      </c>
      <c r="S39" s="3777"/>
      <c r="T39" s="3777"/>
      <c r="U39" s="3777"/>
      <c r="V39" s="3777"/>
      <c r="W39" s="377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70" t="s">
        <v>1775</v>
      </c>
      <c r="Q4" s="3771"/>
      <c r="R4" s="3774" t="s">
        <v>1771</v>
      </c>
      <c r="S4" s="3775"/>
      <c r="T4" s="3774" t="s">
        <v>1772</v>
      </c>
      <c r="U4" s="3775"/>
      <c r="V4" s="3729" t="s">
        <v>1773</v>
      </c>
      <c r="W4" s="3729"/>
      <c r="X4" s="1355"/>
      <c r="Y4" s="3774" t="s">
        <v>1775</v>
      </c>
      <c r="Z4" s="3775"/>
      <c r="AA4" s="3769" t="s">
        <v>1771</v>
      </c>
      <c r="AB4" s="3741" t="s">
        <v>1772</v>
      </c>
      <c r="AC4" s="3769" t="s">
        <v>1773</v>
      </c>
    </row>
    <row r="5" spans="1:29" ht="15">
      <c r="A5" s="358"/>
      <c r="B5" s="359"/>
      <c r="C5" s="3732" t="s">
        <v>1673</v>
      </c>
      <c r="D5" s="3733"/>
      <c r="E5" s="3743" t="s">
        <v>1674</v>
      </c>
      <c r="F5" s="3744"/>
      <c r="G5" s="3732" t="s">
        <v>1675</v>
      </c>
      <c r="H5" s="3733"/>
      <c r="I5" s="3732" t="s">
        <v>1676</v>
      </c>
      <c r="J5" s="3733"/>
      <c r="K5" s="559"/>
      <c r="L5" s="2715"/>
      <c r="M5" s="2716"/>
      <c r="N5" s="2716"/>
      <c r="O5" s="2716"/>
      <c r="P5" s="3772"/>
      <c r="Q5" s="3719"/>
      <c r="R5" s="3724"/>
      <c r="S5" s="3725"/>
      <c r="T5" s="3724"/>
      <c r="U5" s="3725"/>
      <c r="V5" s="3729"/>
      <c r="W5" s="3729"/>
      <c r="X5" s="1355"/>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2715"/>
      <c r="M6" s="2716"/>
      <c r="N6" s="2716"/>
      <c r="O6" s="2716"/>
      <c r="P6" s="3773"/>
      <c r="Q6" s="3721"/>
      <c r="R6" s="3724"/>
      <c r="S6" s="3725"/>
      <c r="T6" s="3726"/>
      <c r="U6" s="3727"/>
      <c r="V6" s="3729"/>
      <c r="W6" s="3729"/>
      <c r="X6" s="1355"/>
      <c r="Y6" s="3726"/>
      <c r="Z6" s="3727"/>
      <c r="AA6" s="3742"/>
      <c r="AB6" s="3742"/>
      <c r="AC6" s="3742"/>
    </row>
    <row r="7" spans="1:29" s="108" customFormat="1" ht="15.75" thickBot="1">
      <c r="A7" s="362" t="s">
        <v>1679</v>
      </c>
      <c r="B7" s="363"/>
      <c r="C7" s="364">
        <f>'数据-取费表'!B2</f>
        <v>45870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6" t="s">
        <v>1680</v>
      </c>
      <c r="Q7" s="3737"/>
      <c r="R7" s="701" t="s">
        <v>14</v>
      </c>
      <c r="S7" s="702">
        <f t="shared" ref="S7:S14" si="0">F7</f>
        <v>0</v>
      </c>
      <c r="T7" s="701" t="s">
        <v>14</v>
      </c>
      <c r="U7" s="702">
        <f t="shared" ref="U7:U14" si="1">H7</f>
        <v>0</v>
      </c>
      <c r="V7" s="701" t="s">
        <v>14</v>
      </c>
      <c r="W7" s="702">
        <f t="shared" ref="W7:W14" si="2">J7</f>
        <v>0</v>
      </c>
      <c r="X7" s="703"/>
      <c r="Y7" s="3736" t="s">
        <v>1680</v>
      </c>
      <c r="Z7" s="373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6" t="s">
        <v>1683</v>
      </c>
      <c r="Q8" s="3735"/>
      <c r="R8" s="701" t="s">
        <v>14</v>
      </c>
      <c r="S8" s="702">
        <f t="shared" si="0"/>
        <v>100</v>
      </c>
      <c r="T8" s="701" t="s">
        <v>14</v>
      </c>
      <c r="U8" s="702">
        <f t="shared" si="1"/>
        <v>100</v>
      </c>
      <c r="V8" s="701" t="s">
        <v>14</v>
      </c>
      <c r="W8" s="702">
        <f t="shared" si="2"/>
        <v>100</v>
      </c>
      <c r="X8" s="703"/>
      <c r="Y8" s="3736" t="s">
        <v>1683</v>
      </c>
      <c r="Z8" s="373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66" t="str">
        <f>A37</f>
        <v>估价对象XX用房的比较价值（楼面单价，元/平方米）</v>
      </c>
      <c r="Q37" s="3767"/>
      <c r="R37" s="3777" t="e">
        <f>IF(F1="售价",ROUND(IF(D36="简单平均",AVERAGE(R36:W36),R36*F36+T36*H36+V36*J36),0),ROUND(IF(D36="简单平均",AVERAGE(R36:V36),R36*F36+T36*H36+V36*J36),1))</f>
        <v>#DIV/0!</v>
      </c>
      <c r="S37" s="3777"/>
      <c r="T37" s="3777"/>
      <c r="U37" s="3777"/>
      <c r="V37" s="3777"/>
      <c r="W37" s="377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2" t="s">
        <v>1770</v>
      </c>
      <c r="D4" s="3713"/>
      <c r="E4" s="3714" t="s">
        <v>1771</v>
      </c>
      <c r="F4" s="3715"/>
      <c r="G4" s="3712" t="s">
        <v>1772</v>
      </c>
      <c r="H4" s="3713"/>
      <c r="I4" s="3712" t="s">
        <v>1773</v>
      </c>
      <c r="J4" s="3713"/>
      <c r="K4" s="559" t="s">
        <v>1774</v>
      </c>
      <c r="L4" s="2715"/>
      <c r="M4" s="2716"/>
      <c r="N4" s="2716"/>
      <c r="O4" s="2716"/>
      <c r="P4" s="3770" t="s">
        <v>1775</v>
      </c>
      <c r="Q4" s="3771"/>
      <c r="R4" s="3774" t="s">
        <v>1771</v>
      </c>
      <c r="S4" s="3775"/>
      <c r="T4" s="3774" t="s">
        <v>1772</v>
      </c>
      <c r="U4" s="3775"/>
      <c r="V4" s="3729" t="s">
        <v>1773</v>
      </c>
      <c r="W4" s="3729"/>
      <c r="X4" s="1355"/>
      <c r="Y4" s="3774" t="s">
        <v>1775</v>
      </c>
      <c r="Z4" s="3775"/>
      <c r="AA4" s="3769" t="s">
        <v>1771</v>
      </c>
      <c r="AB4" s="3741" t="s">
        <v>1772</v>
      </c>
      <c r="AC4" s="3769" t="s">
        <v>1773</v>
      </c>
    </row>
    <row r="5" spans="1:30" ht="15">
      <c r="A5" s="358"/>
      <c r="B5" s="359"/>
      <c r="C5" s="3732" t="s">
        <v>1673</v>
      </c>
      <c r="D5" s="3733"/>
      <c r="E5" s="3743" t="s">
        <v>1674</v>
      </c>
      <c r="F5" s="3744"/>
      <c r="G5" s="3732" t="s">
        <v>1675</v>
      </c>
      <c r="H5" s="3733"/>
      <c r="I5" s="3732" t="s">
        <v>1676</v>
      </c>
      <c r="J5" s="3733"/>
      <c r="K5" s="559"/>
      <c r="L5" s="2715"/>
      <c r="M5" s="2716"/>
      <c r="N5" s="2716"/>
      <c r="O5" s="2716"/>
      <c r="P5" s="3772"/>
      <c r="Q5" s="3719"/>
      <c r="R5" s="3724"/>
      <c r="S5" s="3725"/>
      <c r="T5" s="3724"/>
      <c r="U5" s="3725"/>
      <c r="V5" s="3729"/>
      <c r="W5" s="3729"/>
      <c r="X5" s="1355"/>
      <c r="Y5" s="3724"/>
      <c r="Z5" s="3725"/>
      <c r="AA5" s="3741"/>
      <c r="AB5" s="3741"/>
      <c r="AC5" s="3741"/>
    </row>
    <row r="6" spans="1:30" ht="15.75" thickBot="1">
      <c r="A6" s="360"/>
      <c r="B6" s="361"/>
      <c r="C6" s="3730" t="s">
        <v>1677</v>
      </c>
      <c r="D6" s="3731"/>
      <c r="E6" s="3738" t="s">
        <v>1677</v>
      </c>
      <c r="F6" s="3739"/>
      <c r="G6" s="3730" t="s">
        <v>1677</v>
      </c>
      <c r="H6" s="3731"/>
      <c r="I6" s="3730" t="s">
        <v>1677</v>
      </c>
      <c r="J6" s="3731"/>
      <c r="K6" s="559" t="s">
        <v>1678</v>
      </c>
      <c r="L6" s="2715"/>
      <c r="M6" s="2716"/>
      <c r="N6" s="2716"/>
      <c r="O6" s="2716"/>
      <c r="P6" s="3773"/>
      <c r="Q6" s="3721"/>
      <c r="R6" s="3724"/>
      <c r="S6" s="3725"/>
      <c r="T6" s="3726"/>
      <c r="U6" s="3727"/>
      <c r="V6" s="3729"/>
      <c r="W6" s="3729"/>
      <c r="X6" s="1355"/>
      <c r="Y6" s="3726"/>
      <c r="Z6" s="3727"/>
      <c r="AA6" s="3742"/>
      <c r="AB6" s="3742"/>
      <c r="AC6" s="3742"/>
    </row>
    <row r="7" spans="1:30" s="108" customFormat="1" ht="15.75" thickBot="1">
      <c r="A7" s="362" t="s">
        <v>1679</v>
      </c>
      <c r="B7" s="363"/>
      <c r="C7" s="364">
        <f>'数据-取费表'!B2</f>
        <v>45870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6" t="s">
        <v>1680</v>
      </c>
      <c r="Q7" s="3737"/>
      <c r="R7" s="701" t="s">
        <v>14</v>
      </c>
      <c r="S7" s="702">
        <f t="shared" ref="S7:S15" si="0">F7</f>
        <v>0</v>
      </c>
      <c r="T7" s="701" t="s">
        <v>14</v>
      </c>
      <c r="U7" s="702">
        <f t="shared" ref="U7:U15" si="1">H7</f>
        <v>0</v>
      </c>
      <c r="V7" s="701" t="s">
        <v>14</v>
      </c>
      <c r="W7" s="702">
        <f t="shared" ref="W7:W15" si="2">J7</f>
        <v>0</v>
      </c>
      <c r="X7" s="703"/>
      <c r="Y7" s="3736" t="s">
        <v>1680</v>
      </c>
      <c r="Z7" s="373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6" t="s">
        <v>1683</v>
      </c>
      <c r="Q8" s="3735"/>
      <c r="R8" s="701" t="s">
        <v>14</v>
      </c>
      <c r="S8" s="702">
        <f t="shared" si="0"/>
        <v>0</v>
      </c>
      <c r="T8" s="701" t="s">
        <v>14</v>
      </c>
      <c r="U8" s="702">
        <f t="shared" si="1"/>
        <v>0</v>
      </c>
      <c r="V8" s="701" t="s">
        <v>14</v>
      </c>
      <c r="W8" s="702">
        <f t="shared" si="2"/>
        <v>0</v>
      </c>
      <c r="X8" s="703"/>
      <c r="Y8" s="3736" t="s">
        <v>1683</v>
      </c>
      <c r="Z8" s="373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95"/>
      <c r="Q10" s="1343" t="str">
        <f t="shared" si="6"/>
        <v>土地使用年限（年）</v>
      </c>
      <c r="R10" s="701" t="s">
        <v>14</v>
      </c>
      <c r="S10" s="702">
        <f t="shared" si="0"/>
        <v>109</v>
      </c>
      <c r="T10" s="701" t="s">
        <v>14</v>
      </c>
      <c r="U10" s="702">
        <f t="shared" si="1"/>
        <v>109</v>
      </c>
      <c r="V10" s="701" t="s">
        <v>14</v>
      </c>
      <c r="W10" s="702">
        <f t="shared" si="2"/>
        <v>109</v>
      </c>
      <c r="X10" s="703"/>
      <c r="Y10" s="3574"/>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9">
        <f>E46</f>
        <v>0</v>
      </c>
      <c r="S46" s="3729"/>
      <c r="T46" s="3729">
        <f>G46</f>
        <v>0</v>
      </c>
      <c r="U46" s="3729"/>
      <c r="V46" s="3729">
        <f>I46</f>
        <v>0</v>
      </c>
      <c r="W46" s="372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78" t="e">
        <f>ROUND(PRODUCT(R46,AA7:AA45),0)</f>
        <v>#DIV/0!</v>
      </c>
      <c r="S47" s="3778"/>
      <c r="T47" s="3778" t="e">
        <f>ROUND(PRODUCT(T46,AB7:AB45),0)</f>
        <v>#DIV/0!</v>
      </c>
      <c r="U47" s="3778"/>
      <c r="V47" s="3778" t="e">
        <f>ROUND(PRODUCT(V46,AC7:AC45),0)</f>
        <v>#DIV/0!</v>
      </c>
      <c r="W47" s="377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66" t="str">
        <f>A48</f>
        <v>估价对象XX用房的比较价值（楼面单价，元/平方米）</v>
      </c>
      <c r="Q48" s="3767"/>
      <c r="R48" s="3779" t="e">
        <f>ROUND(IF(D47="简单平均",AVERAGE(R47:W47),R47*F47+T47*H47+V47*J47),0)</f>
        <v>#DIV/0!</v>
      </c>
      <c r="S48" s="3779"/>
      <c r="T48" s="3779"/>
      <c r="U48" s="3779"/>
      <c r="V48" s="3779"/>
      <c r="W48" s="377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2" t="s">
        <v>1887</v>
      </c>
      <c r="H55" s="378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88.15</v>
      </c>
      <c r="F56" s="886" t="e">
        <f t="shared" ref="F56:F64" si="15">ROUND(B56*E56/10000,0)</f>
        <v>#DIV/0!</v>
      </c>
      <c r="G56" s="3694"/>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88.15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70" t="s">
        <v>1775</v>
      </c>
      <c r="Q4" s="3771"/>
      <c r="R4" s="3774" t="s">
        <v>1771</v>
      </c>
      <c r="S4" s="3775"/>
      <c r="T4" s="3774" t="s">
        <v>1772</v>
      </c>
      <c r="U4" s="3775"/>
      <c r="V4" s="3729" t="s">
        <v>1773</v>
      </c>
      <c r="W4" s="3729"/>
      <c r="X4" s="1355"/>
      <c r="Y4" s="3774" t="s">
        <v>1775</v>
      </c>
      <c r="Z4" s="3775"/>
      <c r="AA4" s="3769" t="s">
        <v>1771</v>
      </c>
      <c r="AB4" s="3741" t="s">
        <v>1772</v>
      </c>
      <c r="AC4" s="3769" t="s">
        <v>1773</v>
      </c>
    </row>
    <row r="5" spans="1:29" ht="15">
      <c r="A5" s="358"/>
      <c r="B5" s="359"/>
      <c r="C5" s="3732" t="s">
        <v>1673</v>
      </c>
      <c r="D5" s="3733"/>
      <c r="E5" s="3743" t="s">
        <v>1674</v>
      </c>
      <c r="F5" s="3744"/>
      <c r="G5" s="3732" t="s">
        <v>1675</v>
      </c>
      <c r="H5" s="3733"/>
      <c r="I5" s="3732" t="s">
        <v>1676</v>
      </c>
      <c r="J5" s="3733"/>
      <c r="K5" s="559"/>
      <c r="L5" s="2715"/>
      <c r="M5" s="2716"/>
      <c r="N5" s="2716"/>
      <c r="O5" s="2716"/>
      <c r="P5" s="3772"/>
      <c r="Q5" s="3719"/>
      <c r="R5" s="3724"/>
      <c r="S5" s="3725"/>
      <c r="T5" s="3724"/>
      <c r="U5" s="3725"/>
      <c r="V5" s="3729"/>
      <c r="W5" s="3729"/>
      <c r="X5" s="1355"/>
      <c r="Y5" s="3724"/>
      <c r="Z5" s="3725"/>
      <c r="AA5" s="3741"/>
      <c r="AB5" s="3741"/>
      <c r="AC5" s="3741"/>
    </row>
    <row r="6" spans="1:29" ht="15.75" thickBot="1">
      <c r="A6" s="360"/>
      <c r="B6" s="361"/>
      <c r="C6" s="3781" t="s">
        <v>1919</v>
      </c>
      <c r="D6" s="3782"/>
      <c r="E6" s="3783" t="s">
        <v>1919</v>
      </c>
      <c r="F6" s="3784"/>
      <c r="G6" s="3781" t="s">
        <v>1919</v>
      </c>
      <c r="H6" s="3782"/>
      <c r="I6" s="3781" t="s">
        <v>1919</v>
      </c>
      <c r="J6" s="3782"/>
      <c r="K6" s="559" t="s">
        <v>1678</v>
      </c>
      <c r="L6" s="2715"/>
      <c r="M6" s="2716"/>
      <c r="N6" s="2716"/>
      <c r="O6" s="2716"/>
      <c r="P6" s="3773"/>
      <c r="Q6" s="3721"/>
      <c r="R6" s="3724"/>
      <c r="S6" s="3725"/>
      <c r="T6" s="3726"/>
      <c r="U6" s="3727"/>
      <c r="V6" s="3729"/>
      <c r="W6" s="3729"/>
      <c r="X6" s="1355"/>
      <c r="Y6" s="3726"/>
      <c r="Z6" s="3727"/>
      <c r="AA6" s="3742"/>
      <c r="AB6" s="3742"/>
      <c r="AC6" s="3742"/>
    </row>
    <row r="7" spans="1:29" s="108" customFormat="1" ht="15.75" thickBot="1">
      <c r="A7" s="362" t="s">
        <v>1679</v>
      </c>
      <c r="B7" s="363"/>
      <c r="C7" s="364">
        <f>'数据-取费表'!B2</f>
        <v>45870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6" t="s">
        <v>1680</v>
      </c>
      <c r="Q7" s="3737"/>
      <c r="R7" s="701" t="s">
        <v>14</v>
      </c>
      <c r="S7" s="702">
        <f t="shared" ref="S7:S15" si="0">F7</f>
        <v>0</v>
      </c>
      <c r="T7" s="701" t="s">
        <v>14</v>
      </c>
      <c r="U7" s="702">
        <f t="shared" ref="U7:U15" si="1">H7</f>
        <v>0</v>
      </c>
      <c r="V7" s="701" t="s">
        <v>14</v>
      </c>
      <c r="W7" s="702">
        <f t="shared" ref="W7:W15" si="2">J7</f>
        <v>0</v>
      </c>
      <c r="X7" s="703"/>
      <c r="Y7" s="3736" t="s">
        <v>1680</v>
      </c>
      <c r="Z7" s="373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6" t="s">
        <v>1683</v>
      </c>
      <c r="Q8" s="3735"/>
      <c r="R8" s="701" t="s">
        <v>14</v>
      </c>
      <c r="S8" s="702">
        <f t="shared" si="0"/>
        <v>0</v>
      </c>
      <c r="T8" s="701" t="s">
        <v>14</v>
      </c>
      <c r="U8" s="702">
        <f t="shared" si="1"/>
        <v>0</v>
      </c>
      <c r="V8" s="701" t="s">
        <v>14</v>
      </c>
      <c r="W8" s="702">
        <f t="shared" si="2"/>
        <v>0</v>
      </c>
      <c r="X8" s="703"/>
      <c r="Y8" s="3736" t="s">
        <v>1683</v>
      </c>
      <c r="Z8" s="373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95"/>
      <c r="Q10" s="1343" t="str">
        <f t="shared" si="6"/>
        <v>土地使用年限（年）</v>
      </c>
      <c r="R10" s="701" t="s">
        <v>14</v>
      </c>
      <c r="S10" s="702">
        <f t="shared" si="0"/>
        <v>109</v>
      </c>
      <c r="T10" s="701" t="s">
        <v>14</v>
      </c>
      <c r="U10" s="702">
        <f t="shared" si="1"/>
        <v>109</v>
      </c>
      <c r="V10" s="701" t="s">
        <v>14</v>
      </c>
      <c r="W10" s="702">
        <f t="shared" si="2"/>
        <v>109</v>
      </c>
      <c r="X10" s="703"/>
      <c r="Y10" s="3574"/>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9">
        <f>E41</f>
        <v>0</v>
      </c>
      <c r="S41" s="3729"/>
      <c r="T41" s="3729">
        <f>G41</f>
        <v>0</v>
      </c>
      <c r="U41" s="3729"/>
      <c r="V41" s="3729">
        <f>I41</f>
        <v>0</v>
      </c>
      <c r="W41" s="372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78" t="e">
        <f>ROUND(PRODUCT(R41,AA7:AA40),0)</f>
        <v>#DIV/0!</v>
      </c>
      <c r="S42" s="3778"/>
      <c r="T42" s="3778" t="e">
        <f>ROUND(PRODUCT(T41,AB7:AB40),0)</f>
        <v>#DIV/0!</v>
      </c>
      <c r="U42" s="3778"/>
      <c r="V42" s="3778" t="e">
        <f>ROUND(PRODUCT(V41,AC7:AC40),0)</f>
        <v>#DIV/0!</v>
      </c>
      <c r="W42" s="377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66" t="str">
        <f>A43</f>
        <v>估价对象XX用房的比较价值（楼面单价，元/平方米）</v>
      </c>
      <c r="Q43" s="3767"/>
      <c r="R43" s="3779" t="e">
        <f>ROUND(IF(D42="简单平均",AVERAGE(R42:W42),R42*F42+T42*H42+V42*J42),0)</f>
        <v>#DIV/0!</v>
      </c>
      <c r="S43" s="3779"/>
      <c r="T43" s="3779"/>
      <c r="U43" s="3779"/>
      <c r="V43" s="3779"/>
      <c r="W43" s="377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2" t="s">
        <v>1887</v>
      </c>
      <c r="H50" s="378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88.15</v>
      </c>
      <c r="F51" s="639" t="e">
        <f t="shared" ref="F51:F60" si="15">ROUND(B51*E51/10000,0)</f>
        <v>#DIV/0!</v>
      </c>
      <c r="G51" s="3694"/>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8" t="s">
        <v>2084</v>
      </c>
      <c r="D1" s="3789"/>
      <c r="E1" s="3789"/>
      <c r="F1" s="3789"/>
      <c r="G1" s="3789"/>
      <c r="H1" s="3789"/>
      <c r="I1" s="3789"/>
      <c r="J1" s="3789"/>
      <c r="K1" s="3789"/>
      <c r="L1" s="3789"/>
      <c r="M1" s="3789"/>
      <c r="N1" s="3789"/>
      <c r="O1" s="3789"/>
      <c r="P1" s="3789"/>
      <c r="Q1" s="3789"/>
      <c r="R1" s="3789"/>
      <c r="S1" s="379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5" t="s">
        <v>27</v>
      </c>
      <c r="D22" s="3786"/>
      <c r="E22" s="3786"/>
      <c r="F22" s="3786"/>
      <c r="G22" s="3786"/>
      <c r="H22" s="3786"/>
      <c r="I22" s="3786"/>
      <c r="J22" s="3786"/>
      <c r="K22" s="3786"/>
      <c r="L22" s="3786"/>
      <c r="M22" s="3786"/>
      <c r="N22" s="3786"/>
      <c r="O22" s="3786"/>
      <c r="P22" s="3786"/>
      <c r="Q22" s="378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2" t="s">
        <v>2607</v>
      </c>
      <c r="B20" s="3795" t="s">
        <v>2628</v>
      </c>
      <c r="C20" s="3477" t="s">
        <v>2439</v>
      </c>
      <c r="D20" s="3477"/>
      <c r="E20" s="3105">
        <v>1</v>
      </c>
      <c r="F20" s="3106" t="s">
        <v>2440</v>
      </c>
      <c r="G20" s="3106"/>
    </row>
    <row r="21" spans="1:13" ht="19.5" customHeight="1">
      <c r="A21" s="3803"/>
      <c r="B21" s="3791"/>
      <c r="C21" s="3467" t="s">
        <v>2441</v>
      </c>
      <c r="D21" s="3467"/>
      <c r="E21" s="3109">
        <v>1</v>
      </c>
      <c r="F21" s="3106" t="s">
        <v>2442</v>
      </c>
      <c r="G21" s="3106"/>
    </row>
    <row r="22" spans="1:13" ht="19.5" customHeight="1">
      <c r="A22" s="3803"/>
      <c r="B22" s="3791"/>
      <c r="C22" s="3467" t="s">
        <v>2443</v>
      </c>
      <c r="D22" s="3467"/>
      <c r="E22" s="3109">
        <v>0.9</v>
      </c>
      <c r="F22" s="3106" t="s">
        <v>2444</v>
      </c>
      <c r="G22" s="3106"/>
    </row>
    <row r="23" spans="1:13" ht="19.5" customHeight="1">
      <c r="A23" s="3803"/>
      <c r="B23" s="3791"/>
      <c r="C23" s="3467" t="s">
        <v>2445</v>
      </c>
      <c r="D23" s="3467"/>
      <c r="E23" s="3109">
        <v>0.9</v>
      </c>
      <c r="F23" s="3106" t="s">
        <v>2446</v>
      </c>
      <c r="G23" s="3106"/>
    </row>
    <row r="24" spans="1:13" ht="19.5" customHeight="1">
      <c r="A24" s="3803"/>
      <c r="B24" s="3791"/>
      <c r="C24" s="3467" t="s">
        <v>2447</v>
      </c>
      <c r="D24" s="3467"/>
      <c r="E24" s="3109">
        <v>0.8</v>
      </c>
      <c r="F24" s="3106" t="s">
        <v>2448</v>
      </c>
      <c r="G24" s="3106"/>
    </row>
    <row r="25" spans="1:13" ht="19.5" customHeight="1">
      <c r="A25" s="3803"/>
      <c r="B25" s="3791"/>
      <c r="C25" s="3467" t="s">
        <v>2449</v>
      </c>
      <c r="D25" s="3467"/>
      <c r="E25" s="3109">
        <v>0.8</v>
      </c>
      <c r="F25" s="3106"/>
      <c r="G25" s="3106"/>
    </row>
    <row r="26" spans="1:13" ht="19.5" customHeight="1">
      <c r="A26" s="3803"/>
      <c r="B26" s="3791"/>
      <c r="C26" s="3470" t="s">
        <v>3412</v>
      </c>
      <c r="D26" s="3470"/>
      <c r="E26" s="3471">
        <v>0.43</v>
      </c>
      <c r="F26" s="3106"/>
      <c r="G26" s="3106"/>
    </row>
    <row r="27" spans="1:13" ht="19.5" customHeight="1" thickBot="1">
      <c r="A27" s="3804"/>
      <c r="B27" s="3796"/>
      <c r="C27" s="3472" t="s">
        <v>3413</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7" t="s">
        <v>2631</v>
      </c>
      <c r="B29" s="3800" t="s">
        <v>2612</v>
      </c>
      <c r="C29" s="3103" t="s">
        <v>2452</v>
      </c>
      <c r="D29" s="3104"/>
      <c r="E29" s="3105">
        <v>1</v>
      </c>
      <c r="F29" s="3106" t="s">
        <v>2453</v>
      </c>
      <c r="G29" s="3106"/>
    </row>
    <row r="30" spans="1:13" ht="19.5" customHeight="1">
      <c r="A30" s="3798"/>
      <c r="B30" s="3794"/>
      <c r="C30" s="3107" t="s">
        <v>2454</v>
      </c>
      <c r="D30" s="3108"/>
      <c r="E30" s="3109">
        <v>1</v>
      </c>
      <c r="F30" s="3106" t="s">
        <v>2455</v>
      </c>
      <c r="G30" s="3106"/>
    </row>
    <row r="31" spans="1:13" ht="19.5" customHeight="1">
      <c r="A31" s="3798"/>
      <c r="B31" s="3794"/>
      <c r="C31" s="3107" t="s">
        <v>2456</v>
      </c>
      <c r="D31" s="3108"/>
      <c r="E31" s="3109">
        <v>0.8</v>
      </c>
      <c r="F31" s="3106" t="s">
        <v>2457</v>
      </c>
      <c r="G31" s="3106"/>
    </row>
    <row r="32" spans="1:13" ht="19.5" customHeight="1">
      <c r="A32" s="3798"/>
      <c r="B32" s="3794"/>
      <c r="C32" s="3107" t="s">
        <v>2458</v>
      </c>
      <c r="D32" s="3108"/>
      <c r="E32" s="3109">
        <v>0.8</v>
      </c>
      <c r="F32" s="3106" t="s">
        <v>2459</v>
      </c>
      <c r="G32" s="3106"/>
    </row>
    <row r="33" spans="1:7" ht="19.5" customHeight="1">
      <c r="A33" s="3798"/>
      <c r="B33" s="3794"/>
      <c r="C33" s="3107" t="s">
        <v>2460</v>
      </c>
      <c r="D33" s="3108"/>
      <c r="E33" s="3109">
        <v>0.8</v>
      </c>
      <c r="F33" s="3106" t="s">
        <v>2461</v>
      </c>
      <c r="G33" s="3106"/>
    </row>
    <row r="34" spans="1:7" ht="19.5" customHeight="1">
      <c r="A34" s="3798"/>
      <c r="B34" s="3794"/>
      <c r="C34" s="3107" t="s">
        <v>2462</v>
      </c>
      <c r="D34" s="3108"/>
      <c r="E34" s="3109">
        <v>0.7</v>
      </c>
      <c r="F34" s="3106" t="s">
        <v>2463</v>
      </c>
      <c r="G34" s="3106"/>
    </row>
    <row r="35" spans="1:7" ht="19.5" customHeight="1">
      <c r="A35" s="3798"/>
      <c r="B35" s="3794"/>
      <c r="C35" s="3107" t="s">
        <v>2464</v>
      </c>
      <c r="D35" s="3108"/>
      <c r="E35" s="3109">
        <v>0.8</v>
      </c>
      <c r="F35" s="3106" t="s">
        <v>2465</v>
      </c>
      <c r="G35" s="3106"/>
    </row>
    <row r="36" spans="1:7" ht="19.5" customHeight="1">
      <c r="A36" s="3798"/>
      <c r="B36" s="3794"/>
      <c r="C36" s="3107" t="s">
        <v>2466</v>
      </c>
      <c r="D36" s="3108"/>
      <c r="E36" s="3109">
        <v>0.6</v>
      </c>
      <c r="F36" s="3106" t="s">
        <v>2467</v>
      </c>
      <c r="G36" s="3106"/>
    </row>
    <row r="37" spans="1:7" ht="19.5" customHeight="1">
      <c r="A37" s="3798"/>
      <c r="B37" s="3794"/>
      <c r="C37" s="3107" t="s">
        <v>2468</v>
      </c>
      <c r="D37" s="3108"/>
      <c r="E37" s="3109">
        <v>0.2</v>
      </c>
      <c r="F37" s="3106" t="s">
        <v>2469</v>
      </c>
      <c r="G37" s="3106"/>
    </row>
    <row r="38" spans="1:7" ht="19.5" customHeight="1">
      <c r="A38" s="3798"/>
      <c r="B38" s="3794"/>
      <c r="C38" s="3107" t="s">
        <v>2470</v>
      </c>
      <c r="D38" s="3108"/>
      <c r="E38" s="3109">
        <v>0.2</v>
      </c>
      <c r="F38" s="3106" t="s">
        <v>2471</v>
      </c>
      <c r="G38" s="3106"/>
    </row>
    <row r="39" spans="1:7" ht="19.5" customHeight="1">
      <c r="A39" s="3798"/>
      <c r="B39" s="3792" t="s">
        <v>2632</v>
      </c>
      <c r="C39" s="3107" t="s">
        <v>2472</v>
      </c>
      <c r="D39" s="3108"/>
      <c r="E39" s="3109">
        <v>0.6</v>
      </c>
      <c r="F39" s="3106" t="s">
        <v>2473</v>
      </c>
      <c r="G39" s="3106"/>
    </row>
    <row r="40" spans="1:7" ht="19.5" customHeight="1">
      <c r="A40" s="3798"/>
      <c r="B40" s="3794"/>
      <c r="C40" s="3107" t="s">
        <v>2474</v>
      </c>
      <c r="D40" s="3108"/>
      <c r="E40" s="3109">
        <v>0.6</v>
      </c>
      <c r="F40" s="3106" t="s">
        <v>2475</v>
      </c>
      <c r="G40" s="3106"/>
    </row>
    <row r="41" spans="1:7" ht="19.5" customHeight="1" thickBot="1">
      <c r="A41" s="3799"/>
      <c r="B41" s="3801"/>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02" t="s">
        <v>2610</v>
      </c>
      <c r="B43" s="3800" t="s">
        <v>2634</v>
      </c>
      <c r="C43" s="3103" t="s">
        <v>2479</v>
      </c>
      <c r="D43" s="3104"/>
      <c r="E43" s="3105">
        <v>1</v>
      </c>
      <c r="F43" s="3106" t="s">
        <v>2480</v>
      </c>
      <c r="G43" s="3106"/>
    </row>
    <row r="44" spans="1:7" ht="19.5" customHeight="1">
      <c r="A44" s="3803"/>
      <c r="B44" s="3794"/>
      <c r="C44" s="3107" t="s">
        <v>2481</v>
      </c>
      <c r="D44" s="3108"/>
      <c r="E44" s="3109">
        <v>1</v>
      </c>
      <c r="F44" s="3106" t="s">
        <v>2482</v>
      </c>
      <c r="G44" s="3106"/>
    </row>
    <row r="45" spans="1:7" ht="19.5" customHeight="1">
      <c r="A45" s="3803"/>
      <c r="B45" s="3793"/>
      <c r="C45" s="3107" t="s">
        <v>2483</v>
      </c>
      <c r="D45" s="3108"/>
      <c r="E45" s="3109">
        <v>1.5</v>
      </c>
      <c r="F45" s="3106" t="s">
        <v>2484</v>
      </c>
      <c r="G45" s="3106"/>
    </row>
    <row r="46" spans="1:7" ht="19.5" customHeight="1">
      <c r="A46" s="3803"/>
      <c r="B46" s="3118" t="s">
        <v>2635</v>
      </c>
      <c r="C46" s="3107" t="s">
        <v>2636</v>
      </c>
      <c r="D46" s="3108"/>
      <c r="E46" s="3109">
        <v>2</v>
      </c>
      <c r="F46" s="3106" t="s">
        <v>2485</v>
      </c>
      <c r="G46" s="3106"/>
    </row>
    <row r="47" spans="1:7" ht="19.5" customHeight="1">
      <c r="A47" s="3803"/>
      <c r="B47" s="3792" t="s">
        <v>2637</v>
      </c>
      <c r="C47" s="3107" t="s">
        <v>2486</v>
      </c>
      <c r="D47" s="3108"/>
      <c r="E47" s="3109">
        <v>1</v>
      </c>
      <c r="F47" s="3106" t="s">
        <v>2487</v>
      </c>
      <c r="G47" s="3106"/>
    </row>
    <row r="48" spans="1:7" ht="19.5" customHeight="1">
      <c r="A48" s="3803"/>
      <c r="B48" s="3794"/>
      <c r="C48" s="3107" t="s">
        <v>2488</v>
      </c>
      <c r="D48" s="3108"/>
      <c r="E48" s="3109">
        <v>1</v>
      </c>
      <c r="F48" s="3106" t="s">
        <v>2489</v>
      </c>
      <c r="G48" s="3106"/>
    </row>
    <row r="49" spans="1:7" ht="19.5" customHeight="1">
      <c r="A49" s="3803"/>
      <c r="B49" s="3794"/>
      <c r="C49" s="3107" t="s">
        <v>2490</v>
      </c>
      <c r="D49" s="3108"/>
      <c r="E49" s="3109">
        <v>1</v>
      </c>
      <c r="F49" s="3106" t="s">
        <v>2491</v>
      </c>
      <c r="G49" s="3106"/>
    </row>
    <row r="50" spans="1:7" ht="19.5" customHeight="1">
      <c r="A50" s="3803"/>
      <c r="B50" s="3794"/>
      <c r="C50" s="3107" t="s">
        <v>2492</v>
      </c>
      <c r="D50" s="3108"/>
      <c r="E50" s="3109">
        <v>1</v>
      </c>
      <c r="F50" s="3106" t="s">
        <v>2493</v>
      </c>
      <c r="G50" s="3106"/>
    </row>
    <row r="51" spans="1:7" ht="19.5" customHeight="1">
      <c r="A51" s="3803"/>
      <c r="B51" s="3794"/>
      <c r="C51" s="3107" t="s">
        <v>2494</v>
      </c>
      <c r="D51" s="3108"/>
      <c r="E51" s="3109">
        <v>1</v>
      </c>
      <c r="F51" s="3106" t="s">
        <v>2495</v>
      </c>
      <c r="G51" s="3106"/>
    </row>
    <row r="52" spans="1:7" ht="19.5" customHeight="1">
      <c r="A52" s="3803"/>
      <c r="B52" s="3794"/>
      <c r="C52" s="3107" t="s">
        <v>2496</v>
      </c>
      <c r="D52" s="3108"/>
      <c r="E52" s="3109">
        <v>1</v>
      </c>
      <c r="F52" s="3106" t="s">
        <v>2497</v>
      </c>
      <c r="G52" s="3106"/>
    </row>
    <row r="53" spans="1:7" ht="19.5" customHeight="1" thickBot="1">
      <c r="A53" s="3804"/>
      <c r="B53" s="3801"/>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2"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793"/>
      <c r="C91" s="3092" t="s">
        <v>2684</v>
      </c>
      <c r="D91" s="3092" t="s">
        <v>2685</v>
      </c>
      <c r="E91" s="3118">
        <v>0.1</v>
      </c>
      <c r="F91" s="3118">
        <v>15</v>
      </c>
    </row>
    <row r="92" spans="1:6" ht="13.5">
      <c r="A92" s="3118">
        <v>18</v>
      </c>
      <c r="B92" s="3792"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793"/>
      <c r="C108" s="3092" t="s">
        <v>2719</v>
      </c>
      <c r="D108" s="3092" t="s">
        <v>2720</v>
      </c>
      <c r="E108" s="3118">
        <v>0.1</v>
      </c>
      <c r="F108" s="3118">
        <v>15</v>
      </c>
    </row>
    <row r="109" spans="1:6" ht="24">
      <c r="A109" s="3118">
        <v>35</v>
      </c>
      <c r="B109" s="3792"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793"/>
      <c r="C114" s="3118" t="s">
        <v>2732</v>
      </c>
      <c r="D114" s="3092" t="s">
        <v>2733</v>
      </c>
      <c r="E114" s="3118">
        <v>0.1</v>
      </c>
      <c r="F114" s="3118">
        <v>15</v>
      </c>
    </row>
    <row r="115" spans="1:6" ht="13.5">
      <c r="A115" s="3118">
        <v>41</v>
      </c>
      <c r="B115" s="3791" t="s">
        <v>2734</v>
      </c>
      <c r="C115" s="3118" t="s">
        <v>2735</v>
      </c>
      <c r="D115" s="3092" t="s">
        <v>2736</v>
      </c>
      <c r="E115" s="3118">
        <v>0.1</v>
      </c>
      <c r="F115" s="3118">
        <v>15</v>
      </c>
    </row>
    <row r="116" spans="1:6" ht="13.5">
      <c r="A116" s="3118">
        <v>42</v>
      </c>
      <c r="B116" s="3791"/>
      <c r="C116" s="3118" t="s">
        <v>2737</v>
      </c>
      <c r="D116" s="3092" t="s">
        <v>2738</v>
      </c>
      <c r="E116" s="3118">
        <v>0.1</v>
      </c>
      <c r="F116" s="3118">
        <v>15</v>
      </c>
    </row>
    <row r="117" spans="1:6" ht="24">
      <c r="A117" s="3118">
        <v>43</v>
      </c>
      <c r="B117" s="3791"/>
      <c r="C117" s="3118" t="s">
        <v>2739</v>
      </c>
      <c r="D117" s="3092" t="s">
        <v>2740</v>
      </c>
      <c r="E117" s="3118">
        <v>0.1</v>
      </c>
      <c r="F117" s="3118">
        <v>15</v>
      </c>
    </row>
    <row r="118" spans="1:6" ht="13.5">
      <c r="A118" s="3118">
        <v>44</v>
      </c>
      <c r="B118" s="3792" t="s">
        <v>2741</v>
      </c>
      <c r="C118" s="3118" t="s">
        <v>2742</v>
      </c>
      <c r="D118" s="3092" t="s">
        <v>2743</v>
      </c>
      <c r="E118" s="3118">
        <v>0.1</v>
      </c>
      <c r="F118" s="3118">
        <v>15</v>
      </c>
    </row>
    <row r="119" spans="1:6" ht="24">
      <c r="A119" s="3118">
        <v>45</v>
      </c>
      <c r="B119" s="3793"/>
      <c r="C119" s="3092" t="s">
        <v>2744</v>
      </c>
      <c r="D119" s="3092" t="s">
        <v>2745</v>
      </c>
      <c r="E119" s="3118">
        <v>0.1</v>
      </c>
      <c r="F119" s="3118">
        <v>15</v>
      </c>
    </row>
    <row r="120" spans="1:6" ht="24">
      <c r="A120" s="3118">
        <v>46</v>
      </c>
      <c r="B120" s="3792" t="s">
        <v>2746</v>
      </c>
      <c r="C120" s="3118" t="s">
        <v>2747</v>
      </c>
      <c r="D120" s="3092" t="s">
        <v>2748</v>
      </c>
      <c r="E120" s="3118">
        <v>0.1</v>
      </c>
      <c r="F120" s="3118">
        <v>15</v>
      </c>
    </row>
    <row r="121" spans="1:6" ht="24">
      <c r="A121" s="3118">
        <v>47</v>
      </c>
      <c r="B121" s="3793"/>
      <c r="C121" s="3118" t="s">
        <v>2749</v>
      </c>
      <c r="D121" s="3092" t="s">
        <v>2750</v>
      </c>
      <c r="E121" s="3118">
        <v>0.1</v>
      </c>
      <c r="F121" s="3118">
        <v>15</v>
      </c>
    </row>
    <row r="122" spans="1:6" ht="13.5">
      <c r="A122" s="3118">
        <v>48</v>
      </c>
      <c r="B122" s="3792" t="s">
        <v>2751</v>
      </c>
      <c r="C122" s="3118" t="s">
        <v>2752</v>
      </c>
      <c r="D122" s="3092" t="s">
        <v>2753</v>
      </c>
      <c r="E122" s="3118">
        <v>0.1</v>
      </c>
      <c r="F122" s="3118">
        <v>15</v>
      </c>
    </row>
    <row r="123" spans="1:6" ht="13.5">
      <c r="A123" s="3118">
        <v>49</v>
      </c>
      <c r="B123" s="3793"/>
      <c r="C123" s="3118" t="s">
        <v>2754</v>
      </c>
      <c r="D123" s="3092" t="s">
        <v>2755</v>
      </c>
      <c r="E123" s="3118">
        <v>0.1</v>
      </c>
      <c r="F123" s="3118">
        <v>15</v>
      </c>
    </row>
    <row r="124" spans="1:6" ht="24">
      <c r="A124" s="3118">
        <v>50</v>
      </c>
      <c r="B124" s="3791" t="s">
        <v>2756</v>
      </c>
      <c r="C124" s="3118" t="s">
        <v>2757</v>
      </c>
      <c r="D124" s="3092" t="s">
        <v>2758</v>
      </c>
      <c r="E124" s="3118">
        <v>0.1</v>
      </c>
      <c r="F124" s="3118">
        <v>15</v>
      </c>
    </row>
    <row r="125" spans="1:6" ht="24">
      <c r="A125" s="3118">
        <v>51</v>
      </c>
      <c r="B125" s="3791"/>
      <c r="C125" s="3118" t="s">
        <v>2759</v>
      </c>
      <c r="D125" s="3092" t="s">
        <v>2760</v>
      </c>
      <c r="E125" s="3118">
        <v>0.1</v>
      </c>
      <c r="F125" s="3118">
        <v>15</v>
      </c>
    </row>
    <row r="126" spans="1:6" ht="24">
      <c r="A126" s="3118">
        <v>52</v>
      </c>
      <c r="B126" s="3791" t="s">
        <v>2761</v>
      </c>
      <c r="C126" s="3118" t="s">
        <v>2762</v>
      </c>
      <c r="D126" s="3092" t="s">
        <v>2763</v>
      </c>
      <c r="E126" s="3118">
        <v>0.1</v>
      </c>
      <c r="F126" s="3118">
        <v>15</v>
      </c>
    </row>
    <row r="127" spans="1:6" ht="24">
      <c r="A127" s="3118">
        <v>53</v>
      </c>
      <c r="B127" s="3791"/>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91" t="s">
        <v>2769</v>
      </c>
      <c r="C129" s="3118" t="s">
        <v>2770</v>
      </c>
      <c r="D129" s="3092" t="s">
        <v>2771</v>
      </c>
      <c r="E129" s="3118">
        <v>0.1</v>
      </c>
      <c r="F129" s="3118">
        <v>15</v>
      </c>
    </row>
    <row r="130" spans="1:6" ht="13.5">
      <c r="A130" s="3118">
        <v>56</v>
      </c>
      <c r="B130" s="3791"/>
      <c r="C130" s="3118" t="s">
        <v>2772</v>
      </c>
      <c r="D130" s="3092" t="s">
        <v>2773</v>
      </c>
      <c r="E130" s="3118">
        <v>0.1</v>
      </c>
      <c r="F130" s="3118">
        <v>15</v>
      </c>
    </row>
    <row r="131" spans="1:6" ht="24">
      <c r="A131" s="3118">
        <v>57</v>
      </c>
      <c r="B131" s="3791"/>
      <c r="C131" s="3118" t="s">
        <v>2774</v>
      </c>
      <c r="D131" s="3092" t="s">
        <v>2775</v>
      </c>
      <c r="E131" s="3118">
        <v>0.1</v>
      </c>
      <c r="F131" s="3118">
        <v>15</v>
      </c>
    </row>
    <row r="132" spans="1:6" ht="24">
      <c r="A132" s="3118">
        <v>58</v>
      </c>
      <c r="B132" s="3791" t="s">
        <v>2776</v>
      </c>
      <c r="C132" s="3118" t="s">
        <v>2777</v>
      </c>
      <c r="D132" s="3092" t="s">
        <v>2778</v>
      </c>
      <c r="E132" s="3118">
        <v>0.1</v>
      </c>
      <c r="F132" s="3118">
        <v>15</v>
      </c>
    </row>
    <row r="133" spans="1:6" ht="13.5">
      <c r="A133" s="3118">
        <v>59</v>
      </c>
      <c r="B133" s="3791"/>
      <c r="C133" s="3118" t="s">
        <v>2779</v>
      </c>
      <c r="D133" s="3092" t="s">
        <v>2780</v>
      </c>
      <c r="E133" s="3118">
        <v>0.1</v>
      </c>
      <c r="F133" s="3118">
        <v>15</v>
      </c>
    </row>
    <row r="134" spans="1:6" ht="13.5">
      <c r="A134" s="3118">
        <v>60</v>
      </c>
      <c r="B134" s="3792" t="s">
        <v>2781</v>
      </c>
      <c r="C134" s="3118" t="s">
        <v>2782</v>
      </c>
      <c r="D134" s="3092" t="s">
        <v>2783</v>
      </c>
      <c r="E134" s="3118">
        <v>0.1</v>
      </c>
      <c r="F134" s="3118">
        <v>15</v>
      </c>
    </row>
    <row r="135" spans="1:6" ht="13.5">
      <c r="A135" s="3118">
        <v>61</v>
      </c>
      <c r="B135" s="3793"/>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91" t="s">
        <v>2789</v>
      </c>
      <c r="C137" s="3118" t="s">
        <v>2790</v>
      </c>
      <c r="D137" s="3092" t="s">
        <v>2791</v>
      </c>
      <c r="E137" s="3118">
        <v>0.1</v>
      </c>
      <c r="F137" s="3118">
        <v>15</v>
      </c>
    </row>
    <row r="138" spans="1:6" ht="13.5">
      <c r="A138" s="3118">
        <v>64</v>
      </c>
      <c r="B138" s="3791"/>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27893</v>
      </c>
      <c r="C2" s="2" t="s">
        <v>106</v>
      </c>
      <c r="D2" s="199"/>
      <c r="E2" s="199"/>
      <c r="F2" s="199"/>
      <c r="G2" s="199"/>
    </row>
    <row r="3" spans="1:7" s="200" customFormat="1" ht="18" customHeight="1" thickBot="1">
      <c r="A3" s="203" t="s">
        <v>58</v>
      </c>
      <c r="B3" s="204">
        <f ca="1">ROUND(B2*10000/'数据-汇总表'!E3,0)</f>
        <v>3164265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88.15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88.15</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88.15</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76</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63</v>
      </c>
      <c r="D51" s="232"/>
      <c r="E51" s="232"/>
      <c r="F51" s="264"/>
      <c r="G51" s="234" t="s">
        <v>37</v>
      </c>
    </row>
    <row r="52" spans="1:7" s="208" customFormat="1" ht="16.5" thickBot="1">
      <c r="A52" s="265" t="s">
        <v>38</v>
      </c>
      <c r="B52" s="266"/>
      <c r="C52" s="267">
        <f ca="1">C31+C51</f>
        <v>27893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f ca="1">结果表!H101</f>
        <v>166</v>
      </c>
      <c r="E5" s="1491"/>
    </row>
    <row r="6" spans="1:5" ht="15.75">
      <c r="A6" s="1491"/>
      <c r="B6" s="3486"/>
      <c r="C6" s="1494" t="s">
        <v>911</v>
      </c>
      <c r="D6" s="850" t="str">
        <f ca="1">NUMBERSTRING(INT(D5*10000),2)&amp;"元整"</f>
        <v>壹佰陆拾陆万元整</v>
      </c>
      <c r="E6" s="1491"/>
    </row>
    <row r="7" spans="1:5" ht="15.75">
      <c r="A7" s="1491"/>
      <c r="B7" s="3491"/>
      <c r="C7" s="1495" t="s">
        <v>912</v>
      </c>
      <c r="D7" s="851">
        <f ca="1">结果表!H102</f>
        <v>18792</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f ca="1">结果表!H107</f>
        <v>166</v>
      </c>
      <c r="E13" s="1491"/>
    </row>
    <row r="14" spans="1:5" ht="15.75">
      <c r="A14" s="1491"/>
      <c r="B14" s="3486"/>
      <c r="C14" s="1494" t="s">
        <v>911</v>
      </c>
      <c r="D14" s="850" t="str">
        <f ca="1">NUMBERSTRING(INT(D13*10000),2)&amp;"元整"</f>
        <v>壹佰陆拾陆万元整</v>
      </c>
      <c r="E14" s="1491"/>
    </row>
    <row r="15" spans="1:5" ht="15">
      <c r="A15" s="1491"/>
      <c r="B15" s="3491"/>
      <c r="C15" s="1495" t="s">
        <v>921</v>
      </c>
      <c r="D15" s="859">
        <f ca="1">结果表!H108</f>
        <v>18792</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5" t="s">
        <v>3181</v>
      </c>
      <c r="B1" s="3805"/>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6" t="s">
        <v>3232</v>
      </c>
      <c r="B1" s="3806"/>
      <c r="C1" s="3806"/>
      <c r="D1" s="3806"/>
      <c r="E1" s="3806"/>
      <c r="F1" s="380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45870</v>
      </c>
      <c r="B1" s="3210" t="s">
        <v>3378</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08" t="s">
        <v>2827</v>
      </c>
      <c r="S29" s="3809"/>
      <c r="T29" s="3809"/>
      <c r="U29" s="3809"/>
      <c r="V29" s="3809"/>
      <c r="W29" s="3809"/>
      <c r="X29" s="3165"/>
      <c r="Y29" s="3808" t="s">
        <v>2828</v>
      </c>
      <c r="Z29" s="3809"/>
      <c r="AA29" s="3809"/>
      <c r="AB29" s="3809"/>
      <c r="AC29" s="3809"/>
      <c r="AD29" s="3809"/>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3" t="s">
        <v>2839</v>
      </c>
      <c r="B1" s="3823"/>
      <c r="C1" s="3823"/>
      <c r="D1" s="3823"/>
      <c r="E1" s="3823"/>
      <c r="F1" s="3823"/>
      <c r="G1" s="382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45870</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75" sqref="A37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498"/>
      <c r="B3" s="3498"/>
      <c r="C3" s="3498"/>
      <c r="D3" s="854" t="s">
        <v>925</v>
      </c>
      <c r="E3" s="854" t="s">
        <v>931</v>
      </c>
      <c r="F3" s="854" t="s">
        <v>925</v>
      </c>
      <c r="G3" s="854" t="s">
        <v>926</v>
      </c>
      <c r="H3" s="854" t="s">
        <v>925</v>
      </c>
      <c r="I3" s="854" t="s">
        <v>926</v>
      </c>
    </row>
    <row r="4" spans="1:9" ht="45">
      <c r="A4" s="1505" t="str">
        <f>项目基本情况!S2</f>
        <v>北京市通州区新华西街60号院2号楼22层2210商务办公用房房地产</v>
      </c>
      <c r="B4" s="854">
        <f>项目基本情况!C17</f>
        <v>88.15</v>
      </c>
      <c r="C4" s="854">
        <f>项目基本情况!C18</f>
        <v>0</v>
      </c>
      <c r="D4" s="854">
        <f ca="1">结果表!D118</f>
        <v>78</v>
      </c>
      <c r="E4" s="854">
        <f ca="1">结果表!E118</f>
        <v>8813</v>
      </c>
      <c r="F4" s="854">
        <f ca="1">结果表!F118</f>
        <v>88</v>
      </c>
      <c r="G4" s="854">
        <f ca="1">结果表!G118</f>
        <v>9979</v>
      </c>
      <c r="H4" s="854">
        <f ca="1">结果表!H118</f>
        <v>166</v>
      </c>
      <c r="I4" s="854">
        <f ca="1">结果表!I118</f>
        <v>18792</v>
      </c>
    </row>
    <row r="5" spans="1:9" ht="30" customHeight="1">
      <c r="A5" s="3498" t="s">
        <v>927</v>
      </c>
      <c r="B5" s="3498"/>
      <c r="C5" s="3498"/>
      <c r="D5" s="3498" t="str">
        <f ca="1">结果表!D119</f>
        <v>柒拾捌万元整</v>
      </c>
      <c r="E5" s="3498"/>
      <c r="F5" s="3498" t="str">
        <f ca="1">结果表!F119</f>
        <v>捌拾捌万元整</v>
      </c>
      <c r="G5" s="3498"/>
      <c r="H5" s="3498" t="str">
        <f ca="1">结果表!H119</f>
        <v>壹佰陆拾陆万元整</v>
      </c>
      <c r="I5" s="3498"/>
    </row>
    <row r="6" spans="1:9" ht="15.75">
      <c r="A6" s="3497" t="str">
        <f>结果表!A120</f>
        <v>估价师知悉的法定优先受偿款</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75">
      <c r="A8" s="3497" t="str">
        <f>结果表!A122</f>
        <v>房地产抵押价值</v>
      </c>
      <c r="B8" s="3497"/>
      <c r="C8" s="3497"/>
      <c r="D8" s="3497">
        <f ca="1">结果表!D122</f>
        <v>166</v>
      </c>
      <c r="E8" s="3497"/>
      <c r="F8" s="3497"/>
      <c r="G8" s="3497"/>
      <c r="H8" s="3497"/>
      <c r="I8" s="3497"/>
    </row>
    <row r="9" spans="1:9" ht="15">
      <c r="A9" s="3498" t="s">
        <v>927</v>
      </c>
      <c r="B9" s="3498"/>
      <c r="C9" s="3498"/>
      <c r="D9" s="3498" t="str">
        <f ca="1">结果表!D123</f>
        <v>壹佰陆拾陆万元整</v>
      </c>
      <c r="E9" s="3498"/>
      <c r="F9" s="3498"/>
      <c r="G9" s="3498"/>
      <c r="H9" s="3498"/>
      <c r="I9" s="3498"/>
    </row>
    <row r="10" spans="1:9" ht="15.75">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75">
      <c r="A12" s="3497" t="str">
        <f>结果表!A126</f>
        <v/>
      </c>
      <c r="B12" s="3497"/>
      <c r="C12" s="3497"/>
      <c r="D12" s="3497" t="str">
        <f>结果表!D126</f>
        <v>——</v>
      </c>
      <c r="E12" s="3497"/>
      <c r="F12" s="3497"/>
      <c r="G12" s="3497"/>
      <c r="H12" s="3497"/>
      <c r="I12" s="3497"/>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0" t="s">
        <v>949</v>
      </c>
      <c r="B1" s="3510"/>
      <c r="C1" s="3510"/>
      <c r="D1" s="3510"/>
    </row>
    <row r="2" spans="1:4" ht="18">
      <c r="A2" s="3511" t="s">
        <v>933</v>
      </c>
      <c r="B2" s="3511"/>
      <c r="C2" s="3511"/>
      <c r="D2" s="3511"/>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11" t="s">
        <v>939</v>
      </c>
      <c r="B6" s="3511"/>
      <c r="C6" s="3511"/>
      <c r="D6" s="351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4" t="str">
        <f>IF(项目基本情况!B8="抵押","4.本次评估估价师所知悉的法定优先受偿款情况说明如下：","——")</f>
        <v>4.本次评估估价师所知悉的法定优先受偿款情况说明如下：</v>
      </c>
      <c r="B14" s="3509"/>
      <c r="C14" s="3509"/>
      <c r="D14" s="3509"/>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市调</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2025-08-01T07:58:46Z</dcterms:modified>
</cp:coreProperties>
</file>