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
    </mc:Choice>
  </mc:AlternateContent>
  <xr:revisionPtr revIDLastSave="0" documentId="13_ncr:1_{52EFC65B-52B9-4392-96D8-BD21C23D6067}" xr6:coauthVersionLast="45" xr6:coauthVersionMax="45" xr10:uidLastSave="{00000000-0000-0000-0000-000000000000}"/>
  <bookViews>
    <workbookView xWindow="-120" yWindow="-120" windowWidth="20730" windowHeight="1116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78" r:id="rId17"/>
    <sheet name="结果汇总表" sheetId="81" state="hidden"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修正" sheetId="45" state="hidden" r:id="rId34"/>
    <sheet name="容积率修正" sheetId="46" state="hidden" r:id="rId35"/>
    <sheet name="基准地价（汇总）" sheetId="76"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土地一级开发成本案例" sheetId="80" r:id="rId42"/>
    <sheet name="地价" sheetId="71" r:id="rId43"/>
    <sheet name="结果表" sheetId="9" r:id="rId44"/>
    <sheet name="系统读取表" sheetId="74" r:id="rId45"/>
    <sheet name="基准地价修正" sheetId="43"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基准地价修正!$A$1:$J$41,基准地价修正!$A$45:$H$88,基准地价修正!$R$1:$V$16</definedName>
    <definedName name="_xlnm.Print_Area" localSheetId="20">假设开发法!$A$1:$K$32</definedName>
    <definedName name="_xlnm.Print_Area" localSheetId="43">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'土地比较法-住宅、综合'!$A$1:$O$66,'土地比较法-住宅、综合'!$A$69:$M$132</definedName>
    <definedName name="_xlnm.Print_Area" localSheetId="44">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0" i="78" l="1"/>
  <c r="N20" i="78" l="1"/>
  <c r="AN24" i="3"/>
  <c r="Q15" i="78" l="1"/>
  <c r="B14" i="74" l="1"/>
  <c r="C14" i="74"/>
  <c r="B59" i="1"/>
  <c r="I38" i="39" l="1"/>
  <c r="G38" i="39"/>
  <c r="E38" i="39"/>
  <c r="Q30" i="80"/>
  <c r="Q22" i="80"/>
  <c r="Q24" i="80"/>
  <c r="J7" i="39"/>
  <c r="H7" i="39"/>
  <c r="F7" i="39"/>
  <c r="M5" i="39"/>
  <c r="M6" i="39"/>
  <c r="M7" i="39"/>
  <c r="M8" i="39"/>
  <c r="M9" i="39"/>
  <c r="M10" i="39"/>
  <c r="M11" i="39"/>
  <c r="M12" i="39"/>
  <c r="M13" i="39"/>
  <c r="M14" i="39"/>
  <c r="M15" i="39"/>
  <c r="M16" i="39"/>
  <c r="M17" i="39"/>
  <c r="M18" i="39"/>
  <c r="M19" i="39"/>
  <c r="M4" i="39"/>
  <c r="M3" i="39"/>
  <c r="N19" i="39" l="1"/>
  <c r="O19" i="39" s="1"/>
  <c r="N18" i="39"/>
  <c r="O18" i="39" s="1"/>
  <c r="N17" i="39"/>
  <c r="O17" i="39" s="1"/>
  <c r="N16" i="39"/>
  <c r="O16" i="39" s="1"/>
  <c r="N15" i="39"/>
  <c r="O15" i="39" s="1"/>
  <c r="N14" i="39"/>
  <c r="O14" i="39" s="1"/>
  <c r="N13" i="39"/>
  <c r="O13" i="39" s="1"/>
  <c r="N12" i="39"/>
  <c r="O12" i="39" s="1"/>
  <c r="N11" i="39"/>
  <c r="O11" i="39" s="1"/>
  <c r="N10" i="39"/>
  <c r="O10" i="39" s="1"/>
  <c r="N9" i="39"/>
  <c r="O9" i="39" s="1"/>
  <c r="N8" i="39"/>
  <c r="O8" i="39" s="1"/>
  <c r="N7" i="39"/>
  <c r="O7" i="39" s="1"/>
  <c r="N6" i="39"/>
  <c r="O6" i="39" s="1"/>
  <c r="N5" i="39"/>
  <c r="O5" i="39" s="1"/>
  <c r="N4" i="39"/>
  <c r="O4" i="39" s="1"/>
  <c r="N3" i="39"/>
  <c r="O3" i="39" s="1"/>
  <c r="G7" i="39"/>
  <c r="I5" i="39"/>
  <c r="G5" i="39"/>
  <c r="E5" i="39"/>
  <c r="H24" i="81" l="1"/>
  <c r="F24" i="81"/>
  <c r="M24" i="81" s="1"/>
  <c r="N24" i="81" s="1"/>
  <c r="E24" i="81"/>
  <c r="G24" i="81" s="1"/>
  <c r="M21" i="81"/>
  <c r="H21" i="81"/>
  <c r="G21" i="81"/>
  <c r="F21" i="81"/>
  <c r="I20" i="81"/>
  <c r="H18" i="81"/>
  <c r="F18" i="81"/>
  <c r="M18" i="81" s="1"/>
  <c r="E18" i="81"/>
  <c r="G18" i="81" s="1"/>
  <c r="H17" i="81"/>
  <c r="E17" i="81"/>
  <c r="G17" i="81" s="1"/>
  <c r="G16" i="81" s="1"/>
  <c r="G15" i="81" s="1"/>
  <c r="H16" i="81"/>
  <c r="H15" i="81" s="1"/>
  <c r="M14" i="81"/>
  <c r="M13" i="81"/>
  <c r="H12" i="81"/>
  <c r="F12" i="81"/>
  <c r="M12" i="81" s="1"/>
  <c r="N12" i="81" s="1"/>
  <c r="E12" i="81"/>
  <c r="G12" i="81" s="1"/>
  <c r="M11" i="81"/>
  <c r="H10" i="81"/>
  <c r="F10" i="81"/>
  <c r="M10" i="81" s="1"/>
  <c r="E10" i="81"/>
  <c r="G10" i="81" s="1"/>
  <c r="G9" i="81" s="1"/>
  <c r="H9" i="81"/>
  <c r="H22" i="81" s="1"/>
  <c r="E9" i="81"/>
  <c r="M8" i="81"/>
  <c r="F7" i="81"/>
  <c r="M7" i="81" s="1"/>
  <c r="E7" i="81"/>
  <c r="G7" i="81" s="1"/>
  <c r="F6" i="81"/>
  <c r="M6" i="81" s="1"/>
  <c r="E6" i="81"/>
  <c r="G6" i="81" s="1"/>
  <c r="F5" i="81"/>
  <c r="M5" i="81" s="1"/>
  <c r="E5" i="81"/>
  <c r="G5" i="81" s="1"/>
  <c r="G3" i="81" s="1"/>
  <c r="M4" i="81"/>
  <c r="N3" i="81"/>
  <c r="E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F9" i="81" l="1"/>
  <c r="I12" i="81"/>
  <c r="E16" i="81"/>
  <c r="E15" i="81" s="1"/>
  <c r="F17" i="81"/>
  <c r="H19" i="81"/>
  <c r="H20" i="81" s="1"/>
  <c r="E22" i="81"/>
  <c r="I24" i="81"/>
  <c r="F3" i="81"/>
  <c r="E19" i="81"/>
  <c r="O34" i="80"/>
  <c r="O37" i="80" s="1"/>
  <c r="P36" i="80"/>
  <c r="P33" i="80"/>
  <c r="I3" i="81" l="1"/>
  <c r="G19" i="81"/>
  <c r="F19" i="81"/>
  <c r="I19" i="81" s="1"/>
  <c r="H23" i="81"/>
  <c r="H25" i="81" s="1"/>
  <c r="M17" i="81"/>
  <c r="F16" i="81"/>
  <c r="F22" i="81"/>
  <c r="I22" i="81" s="1"/>
  <c r="G22" i="81"/>
  <c r="I9" i="81"/>
  <c r="M9" i="81"/>
  <c r="G20" i="81" l="1"/>
  <c r="E20" i="81" s="1"/>
  <c r="N9" i="81"/>
  <c r="M16" i="81"/>
  <c r="F15" i="81"/>
  <c r="E23" i="81" l="1"/>
  <c r="F23" i="81" s="1"/>
  <c r="I23" i="81" s="1"/>
  <c r="I15" i="81"/>
  <c r="M15" i="81"/>
  <c r="G23" i="81"/>
  <c r="G25" i="81"/>
  <c r="F25" i="81" l="1"/>
  <c r="N15" i="81"/>
  <c r="M19" i="81"/>
  <c r="N19" i="81" s="1"/>
  <c r="M22" i="81"/>
  <c r="N22" i="81" s="1"/>
  <c r="M20" i="81"/>
  <c r="N20" i="81" s="1"/>
  <c r="E25" i="81"/>
  <c r="E26" i="81" s="1"/>
  <c r="M23" i="81" l="1"/>
  <c r="N23" i="81" s="1"/>
  <c r="F26" i="81"/>
  <c r="I25" i="81"/>
  <c r="M25" i="81" l="1"/>
  <c r="N25" i="81" s="1"/>
  <c r="F19" i="6" l="1"/>
  <c r="C23" i="6"/>
  <c r="C22" i="6"/>
  <c r="C21" i="6"/>
  <c r="C20" i="6"/>
  <c r="AZ3" i="3"/>
  <c r="AN19" i="3"/>
  <c r="AN18" i="3"/>
  <c r="AN17" i="3"/>
  <c r="AN16" i="3"/>
  <c r="AN15" i="3"/>
  <c r="AN14" i="3"/>
  <c r="AN13" i="3"/>
  <c r="AL27" i="3"/>
  <c r="AL26" i="3"/>
  <c r="AL25" i="3"/>
  <c r="AL22" i="3"/>
  <c r="AL23" i="3"/>
  <c r="AL21" i="3"/>
  <c r="AL19" i="3"/>
  <c r="O1" i="78"/>
  <c r="S9" i="78"/>
  <c r="S5" i="78"/>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J19" i="78"/>
  <c r="K19" i="78"/>
  <c r="L19" i="78"/>
  <c r="M19" i="78"/>
  <c r="N19" i="78"/>
  <c r="O19" i="78"/>
  <c r="D19" i="78"/>
  <c r="E19" i="78"/>
  <c r="F19" i="78"/>
  <c r="C19" i="78"/>
  <c r="B19" i="78"/>
  <c r="AT24" i="3"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O25" i="71"/>
  <c r="N25" i="71"/>
  <c r="B27" i="71"/>
  <c r="B28" i="71" s="1"/>
  <c r="B29" i="71"/>
  <c r="S29" i="71" s="1"/>
  <c r="X26" i="71"/>
  <c r="B31" i="71"/>
  <c r="B32" i="71" s="1"/>
  <c r="B33" i="71" s="1"/>
  <c r="S33" i="71" s="1"/>
  <c r="X30" i="71"/>
  <c r="E35" i="71"/>
  <c r="E36" i="71"/>
  <c r="E37" i="71" s="1"/>
  <c r="U37" i="71" s="1"/>
  <c r="AA34" i="71"/>
  <c r="N65" i="71"/>
  <c r="E31" i="71"/>
  <c r="E32" i="71"/>
  <c r="E33" i="71" s="1"/>
  <c r="U33" i="71" s="1"/>
  <c r="AA30" i="71"/>
  <c r="C27" i="71"/>
  <c r="Y26" i="71"/>
  <c r="Z26" i="71"/>
  <c r="AB26" i="71"/>
  <c r="X27" i="71"/>
  <c r="AA27" i="71"/>
  <c r="X28" i="71"/>
  <c r="AA28" i="71"/>
  <c r="X29" i="71"/>
  <c r="AA29" i="71"/>
  <c r="C31" i="71"/>
  <c r="C32" i="7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A13" i="1"/>
  <c r="K13" i="1" s="1"/>
  <c r="M13" i="1" s="1"/>
  <c r="O13" i="1" s="1"/>
  <c r="P13" i="1" s="1"/>
  <c r="A6" i="1"/>
  <c r="F3" i="35"/>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c r="Q30" i="37"/>
  <c r="Z30" i="37"/>
  <c r="J30" i="37"/>
  <c r="AC30" i="37"/>
  <c r="H30" i="37"/>
  <c r="AB30" i="37"/>
  <c r="F30" i="37"/>
  <c r="AA30" i="37"/>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G21" i="6" s="1"/>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c r="H586" i="3"/>
  <c r="G586" i="3"/>
  <c r="H587" i="3"/>
  <c r="G587" i="3"/>
  <c r="F5" i="3"/>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H40" i="39"/>
  <c r="AB40" i="39" s="1"/>
  <c r="H39" i="39"/>
  <c r="U39" i="39" s="1"/>
  <c r="H34" i="39"/>
  <c r="U34" i="39" s="1"/>
  <c r="F31" i="39"/>
  <c r="AA31" i="39" s="1"/>
  <c r="E101" i="39"/>
  <c r="J23" i="40"/>
  <c r="AC23" i="40"/>
  <c r="F21" i="40"/>
  <c r="AA21" i="40"/>
  <c r="J21" i="40"/>
  <c r="W21" i="40" s="1"/>
  <c r="H42" i="39"/>
  <c r="AB42" i="39" s="1"/>
  <c r="F101" i="39"/>
  <c r="H27" i="39"/>
  <c r="U2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s="1"/>
  <c r="J15" i="40"/>
  <c r="W15" i="40" s="1"/>
  <c r="J11" i="40"/>
  <c r="W11" i="40" s="1"/>
  <c r="AB12" i="33"/>
  <c r="AC12" i="34"/>
  <c r="AB12" i="35"/>
  <c r="AB12" i="36"/>
  <c r="W32" i="40"/>
  <c r="S44" i="39"/>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F17" i="21"/>
  <c r="AA17" i="21"/>
  <c r="H17" i="21"/>
  <c r="AB17" i="21"/>
  <c r="F15" i="21"/>
  <c r="S15" i="21"/>
  <c r="AB11" i="21"/>
  <c r="J41" i="39"/>
  <c r="W41" i="39" s="1"/>
  <c r="AC45" i="39"/>
  <c r="W44" i="39"/>
  <c r="W36" i="39"/>
  <c r="U36" i="39"/>
  <c r="G544" i="3"/>
  <c r="G536" i="3"/>
  <c r="G532" i="3"/>
  <c r="G528" i="3"/>
  <c r="G523" i="3"/>
  <c r="G514" i="3"/>
  <c r="G508" i="3"/>
  <c r="G500" i="3"/>
  <c r="G576" i="3"/>
  <c r="G560" i="3"/>
  <c r="G550" i="3"/>
  <c r="BL580" i="3"/>
  <c r="BL564" i="3"/>
  <c r="BL542" i="3"/>
  <c r="BL534" i="3"/>
  <c r="BL526" i="3"/>
  <c r="BL516" i="3"/>
  <c r="BL506" i="3"/>
  <c r="BL498" i="3"/>
  <c r="BL582" i="3"/>
  <c r="BL566" i="3"/>
  <c r="BL544" i="3"/>
  <c r="BL536" i="3"/>
  <c r="BL532" i="3"/>
  <c r="BL528" i="3"/>
  <c r="BL524" i="3"/>
  <c r="BL514" i="3"/>
  <c r="BL504" i="3"/>
  <c r="BL496" i="3"/>
  <c r="BA584" i="3"/>
  <c r="BA554" i="3"/>
  <c r="BA548" i="3"/>
  <c r="BA544" i="3"/>
  <c r="AZ544" i="3" s="1"/>
  <c r="BA540" i="3"/>
  <c r="BA536" i="3"/>
  <c r="AZ536" i="3" s="1"/>
  <c r="BA532" i="3"/>
  <c r="BA528" i="3"/>
  <c r="AZ528" i="3" s="1"/>
  <c r="BA526" i="3"/>
  <c r="BA524" i="3"/>
  <c r="AZ524" i="3" s="1"/>
  <c r="BA522" i="3"/>
  <c r="BA518" i="3"/>
  <c r="BA516" i="3"/>
  <c r="AZ516" i="3" s="1"/>
  <c r="BA514" i="3"/>
  <c r="AZ514" i="3" s="1"/>
  <c r="BA510" i="3"/>
  <c r="BA506" i="3"/>
  <c r="BA502" i="3"/>
  <c r="BA498" i="3"/>
  <c r="AZ498" i="3" s="1"/>
  <c r="BA494" i="3"/>
  <c r="BA583" i="3"/>
  <c r="BA575" i="3"/>
  <c r="BA567" i="3"/>
  <c r="BA559" i="3"/>
  <c r="BA553" i="3"/>
  <c r="BA547" i="3"/>
  <c r="BA543" i="3"/>
  <c r="BA539" i="3"/>
  <c r="BA535" i="3"/>
  <c r="BA531" i="3"/>
  <c r="BA527" i="3"/>
  <c r="BA523" i="3"/>
  <c r="BA517" i="3"/>
  <c r="BA513" i="3"/>
  <c r="BA507" i="3"/>
  <c r="BA503" i="3"/>
  <c r="BA499" i="3"/>
  <c r="BA495" i="3"/>
  <c r="G577" i="3"/>
  <c r="G569" i="3"/>
  <c r="G561" i="3"/>
  <c r="AC557" i="3"/>
  <c r="BQ557" i="3"/>
  <c r="BQ583" i="3"/>
  <c r="BQ581" i="3"/>
  <c r="BQ579" i="3"/>
  <c r="BQ577" i="3"/>
  <c r="BQ575" i="3"/>
  <c r="BQ573" i="3"/>
  <c r="BQ571" i="3"/>
  <c r="BL571" i="3" s="1"/>
  <c r="BQ569" i="3"/>
  <c r="BL569" i="3"/>
  <c r="BQ567" i="3"/>
  <c r="BQ565" i="3"/>
  <c r="BQ563" i="3"/>
  <c r="BQ561" i="3"/>
  <c r="BQ559" i="3"/>
  <c r="G559" i="3"/>
  <c r="G553" i="3"/>
  <c r="G547" i="3"/>
  <c r="G543" i="3"/>
  <c r="G539" i="3"/>
  <c r="BQ555" i="3"/>
  <c r="BQ553" i="3"/>
  <c r="BL553" i="3" s="1"/>
  <c r="AZ553" i="3" s="1"/>
  <c r="BQ551" i="3"/>
  <c r="BQ549" i="3"/>
  <c r="BQ547" i="3"/>
  <c r="BL547" i="3" s="1"/>
  <c r="AZ547" i="3" s="1"/>
  <c r="BQ545" i="3"/>
  <c r="BQ543" i="3"/>
  <c r="BQ541" i="3"/>
  <c r="BL541" i="3" s="1"/>
  <c r="BQ539" i="3"/>
  <c r="BL539" i="3"/>
  <c r="AZ539" i="3" s="1"/>
  <c r="BQ537" i="3"/>
  <c r="BQ535" i="3"/>
  <c r="BQ533" i="3"/>
  <c r="BL533" i="3" s="1"/>
  <c r="BQ531" i="3"/>
  <c r="BL531" i="3" s="1"/>
  <c r="AZ531" i="3" s="1"/>
  <c r="BQ529" i="3"/>
  <c r="BQ527" i="3"/>
  <c r="BQ525" i="3"/>
  <c r="BL525" i="3" s="1"/>
  <c r="BQ523" i="3"/>
  <c r="BL523" i="3"/>
  <c r="AZ523" i="3" s="1"/>
  <c r="AC521" i="3"/>
  <c r="G521" i="3" s="1"/>
  <c r="BQ521" i="3"/>
  <c r="BL520" i="3"/>
  <c r="G517" i="3"/>
  <c r="G513" i="3"/>
  <c r="BQ519" i="3"/>
  <c r="BQ517" i="3"/>
  <c r="BL517" i="3" s="1"/>
  <c r="AZ517" i="3" s="1"/>
  <c r="BQ515" i="3"/>
  <c r="BL515" i="3" s="1"/>
  <c r="BQ513" i="3"/>
  <c r="BQ511" i="3"/>
  <c r="BA509" i="3"/>
  <c r="AC509" i="3"/>
  <c r="BQ509" i="3"/>
  <c r="BL509" i="3" s="1"/>
  <c r="AZ509" i="3" s="1"/>
  <c r="G507" i="3"/>
  <c r="G503" i="3"/>
  <c r="G499" i="3"/>
  <c r="G495" i="3"/>
  <c r="BQ507" i="3"/>
  <c r="BL507" i="3"/>
  <c r="AZ507" i="3" s="1"/>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AC43" i="39"/>
  <c r="U45" i="39"/>
  <c r="AB44" i="39"/>
  <c r="G101" i="39"/>
  <c r="H25" i="39"/>
  <c r="AB25" i="39" s="1"/>
  <c r="J25" i="39"/>
  <c r="W25" i="39" s="1"/>
  <c r="F25" i="39"/>
  <c r="AA25" i="39" s="1"/>
  <c r="H15" i="39"/>
  <c r="U15" i="39" s="1"/>
  <c r="S42" i="39"/>
  <c r="W14" i="39"/>
  <c r="W9" i="39"/>
  <c r="W8" i="39"/>
  <c r="J19" i="40"/>
  <c r="AC19" i="40" s="1"/>
  <c r="J50" i="40"/>
  <c r="B54" i="72"/>
  <c r="H103" i="9"/>
  <c r="D8" i="53" s="1"/>
  <c r="B16" i="53"/>
  <c r="B33" i="72"/>
  <c r="C7" i="37"/>
  <c r="C7" i="34"/>
  <c r="C7" i="36"/>
  <c r="W35" i="40"/>
  <c r="A4" i="52"/>
  <c r="B41" i="72" s="1"/>
  <c r="A12" i="52"/>
  <c r="B56" i="72" s="1"/>
  <c r="G4" i="4"/>
  <c r="I4" i="4"/>
  <c r="K5" i="4" s="1"/>
  <c r="B47" i="48" s="1"/>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G193" i="3"/>
  <c r="BA195" i="3"/>
  <c r="BL196" i="3"/>
  <c r="AZ196" i="3" s="1"/>
  <c r="G197" i="3"/>
  <c r="BA199" i="3"/>
  <c r="BL200" i="3"/>
  <c r="G201" i="3"/>
  <c r="BA203" i="3"/>
  <c r="AZ203" i="3" s="1"/>
  <c r="BL204" i="3"/>
  <c r="AZ192" i="3"/>
  <c r="AZ105" i="3"/>
  <c r="AZ109" i="3"/>
  <c r="AZ120"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BA382" i="3"/>
  <c r="AZ382" i="3" s="1"/>
  <c r="BL382" i="3"/>
  <c r="G383" i="3"/>
  <c r="G386" i="3"/>
  <c r="BL387" i="3"/>
  <c r="BA389" i="3"/>
  <c r="AZ389" i="3" s="1"/>
  <c r="BA390" i="3"/>
  <c r="BL390" i="3"/>
  <c r="G391" i="3"/>
  <c r="G394" i="3"/>
  <c r="AZ154" i="3"/>
  <c r="AZ186" i="3"/>
  <c r="BL303" i="3"/>
  <c r="G304" i="3"/>
  <c r="BA306" i="3"/>
  <c r="AZ306" i="3" s="1"/>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BL349" i="3"/>
  <c r="BL352" i="3"/>
  <c r="AZ352" i="3" s="1"/>
  <c r="G353" i="3"/>
  <c r="BA357" i="3"/>
  <c r="BL358" i="3"/>
  <c r="G359" i="3"/>
  <c r="BA361" i="3"/>
  <c r="AZ361" i="3" s="1"/>
  <c r="BL362" i="3"/>
  <c r="G363" i="3"/>
  <c r="BA365" i="3"/>
  <c r="BL366" i="3"/>
  <c r="AZ366" i="3" s="1"/>
  <c r="G367" i="3"/>
  <c r="BA369" i="3"/>
  <c r="BL370" i="3"/>
  <c r="AZ370" i="3" s="1"/>
  <c r="G371" i="3"/>
  <c r="BA373" i="3"/>
  <c r="AZ373" i="3" s="1"/>
  <c r="BL374" i="3"/>
  <c r="AZ374" i="3" s="1"/>
  <c r="G375" i="3"/>
  <c r="BA377" i="3"/>
  <c r="AZ377" i="3"/>
  <c r="AZ245" i="3"/>
  <c r="BA379" i="3"/>
  <c r="BL380" i="3"/>
  <c r="AZ380" i="3" s="1"/>
  <c r="G381" i="3"/>
  <c r="BA383" i="3"/>
  <c r="AZ383" i="3" s="1"/>
  <c r="BL384" i="3"/>
  <c r="G385" i="3"/>
  <c r="BA387" i="3"/>
  <c r="BL388" i="3"/>
  <c r="G389" i="3"/>
  <c r="BA391" i="3"/>
  <c r="AZ391" i="3" s="1"/>
  <c r="BL392" i="3"/>
  <c r="G393" i="3"/>
  <c r="BJ5" i="3"/>
  <c r="AZ333" i="3"/>
  <c r="AC5" i="3"/>
  <c r="AZ506" i="3"/>
  <c r="G548" i="3"/>
  <c r="G520" i="3"/>
  <c r="BS5" i="3"/>
  <c r="BG5" i="3"/>
  <c r="BA17" i="3"/>
  <c r="AZ350" i="3"/>
  <c r="AZ356" i="3"/>
  <c r="AZ384" i="3"/>
  <c r="AZ396" i="3"/>
  <c r="G509" i="3"/>
  <c r="AZ390" i="3"/>
  <c r="U36" i="40"/>
  <c r="F36" i="43"/>
  <c r="F81" i="43"/>
  <c r="H83" i="43" s="1"/>
  <c r="H113" i="43"/>
  <c r="F48" i="43"/>
  <c r="H52" i="43" s="1"/>
  <c r="M11" i="43"/>
  <c r="D17" i="43"/>
  <c r="F39" i="43"/>
  <c r="I17" i="43"/>
  <c r="F35" i="43"/>
  <c r="J17" i="43"/>
  <c r="F6" i="1"/>
  <c r="G6" i="1" s="1"/>
  <c r="S14" i="35"/>
  <c r="U43" i="21"/>
  <c r="U35" i="21"/>
  <c r="AC35" i="21"/>
  <c r="U10" i="21"/>
  <c r="G9"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232" i="3"/>
  <c r="AZ240" i="3"/>
  <c r="AZ243" i="3"/>
  <c r="AZ248" i="3"/>
  <c r="AZ114" i="3"/>
  <c r="AZ69" i="3"/>
  <c r="AZ77"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AE9" i="1"/>
  <c r="K6" i="1"/>
  <c r="M6" i="1" s="1"/>
  <c r="AC26" i="33"/>
  <c r="W26" i="33"/>
  <c r="W27" i="34"/>
  <c r="AC27" i="34"/>
  <c r="AC12" i="39"/>
  <c r="W12" i="39"/>
  <c r="AC39" i="40"/>
  <c r="W39" i="40"/>
  <c r="AZ401" i="3"/>
  <c r="AZ417" i="3"/>
  <c r="AZ433" i="3"/>
  <c r="W12" i="33"/>
  <c r="AC12" i="33"/>
  <c r="AZ408" i="3"/>
  <c r="AA39" i="34"/>
  <c r="BL14" i="3"/>
  <c r="U30" i="33"/>
  <c r="AC13" i="34"/>
  <c r="AA47" i="34"/>
  <c r="W28" i="37"/>
  <c r="F12" i="33"/>
  <c r="H12" i="39"/>
  <c r="AB12" i="39" s="1"/>
  <c r="F39" i="40"/>
  <c r="AZ238" i="3"/>
  <c r="AZ250" i="3"/>
  <c r="AZ149" i="3"/>
  <c r="AZ181" i="3"/>
  <c r="S12" i="1"/>
  <c r="AQ12" i="1" s="1"/>
  <c r="R12" i="1"/>
  <c r="B12" i="1"/>
  <c r="E12" i="1" s="1"/>
  <c r="B10" i="1"/>
  <c r="E10" i="1"/>
  <c r="AZ111" i="3"/>
  <c r="K12" i="1"/>
  <c r="M12" i="1" s="1"/>
  <c r="S13" i="1"/>
  <c r="AR13" i="1" s="1"/>
  <c r="R13" i="1"/>
  <c r="S11" i="1"/>
  <c r="AQ11" i="1" s="1"/>
  <c r="R11" i="1"/>
  <c r="J51" i="67"/>
  <c r="C42" i="1"/>
  <c r="C24" i="12" s="1"/>
  <c r="H100" i="43"/>
  <c r="AC34" i="33"/>
  <c r="S22" i="31"/>
  <c r="J100" i="43"/>
  <c r="AB37" i="40"/>
  <c r="S35" i="40"/>
  <c r="U35" i="40"/>
  <c r="AC36" i="40"/>
  <c r="AA32" i="40"/>
  <c r="S17" i="40"/>
  <c r="S23" i="40"/>
  <c r="AC17" i="40"/>
  <c r="AC15" i="40"/>
  <c r="S30" i="40"/>
  <c r="AA19" i="40"/>
  <c r="S28" i="40"/>
  <c r="U21" i="40"/>
  <c r="AB19" i="40"/>
  <c r="W42" i="39"/>
  <c r="W39" i="39"/>
  <c r="S43" i="39"/>
  <c r="F32" i="39"/>
  <c r="F107" i="39"/>
  <c r="G107" i="39" s="1"/>
  <c r="H107" i="39" s="1"/>
  <c r="I107" i="39" s="1"/>
  <c r="J107" i="39" s="1"/>
  <c r="K107" i="39" s="1"/>
  <c r="L107" i="39" s="1"/>
  <c r="M107" i="39" s="1"/>
  <c r="U25" i="39"/>
  <c r="AB27" i="39"/>
  <c r="S25" i="39"/>
  <c r="F21" i="39"/>
  <c r="S21" i="39" s="1"/>
  <c r="H21" i="39"/>
  <c r="U21" i="39" s="1"/>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BL17" i="3"/>
  <c r="J56" i="9"/>
  <c r="J57" i="9" s="1"/>
  <c r="J59" i="9" s="1"/>
  <c r="J61" i="9" s="1"/>
  <c r="A24" i="51"/>
  <c r="B18" i="72"/>
  <c r="U29" i="34"/>
  <c r="E32" i="6"/>
  <c r="G1" i="68"/>
  <c r="K1" i="12"/>
  <c r="E19" i="69"/>
  <c r="E19" i="68"/>
  <c r="E19" i="11"/>
  <c r="E1" i="73"/>
  <c r="G22" i="69"/>
  <c r="G22" i="68"/>
  <c r="G26" i="12"/>
  <c r="G22" i="11"/>
  <c r="C100" i="43"/>
  <c r="E11" i="43"/>
  <c r="E10" i="43"/>
  <c r="E9" i="43"/>
  <c r="E8" i="43"/>
  <c r="C7" i="43" s="1"/>
  <c r="E81" i="43"/>
  <c r="B79" i="43" s="1"/>
  <c r="E48" i="43"/>
  <c r="B46" i="43"/>
  <c r="E70" i="43"/>
  <c r="B68" i="43"/>
  <c r="F100" i="43"/>
  <c r="H17" i="43"/>
  <c r="H81" i="43"/>
  <c r="H88"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4" i="43"/>
  <c r="H55"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AA27" i="39"/>
  <c r="S27" i="39"/>
  <c r="S2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R11" i="1"/>
  <c r="E7" i="70"/>
  <c r="AA39" i="40"/>
  <c r="S39" i="40"/>
  <c r="S12" i="33"/>
  <c r="AA12" i="33"/>
  <c r="J32" i="39"/>
  <c r="AC32" i="39" s="1"/>
  <c r="H32" i="39"/>
  <c r="AA32" i="39"/>
  <c r="S32" i="39"/>
  <c r="AB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A18" i="62"/>
  <c r="B64" i="72" s="1"/>
  <c r="U32" i="39"/>
  <c r="AB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F11" i="12"/>
  <c r="C23" i="12" s="1"/>
  <c r="AE7" i="1"/>
  <c r="AE8" i="1"/>
  <c r="AE6" i="1"/>
  <c r="AG6" i="1"/>
  <c r="H109" i="9"/>
  <c r="M49" i="9" s="1"/>
  <c r="H110" i="9"/>
  <c r="D18" i="53" s="1"/>
  <c r="B35" i="72" s="1"/>
  <c r="D16" i="53"/>
  <c r="B34" i="72" s="1"/>
  <c r="H112" i="9"/>
  <c r="D21" i="53"/>
  <c r="B39" i="72" s="1"/>
  <c r="H111" i="9"/>
  <c r="D126" i="9" s="1"/>
  <c r="D19" i="53"/>
  <c r="B38" i="72" s="1"/>
  <c r="D20" i="53"/>
  <c r="B40" i="72" s="1"/>
  <c r="AD3" i="71"/>
  <c r="J1" i="73"/>
  <c r="H67" i="43"/>
  <c r="H60" i="43"/>
  <c r="M4" i="43"/>
  <c r="M5" i="43"/>
  <c r="N12" i="43"/>
  <c r="N11" i="43"/>
  <c r="M10" i="43"/>
  <c r="M2" i="43"/>
  <c r="M7" i="43"/>
  <c r="C6" i="43" s="1"/>
  <c r="N9" i="43"/>
  <c r="M8" i="43"/>
  <c r="N10" i="43"/>
  <c r="M6" i="43"/>
  <c r="N7" i="43"/>
  <c r="F70" i="43" s="1"/>
  <c r="N4" i="43"/>
  <c r="N2" i="43"/>
  <c r="H49" i="43"/>
  <c r="N17" i="43"/>
  <c r="L17" i="43"/>
  <c r="O17" i="43"/>
  <c r="M17" i="43"/>
  <c r="E17" i="43"/>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E41" i="43" s="1"/>
  <c r="C41" i="43" s="1"/>
  <c r="V17" i="71"/>
  <c r="I59" i="34"/>
  <c r="J59" i="34" s="1"/>
  <c r="F34" i="68"/>
  <c r="F38" i="67"/>
  <c r="E9" i="76"/>
  <c r="M24" i="15"/>
  <c r="F40" i="67"/>
  <c r="E12" i="76"/>
  <c r="D2" i="35"/>
  <c r="F6" i="73"/>
  <c r="F7" i="15"/>
  <c r="F37" i="15"/>
  <c r="E2" i="68"/>
  <c r="D2" i="37"/>
  <c r="F40" i="15"/>
  <c r="L47" i="67"/>
  <c r="F7" i="67"/>
  <c r="B10" i="76"/>
  <c r="F9" i="67"/>
  <c r="E2" i="69"/>
  <c r="F42" i="67"/>
  <c r="M27" i="67"/>
  <c r="F4" i="73"/>
  <c r="D2" i="33"/>
  <c r="B7" i="76"/>
  <c r="F43" i="15"/>
  <c r="C76" i="67"/>
  <c r="M26" i="15"/>
  <c r="M24" i="67"/>
  <c r="F42" i="15"/>
  <c r="F26" i="67"/>
  <c r="B12" i="76"/>
  <c r="M23" i="67"/>
  <c r="F6" i="15"/>
  <c r="F35" i="67"/>
  <c r="F7" i="73"/>
  <c r="F41" i="15"/>
  <c r="AO10" i="1"/>
  <c r="F8" i="15"/>
  <c r="AO11" i="1"/>
  <c r="D7" i="73"/>
  <c r="M8" i="15"/>
  <c r="M29" i="15"/>
  <c r="C76" i="15"/>
  <c r="M6" i="67"/>
  <c r="J15" i="67"/>
  <c r="F9" i="15"/>
  <c r="F16" i="15"/>
  <c r="M8" i="67"/>
  <c r="L48" i="67"/>
  <c r="B11" i="76"/>
  <c r="M9" i="15"/>
  <c r="F35" i="15"/>
  <c r="C19" i="9"/>
  <c r="M29" i="67"/>
  <c r="L47" i="15"/>
  <c r="F3" i="73"/>
  <c r="C20" i="9"/>
  <c r="F13" i="15"/>
  <c r="AO6" i="1"/>
  <c r="AO12" i="1"/>
  <c r="D5" i="73"/>
  <c r="E13" i="76"/>
  <c r="F26" i="15"/>
  <c r="M28" i="67"/>
  <c r="F5" i="73"/>
  <c r="D4" i="73"/>
  <c r="M22" i="67"/>
  <c r="M27" i="15"/>
  <c r="M21" i="67"/>
  <c r="D2" i="21"/>
  <c r="L48" i="15"/>
  <c r="AO9" i="1"/>
  <c r="D35" i="9"/>
  <c r="D20" i="9"/>
  <c r="F36" i="15"/>
  <c r="F16" i="67"/>
  <c r="E7" i="76"/>
  <c r="M26" i="67"/>
  <c r="AO8" i="1"/>
  <c r="B8" i="76"/>
  <c r="M6" i="15"/>
  <c r="D19" i="9"/>
  <c r="F6" i="67"/>
  <c r="D6" i="73"/>
  <c r="F41" i="67"/>
  <c r="M9" i="67"/>
  <c r="M21" i="15"/>
  <c r="F36" i="67"/>
  <c r="B13" i="76"/>
  <c r="B9" i="76"/>
  <c r="AO7" i="1"/>
  <c r="F20" i="31"/>
  <c r="M28" i="15"/>
  <c r="D2" i="34"/>
  <c r="E10" i="76"/>
  <c r="F37" i="67"/>
  <c r="E11" i="76"/>
  <c r="AO13" i="1"/>
  <c r="D3" i="73"/>
  <c r="D34" i="9"/>
  <c r="F8" i="67"/>
  <c r="F43" i="67"/>
  <c r="F13" i="67"/>
  <c r="D2" i="36"/>
  <c r="F38" i="15"/>
  <c r="M22" i="15"/>
  <c r="M23" i="15"/>
  <c r="J15" i="15"/>
  <c r="E8" i="76"/>
  <c r="AZ379" i="3" l="1"/>
  <c r="AZ372" i="3"/>
  <c r="BA587" i="3"/>
  <c r="AZ587" i="3" s="1"/>
  <c r="BA585" i="3"/>
  <c r="BL584" i="3"/>
  <c r="AZ584" i="3" s="1"/>
  <c r="BL583" i="3"/>
  <c r="BA582" i="3"/>
  <c r="AZ582" i="3" s="1"/>
  <c r="BA579" i="3"/>
  <c r="BL577" i="3"/>
  <c r="BL574" i="3"/>
  <c r="BL573" i="3"/>
  <c r="BA573" i="3"/>
  <c r="BL572" i="3"/>
  <c r="BA572" i="3"/>
  <c r="BA571" i="3"/>
  <c r="AZ571" i="3" s="1"/>
  <c r="BL570" i="3"/>
  <c r="BA570" i="3"/>
  <c r="BA569" i="3"/>
  <c r="AZ569" i="3" s="1"/>
  <c r="BL568" i="3"/>
  <c r="BA568" i="3"/>
  <c r="BA566" i="3"/>
  <c r="AZ566" i="3" s="1"/>
  <c r="BA563" i="3"/>
  <c r="BA558" i="3"/>
  <c r="BL557" i="3"/>
  <c r="BA557" i="3"/>
  <c r="G557" i="3"/>
  <c r="BL556" i="3"/>
  <c r="BA556" i="3"/>
  <c r="AZ556" i="3" s="1"/>
  <c r="BA555" i="3"/>
  <c r="BL554" i="3"/>
  <c r="AZ554" i="3" s="1"/>
  <c r="G554" i="3"/>
  <c r="BL552" i="3"/>
  <c r="BA552" i="3"/>
  <c r="G542" i="3"/>
  <c r="BA541" i="3"/>
  <c r="G541" i="3"/>
  <c r="BL540" i="3"/>
  <c r="G540" i="3"/>
  <c r="BL538" i="3"/>
  <c r="BA538" i="3"/>
  <c r="G538" i="3"/>
  <c r="BA537" i="3"/>
  <c r="G537" i="3"/>
  <c r="BL535" i="3"/>
  <c r="AZ535" i="3" s="1"/>
  <c r="G535" i="3"/>
  <c r="BA534" i="3"/>
  <c r="AZ534" i="3" s="1"/>
  <c r="BA533" i="3"/>
  <c r="G533" i="3"/>
  <c r="G531" i="3"/>
  <c r="BL530" i="3"/>
  <c r="BA530" i="3"/>
  <c r="G530" i="3"/>
  <c r="BA529" i="3"/>
  <c r="G529" i="3"/>
  <c r="BL527" i="3"/>
  <c r="AZ527" i="3" s="1"/>
  <c r="G527" i="3"/>
  <c r="BA525" i="3"/>
  <c r="G525" i="3"/>
  <c r="BL522" i="3"/>
  <c r="AZ522" i="3" s="1"/>
  <c r="BA521" i="3"/>
  <c r="BA520" i="3"/>
  <c r="AZ520" i="3" s="1"/>
  <c r="BL519" i="3"/>
  <c r="BA519" i="3"/>
  <c r="G519" i="3"/>
  <c r="BL518" i="3"/>
  <c r="AZ518" i="3" s="1"/>
  <c r="G518" i="3"/>
  <c r="G516" i="3"/>
  <c r="BA515" i="3"/>
  <c r="AZ515" i="3" s="1"/>
  <c r="G515" i="3"/>
  <c r="BL512" i="3"/>
  <c r="BA512" i="3"/>
  <c r="BL511" i="3"/>
  <c r="BA511" i="3"/>
  <c r="G511" i="3"/>
  <c r="BL510" i="3"/>
  <c r="G510" i="3"/>
  <c r="BL508" i="3"/>
  <c r="BA508" i="3"/>
  <c r="G506" i="3"/>
  <c r="BA505" i="3"/>
  <c r="G505" i="3"/>
  <c r="BA504" i="3"/>
  <c r="AZ504" i="3" s="1"/>
  <c r="G504" i="3"/>
  <c r="BL503" i="3"/>
  <c r="AZ503" i="3" s="1"/>
  <c r="BL502" i="3"/>
  <c r="AZ502" i="3" s="1"/>
  <c r="G502" i="3"/>
  <c r="BA501" i="3"/>
  <c r="G501" i="3"/>
  <c r="BL500" i="3"/>
  <c r="BA500" i="3"/>
  <c r="BA497" i="3"/>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0" i="3"/>
  <c r="BA471" i="3"/>
  <c r="AZ471" i="3" s="1"/>
  <c r="BL471" i="3"/>
  <c r="BA472" i="3"/>
  <c r="AZ472" i="3" s="1"/>
  <c r="BA473" i="3"/>
  <c r="AZ473" i="3" s="1"/>
  <c r="BA475" i="3"/>
  <c r="AZ475" i="3" s="1"/>
  <c r="BA477" i="3"/>
  <c r="AZ477" i="3" s="1"/>
  <c r="BA479" i="3"/>
  <c r="AZ479" i="3" s="1"/>
  <c r="BA481" i="3"/>
  <c r="AZ481" i="3" s="1"/>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G578" i="3"/>
  <c r="BA577" i="3"/>
  <c r="AZ577" i="3" s="1"/>
  <c r="BL576" i="3"/>
  <c r="BA576" i="3"/>
  <c r="G575" i="3"/>
  <c r="BA574" i="3"/>
  <c r="AZ574" i="3" s="1"/>
  <c r="G566" i="3"/>
  <c r="BL565" i="3"/>
  <c r="BA565" i="3"/>
  <c r="BA564" i="3"/>
  <c r="AZ564" i="3" s="1"/>
  <c r="G564" i="3"/>
  <c r="G563" i="3"/>
  <c r="BL562" i="3"/>
  <c r="BA562" i="3"/>
  <c r="G562" i="3"/>
  <c r="BA561" i="3"/>
  <c r="BL560" i="3"/>
  <c r="BA560" i="3"/>
  <c r="BL559" i="3"/>
  <c r="AZ559" i="3" s="1"/>
  <c r="BL558" i="3"/>
  <c r="BA549" i="3"/>
  <c r="AZ549" i="3" s="1"/>
  <c r="BL546" i="3"/>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BL216" i="3"/>
  <c r="BA217" i="3"/>
  <c r="BL217" i="3"/>
  <c r="G218" i="3"/>
  <c r="BL220" i="3"/>
  <c r="G221" i="3"/>
  <c r="BA223" i="3"/>
  <c r="BL223" i="3"/>
  <c r="G224" i="3"/>
  <c r="G225" i="3"/>
  <c r="BA226" i="3"/>
  <c r="BL226" i="3"/>
  <c r="BL228" i="3"/>
  <c r="G229" i="3"/>
  <c r="BA230" i="3"/>
  <c r="BL230" i="3"/>
  <c r="BA231" i="3"/>
  <c r="BL231" i="3"/>
  <c r="G232" i="3"/>
  <c r="BL233" i="3"/>
  <c r="G234" i="3"/>
  <c r="BL235" i="3"/>
  <c r="G236" i="3"/>
  <c r="G240" i="3"/>
  <c r="G242" i="3"/>
  <c r="G245" i="3"/>
  <c r="G248" i="3"/>
  <c r="G250" i="3"/>
  <c r="G252" i="3"/>
  <c r="BL253" i="3"/>
  <c r="G254" i="3"/>
  <c r="BA255" i="3"/>
  <c r="AZ255" i="3" s="1"/>
  <c r="BL255" i="3"/>
  <c r="BA257" i="3"/>
  <c r="AZ257" i="3" s="1"/>
  <c r="BL257" i="3"/>
  <c r="BA258" i="3"/>
  <c r="AZ258" i="3" s="1"/>
  <c r="BA259" i="3"/>
  <c r="AZ259" i="3" s="1"/>
  <c r="BA261" i="3"/>
  <c r="AZ261" i="3" s="1"/>
  <c r="BL261" i="3"/>
  <c r="BA262" i="3"/>
  <c r="AZ262" i="3" s="1"/>
  <c r="BA263" i="3"/>
  <c r="AZ263" i="3" s="1"/>
  <c r="BA265" i="3"/>
  <c r="AZ265" i="3" s="1"/>
  <c r="BL265" i="3"/>
  <c r="BL267" i="3"/>
  <c r="G268" i="3"/>
  <c r="BL269" i="3"/>
  <c r="G270" i="3"/>
  <c r="G272" i="3"/>
  <c r="BL273" i="3"/>
  <c r="G274" i="3"/>
  <c r="G276" i="3"/>
  <c r="BA277" i="3"/>
  <c r="AZ277" i="3" s="1"/>
  <c r="BL277" i="3"/>
  <c r="BA278" i="3"/>
  <c r="AZ278" i="3" s="1"/>
  <c r="BA279" i="3"/>
  <c r="AZ279" i="3" s="1"/>
  <c r="BA280" i="3"/>
  <c r="AZ280" i="3" s="1"/>
  <c r="BA281" i="3"/>
  <c r="AZ281" i="3" s="1"/>
  <c r="BA283" i="3"/>
  <c r="AZ283" i="3" s="1"/>
  <c r="BL283" i="3"/>
  <c r="BA284" i="3"/>
  <c r="AZ284" i="3" s="1"/>
  <c r="BA286" i="3"/>
  <c r="BL286" i="3"/>
  <c r="BA288" i="3"/>
  <c r="BL288" i="3"/>
  <c r="BA289" i="3"/>
  <c r="AZ289" i="3" s="1"/>
  <c r="BA291" i="3"/>
  <c r="AZ291" i="3" s="1"/>
  <c r="BL291" i="3"/>
  <c r="BA292" i="3"/>
  <c r="AZ292" i="3" s="1"/>
  <c r="BL294" i="3"/>
  <c r="G295" i="3"/>
  <c r="BL296" i="3"/>
  <c r="G297" i="3"/>
  <c r="BA298" i="3"/>
  <c r="BL298"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AZ206" i="3" s="1"/>
  <c r="BA22" i="3"/>
  <c r="BA23" i="3"/>
  <c r="BA25" i="3"/>
  <c r="BA36" i="3"/>
  <c r="G38" i="3"/>
  <c r="BA38" i="3"/>
  <c r="AZ38" i="3" s="1"/>
  <c r="BA39" i="3"/>
  <c r="AZ39" i="3" s="1"/>
  <c r="BA62" i="3"/>
  <c r="G92" i="3"/>
  <c r="BL93" i="3"/>
  <c r="BA95" i="3"/>
  <c r="BA96" i="3"/>
  <c r="AZ96" i="3" s="1"/>
  <c r="BA97" i="3"/>
  <c r="AZ97" i="3" s="1"/>
  <c r="G107" i="3"/>
  <c r="BL29" i="3"/>
  <c r="BL34" i="3"/>
  <c r="BL41" i="3"/>
  <c r="BL60" i="3"/>
  <c r="BL64" i="3"/>
  <c r="G67" i="3"/>
  <c r="G71" i="3"/>
  <c r="G73" i="3"/>
  <c r="BL74" i="3"/>
  <c r="G79" i="3"/>
  <c r="G81" i="3"/>
  <c r="BL82" i="3"/>
  <c r="BL84" i="3"/>
  <c r="BL86" i="3"/>
  <c r="G89" i="3"/>
  <c r="BL99" i="3"/>
  <c r="G102" i="3"/>
  <c r="BL92" i="3"/>
  <c r="BL94" i="3"/>
  <c r="AZ573" i="3"/>
  <c r="AZ570" i="3"/>
  <c r="AZ568" i="3"/>
  <c r="AZ552" i="3"/>
  <c r="AZ538" i="3"/>
  <c r="AZ530" i="3"/>
  <c r="AZ519" i="3"/>
  <c r="AZ512" i="3"/>
  <c r="AZ511" i="3"/>
  <c r="AZ508" i="3"/>
  <c r="AZ500" i="3"/>
  <c r="AZ493" i="3"/>
  <c r="AZ578" i="3"/>
  <c r="AZ576" i="3"/>
  <c r="AZ565" i="3"/>
  <c r="AZ562" i="3"/>
  <c r="AZ560" i="3"/>
  <c r="AZ546" i="3"/>
  <c r="AZ525" i="3"/>
  <c r="AZ533" i="3"/>
  <c r="AZ540" i="3"/>
  <c r="AZ558" i="3"/>
  <c r="BA551" i="3"/>
  <c r="BL548" i="3"/>
  <c r="AZ548" i="3" s="1"/>
  <c r="BA15" i="3"/>
  <c r="BA14" i="3"/>
  <c r="AZ14" i="3" s="1"/>
  <c r="BL13" i="3"/>
  <c r="AZ362" i="3"/>
  <c r="AZ497" i="3"/>
  <c r="AZ501" i="3"/>
  <c r="AZ541" i="3"/>
  <c r="AZ555" i="3"/>
  <c r="AZ583" i="3"/>
  <c r="AZ510" i="3"/>
  <c r="AZ387" i="3"/>
  <c r="AZ369" i="3"/>
  <c r="AZ357" i="3"/>
  <c r="AZ310" i="3"/>
  <c r="AZ371" i="3"/>
  <c r="AZ342" i="3"/>
  <c r="AZ336" i="3"/>
  <c r="AZ321" i="3"/>
  <c r="AZ304" i="3"/>
  <c r="BL495" i="3"/>
  <c r="AZ495" i="3" s="1"/>
  <c r="BL499" i="3"/>
  <c r="AZ499" i="3" s="1"/>
  <c r="BL505" i="3"/>
  <c r="AZ505" i="3" s="1"/>
  <c r="BL513" i="3"/>
  <c r="AZ513" i="3" s="1"/>
  <c r="BL521" i="3"/>
  <c r="BL529" i="3"/>
  <c r="AZ529" i="3" s="1"/>
  <c r="BL537" i="3"/>
  <c r="AZ537" i="3" s="1"/>
  <c r="BL545" i="3"/>
  <c r="AZ545" i="3" s="1"/>
  <c r="BL551" i="3"/>
  <c r="AZ551" i="3" s="1"/>
  <c r="BL561" i="3"/>
  <c r="AZ561" i="3" s="1"/>
  <c r="BL567" i="3"/>
  <c r="AZ567" i="3" s="1"/>
  <c r="BL575" i="3"/>
  <c r="AZ575" i="3" s="1"/>
  <c r="BL581" i="3"/>
  <c r="AZ581" i="3" s="1"/>
  <c r="BL586" i="3"/>
  <c r="AZ586" i="3" s="1"/>
  <c r="BL585" i="3"/>
  <c r="AZ585" i="3" s="1"/>
  <c r="G570" i="3"/>
  <c r="G556" i="3"/>
  <c r="BL550" i="3"/>
  <c r="AZ403" i="3"/>
  <c r="AZ418" i="3"/>
  <c r="AZ422" i="3"/>
  <c r="AZ434" i="3"/>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BA392" i="3"/>
  <c r="AZ392" i="3" s="1"/>
  <c r="G395" i="3"/>
  <c r="BL395" i="3"/>
  <c r="G208" i="3"/>
  <c r="BL208" i="3"/>
  <c r="BL211" i="3"/>
  <c r="BA212" i="3"/>
  <c r="AZ212" i="3" s="1"/>
  <c r="BA213" i="3"/>
  <c r="AZ213" i="3" s="1"/>
  <c r="BA214" i="3"/>
  <c r="AZ214" i="3" s="1"/>
  <c r="BA215" i="3"/>
  <c r="AZ215" i="3" s="1"/>
  <c r="BL219" i="3"/>
  <c r="BA220" i="3"/>
  <c r="AZ220" i="3" s="1"/>
  <c r="BL222" i="3"/>
  <c r="AZ222" i="3" s="1"/>
  <c r="BL224" i="3"/>
  <c r="AZ224" i="3" s="1"/>
  <c r="BA225" i="3"/>
  <c r="AZ225" i="3" s="1"/>
  <c r="BL227" i="3"/>
  <c r="AZ227" i="3" s="1"/>
  <c r="BA228" i="3"/>
  <c r="AZ228" i="3" s="1"/>
  <c r="BA229" i="3"/>
  <c r="AZ229" i="3" s="1"/>
  <c r="BA550" i="3"/>
  <c r="AZ550" i="3" s="1"/>
  <c r="G526" i="3"/>
  <c r="G17" i="3"/>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AZ446" i="3"/>
  <c r="AZ449" i="3"/>
  <c r="AZ453" i="3"/>
  <c r="AZ455"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8" i="3"/>
  <c r="AZ358" i="3" s="1"/>
  <c r="BL363" i="3"/>
  <c r="AZ363" i="3" s="1"/>
  <c r="BL367" i="3"/>
  <c r="AZ367" i="3" s="1"/>
  <c r="G369" i="3"/>
  <c r="BL381" i="3"/>
  <c r="AZ381" i="3" s="1"/>
  <c r="BL386" i="3"/>
  <c r="AZ386" i="3" s="1"/>
  <c r="AZ395" i="3"/>
  <c r="AZ208" i="3"/>
  <c r="AZ210" i="3"/>
  <c r="AZ211" i="3"/>
  <c r="AZ217" i="3"/>
  <c r="AZ219" i="3"/>
  <c r="AZ231" i="3"/>
  <c r="BA233" i="3"/>
  <c r="AZ233" i="3" s="1"/>
  <c r="BA234" i="3"/>
  <c r="AZ234" i="3" s="1"/>
  <c r="BA235" i="3"/>
  <c r="AZ235" i="3" s="1"/>
  <c r="BL237" i="3"/>
  <c r="AZ237" i="3" s="1"/>
  <c r="G238" i="3"/>
  <c r="G239" i="3"/>
  <c r="BL239" i="3"/>
  <c r="BL241" i="3"/>
  <c r="AZ241"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L21" i="3"/>
  <c r="G27" i="3"/>
  <c r="BA28" i="3"/>
  <c r="AZ28" i="3" s="1"/>
  <c r="BA29" i="3"/>
  <c r="AZ29" i="3" s="1"/>
  <c r="BA31" i="3"/>
  <c r="BL31" i="3"/>
  <c r="G34" i="3"/>
  <c r="BA34" i="3"/>
  <c r="AZ34" i="3" s="1"/>
  <c r="BA35" i="3"/>
  <c r="AZ35" i="3" s="1"/>
  <c r="BA37" i="3"/>
  <c r="BL37" i="3"/>
  <c r="G42" i="3"/>
  <c r="BA43" i="3"/>
  <c r="BL43" i="3"/>
  <c r="BA33" i="3"/>
  <c r="AZ33" i="3" s="1"/>
  <c r="BA41" i="3"/>
  <c r="AZ41" i="3" s="1"/>
  <c r="AZ45" i="3"/>
  <c r="BA47" i="3"/>
  <c r="AZ47" i="3" s="1"/>
  <c r="BA50" i="3"/>
  <c r="AZ50" i="3" s="1"/>
  <c r="BA54" i="3"/>
  <c r="AZ54" i="3" s="1"/>
  <c r="BA57" i="3"/>
  <c r="AZ57" i="3" s="1"/>
  <c r="BA59" i="3"/>
  <c r="BL59" i="3"/>
  <c r="BA60" i="3"/>
  <c r="AZ60" i="3" s="1"/>
  <c r="BA61" i="3"/>
  <c r="AZ61" i="3" s="1"/>
  <c r="BA63" i="3"/>
  <c r="BL63" i="3"/>
  <c r="BA64" i="3"/>
  <c r="AZ64" i="3" s="1"/>
  <c r="BA66" i="3"/>
  <c r="BL66" i="3"/>
  <c r="G69" i="3"/>
  <c r="G70" i="3"/>
  <c r="BL70" i="3"/>
  <c r="BL72" i="3"/>
  <c r="AZ72" i="3" s="1"/>
  <c r="BA73" i="3"/>
  <c r="AZ73" i="3" s="1"/>
  <c r="BA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5" i="3"/>
  <c r="G106" i="3"/>
  <c r="BL106" i="3"/>
  <c r="G109" i="3"/>
  <c r="G110" i="3"/>
  <c r="G111" i="3"/>
  <c r="G112" i="3"/>
  <c r="BL112" i="3"/>
  <c r="AZ112" i="3" s="1"/>
  <c r="BL20" i="3"/>
  <c r="BL22" i="3"/>
  <c r="AZ22" i="3" s="1"/>
  <c r="BL23" i="3"/>
  <c r="BL25" i="3"/>
  <c r="AZ25" i="3" s="1"/>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G66" i="3"/>
  <c r="BL67" i="3"/>
  <c r="AZ67" i="3" s="1"/>
  <c r="AZ70" i="3"/>
  <c r="BL71" i="3"/>
  <c r="AZ71" i="3" s="1"/>
  <c r="G74" i="3"/>
  <c r="G75" i="3"/>
  <c r="BL75" i="3"/>
  <c r="AZ75" i="3" s="1"/>
  <c r="AZ78" i="3"/>
  <c r="BL79" i="3"/>
  <c r="AZ79" i="3" s="1"/>
  <c r="G82" i="3"/>
  <c r="G83" i="3"/>
  <c r="G84" i="3"/>
  <c r="G85" i="3"/>
  <c r="G86" i="3"/>
  <c r="G87" i="3"/>
  <c r="BL87" i="3"/>
  <c r="BL89" i="3"/>
  <c r="AZ89" i="3" s="1"/>
  <c r="AZ91" i="3"/>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H75" i="43"/>
  <c r="H71" i="43"/>
  <c r="H72" i="43"/>
  <c r="H77" i="43"/>
  <c r="H70" i="43"/>
  <c r="H74" i="43"/>
  <c r="H78" i="43"/>
  <c r="H76" i="43"/>
  <c r="G17" i="43"/>
  <c r="C16" i="43" s="1"/>
  <c r="C5" i="43" s="1"/>
  <c r="BB5" i="3"/>
  <c r="BL18" i="3"/>
  <c r="G21" i="3"/>
  <c r="AZ23" i="3"/>
  <c r="BL24" i="3"/>
  <c r="G25" i="3"/>
  <c r="G27" i="6"/>
  <c r="F34" i="39"/>
  <c r="AA34" i="39" s="1"/>
  <c r="F109" i="39"/>
  <c r="W27"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AC41" i="39"/>
  <c r="AB41" i="39"/>
  <c r="S29" i="39"/>
  <c r="AB34" i="39"/>
  <c r="U40" i="39"/>
  <c r="W37" i="39"/>
  <c r="AC37" i="39"/>
  <c r="U35" i="39"/>
  <c r="AB35" i="39"/>
  <c r="H37" i="39"/>
  <c r="S35" i="39"/>
  <c r="F37" i="39"/>
  <c r="J35" i="39"/>
  <c r="AB31" i="39"/>
  <c r="U31" i="39"/>
  <c r="J31" i="39"/>
  <c r="W19" i="39"/>
  <c r="AB8" i="39"/>
  <c r="H82" i="43"/>
  <c r="D93" i="9"/>
  <c r="B41" i="1"/>
  <c r="C40" i="11"/>
  <c r="C5" i="11"/>
  <c r="D22" i="67"/>
  <c r="G20" i="3"/>
  <c r="AZ17" i="3"/>
  <c r="BF5" i="3"/>
  <c r="BL19" i="3"/>
  <c r="G18" i="3"/>
  <c r="BL15" i="3"/>
  <c r="AZ15" i="3" s="1"/>
  <c r="G24" i="3"/>
  <c r="G22" i="3"/>
  <c r="BQ5" i="3"/>
  <c r="G19" i="3"/>
  <c r="G16" i="3"/>
  <c r="BL16" i="3"/>
  <c r="AZ16" i="3" s="1"/>
  <c r="P10" i="1"/>
  <c r="BN5" i="3"/>
  <c r="BA24" i="3"/>
  <c r="I4" i="6"/>
  <c r="G3" i="43" s="1"/>
  <c r="J22" i="43" s="1"/>
  <c r="H5" i="3"/>
  <c r="G13" i="3"/>
  <c r="E5" i="6"/>
  <c r="D9" i="11" s="1"/>
  <c r="C9" i="11" s="1"/>
  <c r="E2" i="70"/>
  <c r="AQ13" i="1"/>
  <c r="G14" i="3"/>
  <c r="T12" i="1"/>
  <c r="BA27" i="3"/>
  <c r="BC5" i="3"/>
  <c r="BK5" i="3"/>
  <c r="BL26" i="3"/>
  <c r="AZ26" i="3" s="1"/>
  <c r="F28" i="6"/>
  <c r="BD5" i="3"/>
  <c r="BH5" i="3"/>
  <c r="BM5" i="3"/>
  <c r="F29" i="6" s="1"/>
  <c r="BA18" i="3"/>
  <c r="AZ18" i="3" s="1"/>
  <c r="BA19" i="3"/>
  <c r="BA20" i="3"/>
  <c r="AZ20" i="3" s="1"/>
  <c r="BA21" i="3"/>
  <c r="AZ21" i="3" s="1"/>
  <c r="T13" i="1"/>
  <c r="T11" i="1"/>
  <c r="BI5" i="3"/>
  <c r="BE5" i="3"/>
  <c r="BP5" i="3"/>
  <c r="G29" i="6" s="1"/>
  <c r="BR5" i="3"/>
  <c r="G28" i="6" s="1"/>
  <c r="AZ13" i="3"/>
  <c r="AR12" i="1"/>
  <c r="G7" i="1"/>
  <c r="G12" i="1"/>
  <c r="G10" i="1"/>
  <c r="G8" i="1"/>
  <c r="C20" i="43"/>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U34" i="36"/>
  <c r="AB34" i="36"/>
  <c r="U33" i="36"/>
  <c r="AB33" i="36"/>
  <c r="E12" i="71"/>
  <c r="E11" i="71" s="1"/>
  <c r="E10" i="71" s="1"/>
  <c r="E9" i="71" s="1"/>
  <c r="V13" i="71"/>
  <c r="O12" i="1"/>
  <c r="W9" i="34"/>
  <c r="AC9" i="34"/>
  <c r="AC24" i="35"/>
  <c r="W24" i="35"/>
  <c r="AC34" i="35"/>
  <c r="W34" i="35"/>
  <c r="U36" i="35"/>
  <c r="AB36" i="35"/>
  <c r="AA32" i="36"/>
  <c r="S32" i="36"/>
  <c r="AA35" i="33"/>
  <c r="AC39" i="34"/>
  <c r="U44" i="34"/>
  <c r="AB27" i="36"/>
  <c r="U12" i="39"/>
  <c r="AA27" i="40"/>
  <c r="AB27" i="40"/>
  <c r="AA34" i="33"/>
  <c r="AZ409" i="3"/>
  <c r="AZ416" i="3"/>
  <c r="AZ425" i="3"/>
  <c r="AZ432" i="3"/>
  <c r="AZ445" i="3"/>
  <c r="AZ447" i="3"/>
  <c r="AZ464" i="3"/>
  <c r="AZ467" i="3"/>
  <c r="W29" i="33"/>
  <c r="S45" i="33"/>
  <c r="AC30" i="34"/>
  <c r="W11" i="35"/>
  <c r="S11" i="36"/>
  <c r="AB11" i="36"/>
  <c r="AA14" i="33"/>
  <c r="AA44" i="33"/>
  <c r="H9" i="34"/>
  <c r="F34" i="35"/>
  <c r="H34" i="35"/>
  <c r="J36" i="35"/>
  <c r="AZ474" i="3"/>
  <c r="AZ476" i="3"/>
  <c r="AZ478" i="3"/>
  <c r="AZ480" i="3"/>
  <c r="AZ482" i="3"/>
  <c r="AZ486" i="3"/>
  <c r="AZ488" i="3"/>
  <c r="AZ216" i="3"/>
  <c r="AZ221" i="3"/>
  <c r="AZ226" i="3"/>
  <c r="AZ230" i="3"/>
  <c r="H38" i="40"/>
  <c r="J38" i="40"/>
  <c r="H39" i="40"/>
  <c r="AZ239" i="3"/>
  <c r="AZ244" i="3"/>
  <c r="AZ260" i="3"/>
  <c r="AZ264" i="3"/>
  <c r="AZ282" i="3"/>
  <c r="AZ285" i="3"/>
  <c r="AZ290" i="3"/>
  <c r="AZ293" i="3"/>
  <c r="AZ153" i="3"/>
  <c r="AZ169" i="3"/>
  <c r="AZ185" i="3"/>
  <c r="AZ201" i="3"/>
  <c r="AZ207" i="3"/>
  <c r="AZ30" i="3"/>
  <c r="AZ40" i="3"/>
  <c r="AZ49" i="3"/>
  <c r="AZ65" i="3"/>
  <c r="AZ87" i="3"/>
  <c r="AZ95"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36" i="68"/>
  <c r="C17" i="67"/>
  <c r="C16" i="15"/>
  <c r="C16" i="67"/>
  <c r="F27" i="69"/>
  <c r="C14" i="15"/>
  <c r="G1" i="73"/>
  <c r="C17" i="15"/>
  <c r="C14" i="67"/>
  <c r="C36" i="69"/>
  <c r="AZ202" i="3" l="1"/>
  <c r="AZ197" i="3"/>
  <c r="AZ125" i="3"/>
  <c r="AZ298" i="3"/>
  <c r="AZ288" i="3"/>
  <c r="AZ286" i="3"/>
  <c r="AZ223" i="3"/>
  <c r="AZ443" i="3"/>
  <c r="AZ557" i="3"/>
  <c r="AZ572" i="3"/>
  <c r="Q16" i="1"/>
  <c r="H16" i="1"/>
  <c r="AZ19" i="3"/>
  <c r="AZ24" i="3"/>
  <c r="AZ37" i="3"/>
  <c r="AZ63" i="3"/>
  <c r="AZ59" i="3"/>
  <c r="AZ66" i="3"/>
  <c r="AZ43" i="3"/>
  <c r="AZ31" i="3"/>
  <c r="AZ458" i="3"/>
  <c r="AZ27" i="3"/>
  <c r="D5" i="43"/>
  <c r="C39" i="43" s="1"/>
  <c r="G39" i="43" s="1"/>
  <c r="I39" i="43" s="1"/>
  <c r="T11" i="43"/>
  <c r="V11" i="43" s="1"/>
  <c r="T14" i="43"/>
  <c r="V14" i="43" s="1"/>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38" i="43"/>
  <c r="E38" i="43" s="1"/>
  <c r="C47" i="69"/>
  <c r="D45" i="69" s="1"/>
  <c r="F48" i="9"/>
  <c r="O52" i="9" s="1"/>
  <c r="F30" i="68"/>
  <c r="F28" i="67"/>
  <c r="C28" i="67" s="1"/>
  <c r="F52" i="9"/>
  <c r="F32" i="67"/>
  <c r="F60" i="67" s="1"/>
  <c r="F32" i="15"/>
  <c r="F60" i="15" s="1"/>
  <c r="F28" i="15"/>
  <c r="C28" i="15" s="1"/>
  <c r="D68" i="9"/>
  <c r="F53" i="9"/>
  <c r="F30" i="11"/>
  <c r="F31" i="12"/>
  <c r="C31" i="12" s="1"/>
  <c r="M18" i="67"/>
  <c r="F30" i="69"/>
  <c r="M18" i="15"/>
  <c r="J18" i="15" s="1"/>
  <c r="F54" i="9"/>
  <c r="G30" i="6"/>
  <c r="G31" i="6" s="1"/>
  <c r="E10" i="6"/>
  <c r="L101" i="43"/>
  <c r="L109" i="43" s="1"/>
  <c r="G5" i="3"/>
  <c r="B3" i="3" s="1"/>
  <c r="E172" i="3" s="1"/>
  <c r="F30" i="6"/>
  <c r="E28"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28" i="12"/>
  <c r="C29" i="12" s="1"/>
  <c r="D28" i="12" s="1"/>
  <c r="F27" i="11"/>
  <c r="C29" i="11" s="1"/>
  <c r="D27" i="11" s="1"/>
  <c r="E15" i="6"/>
  <c r="E14" i="6"/>
  <c r="E64" i="39" s="1"/>
  <c r="I109" i="43"/>
  <c r="E237" i="3"/>
  <c r="E579" i="3"/>
  <c r="E402" i="3"/>
  <c r="E120" i="3"/>
  <c r="E312" i="3"/>
  <c r="E260" i="3"/>
  <c r="E569" i="3"/>
  <c r="E385" i="3"/>
  <c r="E423" i="3"/>
  <c r="E191" i="3"/>
  <c r="E85" i="3"/>
  <c r="E116" i="3"/>
  <c r="E379" i="3"/>
  <c r="D19" i="12"/>
  <c r="C19" i="12" s="1"/>
  <c r="F45" i="69"/>
  <c r="E269" i="3"/>
  <c r="E136" i="3"/>
  <c r="E296" i="3"/>
  <c r="E434" i="3"/>
  <c r="E16" i="3"/>
  <c r="E314" i="3"/>
  <c r="E285" i="3"/>
  <c r="E574" i="3"/>
  <c r="E302" i="3"/>
  <c r="E213" i="3"/>
  <c r="E304" i="3"/>
  <c r="E319" i="3"/>
  <c r="E153" i="3"/>
  <c r="E328" i="3"/>
  <c r="E567" i="3"/>
  <c r="E227" i="3"/>
  <c r="E311" i="3"/>
  <c r="E570" i="3"/>
  <c r="AB6" i="3"/>
  <c r="E335" i="3"/>
  <c r="E189" i="3"/>
  <c r="E91" i="3"/>
  <c r="E252" i="3"/>
  <c r="E164" i="3"/>
  <c r="E525" i="3"/>
  <c r="E542" i="3"/>
  <c r="E552" i="3"/>
  <c r="E421" i="3"/>
  <c r="E464" i="3"/>
  <c r="E487" i="3"/>
  <c r="P6" i="3"/>
  <c r="E414" i="3"/>
  <c r="E217" i="3"/>
  <c r="E526" i="3"/>
  <c r="E268" i="3"/>
  <c r="E322" i="3"/>
  <c r="AJ6" i="3"/>
  <c r="E583" i="3"/>
  <c r="X6" i="3"/>
  <c r="E336" i="3"/>
  <c r="E246" i="3"/>
  <c r="E293" i="3"/>
  <c r="E390" i="3"/>
  <c r="S6" i="3"/>
  <c r="E523" i="3"/>
  <c r="E506" i="3"/>
  <c r="E418" i="3"/>
  <c r="E338" i="3"/>
  <c r="E321" i="3"/>
  <c r="E298" i="3"/>
  <c r="E169" i="3"/>
  <c r="E61" i="3"/>
  <c r="E290" i="3"/>
  <c r="E117" i="3"/>
  <c r="E77" i="3"/>
  <c r="E253" i="3"/>
  <c r="E199" i="3"/>
  <c r="E313" i="3"/>
  <c r="E519" i="3"/>
  <c r="E493" i="3"/>
  <c r="E534" i="3"/>
  <c r="E564" i="3"/>
  <c r="T6" i="3"/>
  <c r="E543" i="3"/>
  <c r="E405" i="3"/>
  <c r="E427" i="3"/>
  <c r="E456" i="3"/>
  <c r="E486" i="3"/>
  <c r="E469" i="3"/>
  <c r="E507" i="3"/>
  <c r="E512" i="3"/>
  <c r="E422" i="3"/>
  <c r="E408" i="3"/>
  <c r="E440" i="3"/>
  <c r="E400"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E109" i="43"/>
  <c r="AZ5" i="3"/>
  <c r="AY6" i="3" s="1"/>
  <c r="E13" i="6"/>
  <c r="E58" i="40" s="1"/>
  <c r="E11" i="6"/>
  <c r="BA5" i="3"/>
  <c r="E29" i="6"/>
  <c r="E60" i="40"/>
  <c r="E65" i="39"/>
  <c r="C36" i="43"/>
  <c r="E36" i="43" s="1"/>
  <c r="G16" i="1"/>
  <c r="F10" i="39" s="1"/>
  <c r="AA10" i="39" s="1"/>
  <c r="C33" i="43"/>
  <c r="E33" i="43" s="1"/>
  <c r="T12" i="43"/>
  <c r="V12" i="43" s="1"/>
  <c r="T13" i="43"/>
  <c r="V13" i="43" s="1"/>
  <c r="T10" i="43"/>
  <c r="V10" i="43" s="1"/>
  <c r="T9" i="43"/>
  <c r="V9" i="43" s="1"/>
  <c r="J7" i="34"/>
  <c r="D70" i="39"/>
  <c r="E68" i="39"/>
  <c r="F7" i="36"/>
  <c r="J7" i="37"/>
  <c r="H7" i="36"/>
  <c r="AB7" i="36" s="1"/>
  <c r="T36" i="36" s="1"/>
  <c r="G36" i="36" s="1"/>
  <c r="H7" i="34"/>
  <c r="F7" i="34"/>
  <c r="AA7" i="34" s="1"/>
  <c r="R49" i="34" s="1"/>
  <c r="C20" i="71"/>
  <c r="D21" i="71"/>
  <c r="U21" i="71" s="1"/>
  <c r="T21" i="71"/>
  <c r="AC38" i="40"/>
  <c r="W38" i="40"/>
  <c r="AB34" i="35"/>
  <c r="U34" i="35"/>
  <c r="U9" i="34"/>
  <c r="AB9" i="34"/>
  <c r="P12" i="1"/>
  <c r="E8" i="71"/>
  <c r="E7" i="71" s="1"/>
  <c r="E6" i="71" s="1"/>
  <c r="E5" i="71" s="1"/>
  <c r="V9" i="71"/>
  <c r="L104" i="43"/>
  <c r="J105" i="43"/>
  <c r="G103" i="43"/>
  <c r="I106" i="43"/>
  <c r="I107" i="43"/>
  <c r="I105" i="43"/>
  <c r="K14" i="1"/>
  <c r="H14" i="74"/>
  <c r="B7" i="74" s="1"/>
  <c r="D10" i="52"/>
  <c r="D125" i="9"/>
  <c r="D11" i="52" s="1"/>
  <c r="B20" i="71"/>
  <c r="B19" i="71" s="1"/>
  <c r="B18" i="71" s="1"/>
  <c r="B17" i="71" s="1"/>
  <c r="S21" i="71"/>
  <c r="B63" i="71"/>
  <c r="N64" i="71"/>
  <c r="U39" i="40"/>
  <c r="AB39" i="40"/>
  <c r="AB38" i="40"/>
  <c r="U38" i="40"/>
  <c r="W36" i="35"/>
  <c r="AC36" i="35"/>
  <c r="S34" i="35"/>
  <c r="AA34" i="35"/>
  <c r="H106" i="43"/>
  <c r="H102" i="43"/>
  <c r="H109" i="43"/>
  <c r="C104" i="43"/>
  <c r="C105" i="43"/>
  <c r="C107" i="43"/>
  <c r="C109" i="43"/>
  <c r="E104" i="43"/>
  <c r="E105" i="43"/>
  <c r="E103" i="43"/>
  <c r="M102" i="43"/>
  <c r="N103" i="43"/>
  <c r="N107" i="43"/>
  <c r="N102" i="43"/>
  <c r="N104" i="43"/>
  <c r="K104" i="43"/>
  <c r="K109" i="43"/>
  <c r="K102" i="43"/>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6"/>
  <c r="AB7" i="34"/>
  <c r="T49" i="34" s="1"/>
  <c r="G49" i="34" s="1"/>
  <c r="U7" i="34"/>
  <c r="S7" i="34"/>
  <c r="F7" i="33"/>
  <c r="E58" i="21"/>
  <c r="AC7" i="36"/>
  <c r="V36" i="36" s="1"/>
  <c r="I36" i="36" s="1"/>
  <c r="W7" i="36"/>
  <c r="F7" i="37"/>
  <c r="W7" i="34"/>
  <c r="AC7" i="34"/>
  <c r="V49" i="34" s="1"/>
  <c r="I49" i="34" s="1"/>
  <c r="M17" i="67"/>
  <c r="M17" i="15"/>
  <c r="F59" i="15"/>
  <c r="P24" i="43"/>
  <c r="B66" i="40" s="1"/>
  <c r="P21" i="43"/>
  <c r="C49" i="67"/>
  <c r="E39" i="43"/>
  <c r="P25" i="43"/>
  <c r="P23" i="43"/>
  <c r="B71" i="39" s="1"/>
  <c r="C49" i="15"/>
  <c r="C15" i="67"/>
  <c r="C18" i="67"/>
  <c r="C32" i="67"/>
  <c r="C32" i="9"/>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B2" i="70"/>
  <c r="B3" i="70" s="1"/>
  <c r="D9" i="68"/>
  <c r="D9" i="69"/>
  <c r="F27" i="68"/>
  <c r="E520" i="3" l="1"/>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L19" i="6"/>
  <c r="L27" i="6" s="1"/>
  <c r="E114" i="3"/>
  <c r="E575" i="3"/>
  <c r="E286" i="3"/>
  <c r="E193" i="3"/>
  <c r="E224" i="3"/>
  <c r="E45" i="3"/>
  <c r="E157" i="3"/>
  <c r="E99" i="3"/>
  <c r="E301" i="3"/>
  <c r="E350" i="3"/>
  <c r="E586" i="3"/>
  <c r="E495" i="3"/>
  <c r="E201" i="3"/>
  <c r="E431" i="3"/>
  <c r="E509" i="3"/>
  <c r="E445" i="3"/>
  <c r="E563" i="3"/>
  <c r="C32" i="15"/>
  <c r="C37" i="43"/>
  <c r="E37" i="43" s="1"/>
  <c r="C34" i="43"/>
  <c r="E34" i="43" s="1"/>
  <c r="C35" i="43"/>
  <c r="E35" i="43" s="1"/>
  <c r="AC34" i="39"/>
  <c r="W34" i="39"/>
  <c r="G38" i="43"/>
  <c r="I38" i="43" s="1"/>
  <c r="G33" i="43"/>
  <c r="I33" i="43" s="1"/>
  <c r="G36" i="43"/>
  <c r="I36" i="43" s="1"/>
  <c r="C29" i="68"/>
  <c r="D27" i="68" s="1"/>
  <c r="C9" i="68"/>
  <c r="C9" i="69"/>
  <c r="C48" i="11"/>
  <c r="C30" i="11"/>
  <c r="F48" i="68"/>
  <c r="C30" i="68"/>
  <c r="C48" i="68"/>
  <c r="C30" i="69"/>
  <c r="F48" i="69"/>
  <c r="C48" i="69"/>
  <c r="G34" i="43"/>
  <c r="I34" i="43" s="1"/>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AC6" i="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H6" i="3"/>
  <c r="E6" i="3" s="1"/>
  <c r="F45" i="68"/>
  <c r="K20" i="6"/>
  <c r="E3" i="6"/>
  <c r="K22" i="6"/>
  <c r="E63" i="39"/>
  <c r="E57" i="40"/>
  <c r="E61" i="39"/>
  <c r="E56" i="40"/>
  <c r="J10" i="39"/>
  <c r="AC10" i="39" s="1"/>
  <c r="S3" i="43"/>
  <c r="T3" i="43" s="1"/>
  <c r="V3" i="43" s="1"/>
  <c r="S6" i="43"/>
  <c r="T6" i="43" s="1"/>
  <c r="V6" i="43" s="1"/>
  <c r="S2" i="43"/>
  <c r="T2" i="43" s="1"/>
  <c r="V2" i="43" s="1"/>
  <c r="C23" i="43"/>
  <c r="C21" i="43" s="1"/>
  <c r="C29" i="43" s="1"/>
  <c r="C30" i="43" s="1"/>
  <c r="E30" i="43" s="1"/>
  <c r="S7" i="43"/>
  <c r="T7" i="43" s="1"/>
  <c r="V7" i="43" s="1"/>
  <c r="S5" i="43"/>
  <c r="T5" i="43" s="1"/>
  <c r="V5" i="43" s="1"/>
  <c r="S4" i="43"/>
  <c r="T4" i="43" s="1"/>
  <c r="V4" i="43" s="1"/>
  <c r="W10" i="39"/>
  <c r="H10" i="39"/>
  <c r="AB10" i="39" s="1"/>
  <c r="G37" i="43"/>
  <c r="I37" i="43" s="1"/>
  <c r="H10" i="40"/>
  <c r="F10" i="40"/>
  <c r="J10" i="40"/>
  <c r="W10" i="40" s="1"/>
  <c r="E29" i="43"/>
  <c r="F68" i="39"/>
  <c r="E70" i="39"/>
  <c r="U7" i="37"/>
  <c r="C19" i="71"/>
  <c r="D20" i="71"/>
  <c r="D3" i="33"/>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L18" i="9" l="1"/>
  <c r="F3" i="6"/>
  <c r="C26" i="43"/>
  <c r="G35" i="43"/>
  <c r="I35" i="43" s="1"/>
  <c r="C27" i="43" s="1"/>
  <c r="H38" i="39"/>
  <c r="J38" i="39"/>
  <c r="F38" i="39"/>
  <c r="D3" i="34"/>
  <c r="M22" i="6"/>
  <c r="I22" i="6" s="1"/>
  <c r="S22" i="6" s="1"/>
  <c r="S9" i="1"/>
  <c r="M20" i="6"/>
  <c r="I20" i="6" s="1"/>
  <c r="S20" i="6" s="1"/>
  <c r="S7" i="1"/>
  <c r="M21" i="6"/>
  <c r="I21" i="6" s="1"/>
  <c r="S21" i="6" s="1"/>
  <c r="S8" i="1"/>
  <c r="M19" i="6"/>
  <c r="L17" i="1" s="1"/>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B6" i="76"/>
  <c r="C34" i="69"/>
  <c r="E6" i="76"/>
  <c r="B2" i="34" l="1"/>
  <c r="B3" i="34" s="1"/>
  <c r="I19" i="6"/>
  <c r="H20" i="6"/>
  <c r="R20" i="6" s="1"/>
  <c r="R7" i="1" s="1"/>
  <c r="K27" i="6"/>
  <c r="E2" i="76"/>
  <c r="C38" i="69"/>
  <c r="C35" i="69"/>
  <c r="W38" i="39"/>
  <c r="AC38" i="39"/>
  <c r="AA38" i="39"/>
  <c r="S38" i="39"/>
  <c r="AB38" i="39"/>
  <c r="U38" i="39"/>
  <c r="H21" i="6"/>
  <c r="R21" i="6" s="1"/>
  <c r="R8" i="1" s="1"/>
  <c r="M23" i="6"/>
  <c r="I23" i="6" s="1"/>
  <c r="S23" i="6" s="1"/>
  <c r="S10" i="1"/>
  <c r="S16" i="1" s="1"/>
  <c r="AR8" i="1"/>
  <c r="AQ8" i="1"/>
  <c r="T8" i="1"/>
  <c r="AR7" i="1"/>
  <c r="T7" i="1"/>
  <c r="AQ7" i="1"/>
  <c r="AR9" i="1"/>
  <c r="T9" i="1"/>
  <c r="AQ9" i="1"/>
  <c r="AQ6" i="1"/>
  <c r="AR6" i="1"/>
  <c r="T6" i="1"/>
  <c r="C7" i="74"/>
  <c r="H24" i="6"/>
  <c r="R24" i="6" s="1"/>
  <c r="D10" i="11"/>
  <c r="C10" i="11" s="1"/>
  <c r="H26" i="6"/>
  <c r="R26" i="6" s="1"/>
  <c r="D6" i="6"/>
  <c r="C24" i="11"/>
  <c r="C14" i="12"/>
  <c r="D30" i="6"/>
  <c r="D16" i="6"/>
  <c r="C25" i="11"/>
  <c r="G70" i="39"/>
  <c r="H68" i="39"/>
  <c r="C17" i="71"/>
  <c r="D18" i="71"/>
  <c r="B8" i="71"/>
  <c r="B7" i="71" s="1"/>
  <c r="B6" i="71" s="1"/>
  <c r="B5" i="71" s="1"/>
  <c r="S9" i="71"/>
  <c r="S19" i="6"/>
  <c r="P14" i="1"/>
  <c r="P16" i="1" s="1"/>
  <c r="C11" i="12" s="1"/>
  <c r="D8" i="74"/>
  <c r="D7" i="74"/>
  <c r="C21" i="9"/>
  <c r="D21" i="9"/>
  <c r="G21" i="9"/>
  <c r="C34" i="11"/>
  <c r="N16" i="1"/>
  <c r="L16" i="1"/>
  <c r="H19" i="6"/>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8"/>
  <c r="D10" i="69"/>
  <c r="C37" i="68" l="1"/>
  <c r="B3" i="76"/>
  <c r="I27" i="6"/>
  <c r="S27" i="6"/>
  <c r="H23" i="6"/>
  <c r="R23" i="6" s="1"/>
  <c r="R10" i="1" s="1"/>
  <c r="C22" i="11"/>
  <c r="C31" i="11" s="1"/>
  <c r="D19" i="68"/>
  <c r="D37" i="68" s="1"/>
  <c r="C10" i="68"/>
  <c r="C8"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H27" i="6" l="1"/>
  <c r="C19" i="68"/>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24" i="68" l="1"/>
  <c r="G11" i="39"/>
  <c r="H11" i="39" s="1"/>
  <c r="I11" i="39"/>
  <c r="J11" i="39" s="1"/>
  <c r="E11" i="39"/>
  <c r="F11" i="39" s="1"/>
  <c r="C42" i="11"/>
  <c r="J7" i="35"/>
  <c r="AC7" i="35" s="1"/>
  <c r="V38" i="35" s="1"/>
  <c r="I38" i="35" s="1"/>
  <c r="J70" i="39"/>
  <c r="K68" i="39"/>
  <c r="C41" i="69"/>
  <c r="C27" i="12"/>
  <c r="C25" i="12" s="1"/>
  <c r="C32" i="12" s="1"/>
  <c r="B2" i="12" s="1"/>
  <c r="B3" i="12" s="1"/>
  <c r="C46" i="69"/>
  <c r="C45" i="69" s="1"/>
  <c r="C28" i="69"/>
  <c r="C27" i="69" s="1"/>
  <c r="C25" i="69"/>
  <c r="C22" i="69" s="1"/>
  <c r="C14" i="71"/>
  <c r="D15" i="71"/>
  <c r="C46" i="11"/>
  <c r="C45" i="11" s="1"/>
  <c r="C43" i="11"/>
  <c r="C39" i="68"/>
  <c r="C42" i="68"/>
  <c r="W7" i="35"/>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W11" i="39" l="1"/>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C12" i="71"/>
  <c r="T13" i="71"/>
  <c r="D13" i="71"/>
  <c r="U13" i="71" s="1"/>
  <c r="C56" i="11"/>
  <c r="C57" i="11" s="1"/>
  <c r="R39" i="35"/>
  <c r="E38" i="35"/>
  <c r="M63" i="40"/>
  <c r="L65" i="40"/>
  <c r="B3" i="69"/>
  <c r="D51" i="68" l="1"/>
  <c r="E51" i="68"/>
  <c r="M70" i="39"/>
  <c r="N68" i="39"/>
  <c r="C57" i="69"/>
  <c r="C56" i="69" s="1"/>
  <c r="D12" i="71"/>
  <c r="C11" i="71"/>
  <c r="C39" i="35"/>
  <c r="B2" i="35" s="1"/>
  <c r="B3" i="35" s="1"/>
  <c r="C38" i="35"/>
  <c r="N63" i="40"/>
  <c r="M65" i="40"/>
  <c r="E43" i="35"/>
  <c r="F43" i="35" s="1"/>
  <c r="E42" i="35"/>
  <c r="F42" i="35" s="1"/>
  <c r="I43" i="35"/>
  <c r="J43" i="35" s="1"/>
  <c r="N70" i="39" l="1"/>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C6" i="68" s="1"/>
  <c r="E52" i="39"/>
  <c r="F52" i="39" s="1"/>
  <c r="E51" i="39"/>
  <c r="F51" i="39" s="1"/>
  <c r="D8" i="71"/>
  <c r="C7" i="71"/>
  <c r="I46" i="40"/>
  <c r="J46" i="40" s="1"/>
  <c r="R43" i="40"/>
  <c r="E42" i="40"/>
  <c r="G47" i="40"/>
  <c r="H47" i="40" s="1"/>
  <c r="G46" i="40"/>
  <c r="H46" i="40" s="1"/>
  <c r="C7" i="68" l="1"/>
  <c r="C5" i="68" s="1"/>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23" i="68" l="1"/>
  <c r="C20" i="68"/>
  <c r="C25" i="68"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D5" i="71"/>
  <c r="M20" i="43"/>
  <c r="C31" i="68" l="1"/>
  <c r="D31" i="68" s="1"/>
  <c r="D53" i="68" s="1"/>
  <c r="C52" i="68" l="1"/>
  <c r="B2" i="68" s="1"/>
  <c r="B3" i="68"/>
  <c r="C57" i="68" l="1"/>
  <c r="C56" i="68" s="1"/>
  <c r="D14" i="74"/>
  <c r="B5" i="74" l="1"/>
  <c r="F14" i="74"/>
  <c r="E14" i="74"/>
  <c r="D5" i="74" l="1"/>
  <c r="C5" i="74"/>
  <c r="D9" i="52"/>
  <c r="D123" i="9"/>
  <c r="D54" i="9"/>
  <c r="C68" i="9"/>
  <c r="C86" i="9"/>
  <c r="C93" i="9"/>
  <c r="B48" i="72"/>
  <c r="E4" i="52"/>
  <c r="C80" i="9"/>
  <c r="E80" i="9"/>
  <c r="E81" i="9"/>
  <c r="C72" i="9"/>
  <c r="C79" i="9"/>
  <c r="C81" i="9"/>
  <c r="M54" i="9"/>
  <c r="D56" i="9"/>
  <c r="D58" i="9"/>
  <c r="C97" i="9"/>
  <c r="B31" i="72"/>
  <c r="D15" i="53"/>
  <c r="H108" i="9"/>
  <c r="M48" i="9"/>
  <c r="B49" i="72"/>
  <c r="D5" i="52"/>
  <c r="D119" i="9"/>
  <c r="P57" i="9"/>
  <c r="N58" i="9"/>
  <c r="B30" i="72"/>
  <c r="E97" i="9"/>
  <c r="E96" i="9"/>
  <c r="C85" i="9"/>
  <c r="C95" i="9"/>
  <c r="C96" i="9"/>
  <c r="B51" i="72"/>
  <c r="F4" i="52"/>
  <c r="B22" i="72"/>
  <c r="D6" i="53"/>
  <c r="D13" i="53"/>
  <c r="D14" i="53"/>
  <c r="B32" i="72"/>
  <c r="D53" i="9"/>
  <c r="D52" i="9"/>
  <c r="C104" i="9"/>
  <c r="H4" i="52"/>
  <c r="E118" i="9"/>
  <c r="D118" i="9"/>
  <c r="D4" i="52"/>
  <c r="B47" i="72"/>
  <c r="G4" i="52"/>
  <c r="B52" i="72"/>
  <c r="C78" i="9"/>
  <c r="C73" i="9"/>
  <c r="H119" i="9"/>
  <c r="H5" i="52"/>
  <c r="C64" i="9"/>
  <c r="C63" i="9"/>
  <c r="C67" i="9"/>
  <c r="D59" i="9"/>
  <c r="M55" i="9"/>
  <c r="N61" i="9"/>
  <c r="D45" i="9"/>
  <c r="D55" i="9"/>
  <c r="M53" i="9"/>
  <c r="N57" i="9"/>
  <c r="N59" i="9"/>
  <c r="N60" i="9"/>
  <c r="G118" i="9"/>
  <c r="F118" i="9"/>
  <c r="F119" i="9"/>
  <c r="F5" i="52"/>
  <c r="B53" i="72"/>
  <c r="C6" i="74"/>
  <c r="G14" i="74"/>
  <c r="B6" i="74"/>
  <c r="D6" i="74"/>
  <c r="H107" i="9"/>
  <c r="D122" i="9"/>
  <c r="D8" i="52"/>
  <c r="H101" i="9"/>
  <c r="D5" i="53"/>
  <c r="B20" i="72"/>
  <c r="C105" i="9"/>
  <c r="I4" i="5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1AFF032D-EC27-4021-BEFA-4DE09F2202BE}">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1934A834-0331-43B8-B0BE-FB05455E08F5}">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85E7F617-5852-4855-A587-D4970197741C}">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FEFA0C50-CD74-41FB-B8FF-715C09BFD58D}">
      <text>
        <r>
          <rPr>
            <b/>
            <sz val="9"/>
            <rFont val="宋体"/>
            <family val="3"/>
            <charset val="134"/>
          </rPr>
          <t>Lenovo:含配套商业所分摊的拆迁费用，不含1.3亿购房款中回迁房的不计息成本</t>
        </r>
      </text>
    </comment>
    <comment ref="E5" authorId="0" shapeId="0" xr:uid="{C678BA88-ECAE-46E8-A621-5CFB475F3EC5}">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A8791CF5-2B1B-4030-9A19-364996C1E908}">
      <text>
        <r>
          <rPr>
            <b/>
            <sz val="9"/>
            <rFont val="宋体"/>
            <family val="3"/>
            <charset val="134"/>
          </rPr>
          <t>Lenovo:</t>
        </r>
        <r>
          <rPr>
            <sz val="9"/>
            <rFont val="宋体"/>
            <family val="3"/>
            <charset val="134"/>
          </rPr>
          <t xml:space="preserve">
非住宅拆迁费
</t>
        </r>
      </text>
    </comment>
    <comment ref="E7" authorId="0" shapeId="0" xr:uid="{B4C793A0-1F62-4D5C-8233-A381ADE17CCA}">
      <text>
        <r>
          <rPr>
            <b/>
            <sz val="9"/>
            <rFont val="宋体"/>
            <family val="3"/>
            <charset val="134"/>
          </rPr>
          <t>Lenovo:</t>
        </r>
        <r>
          <rPr>
            <sz val="9"/>
            <rFont val="宋体"/>
            <family val="3"/>
            <charset val="134"/>
          </rPr>
          <t xml:space="preserve">
服务类合同
</t>
        </r>
      </text>
    </comment>
    <comment ref="F20" authorId="1" shapeId="0" xr:uid="{B60E7FCF-98BF-40B4-95BB-67B80BB71C53}">
      <text>
        <r>
          <rPr>
            <b/>
            <sz val="9"/>
            <color indexed="81"/>
            <rFont val="宋体"/>
            <family val="3"/>
            <charset val="134"/>
          </rPr>
          <t>KG:</t>
        </r>
        <r>
          <rPr>
            <sz val="9"/>
            <color indexed="81"/>
            <rFont val="宋体"/>
            <family val="3"/>
            <charset val="134"/>
          </rPr>
          <t xml:space="preserve">
实际利息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1244ED24-B946-4583-82BC-9C75827E14D3}">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<sst xmlns="http://schemas.openxmlformats.org/spreadsheetml/2006/main" count="8021" uniqueCount="3436">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</sst>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7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1" applyFont="1" applyFill="1" applyBorder="1" applyAlignment="1" applyProtection="1">
      <alignment horizont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7" fontId="55" fillId="8" borderId="1" xfId="1" applyNumberFormat="1" applyFont="1" applyFill="1" applyBorder="1" applyAlignment="1" applyProtection="1">
      <alignment horizont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120" fillId="0" borderId="63"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176"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80" xfId="0" applyFont="1" applyBorder="1" applyAlignment="1">
      <alignment horizontal="center" vertical="center" wrapText="1"/>
    </xf>
    <xf numFmtId="0" fontId="120" fillId="0" borderId="81" xfId="0" applyFont="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6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65" xfId="0" applyFont="1" applyBorder="1" applyAlignment="1">
      <alignment horizontal="center" vertical="center" wrapText="1"/>
    </xf>
    <xf numFmtId="0" fontId="120" fillId="0" borderId="170"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0" borderId="64" xfId="0" applyFont="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cellXfs>
  <cellStyles count="20">
    <cellStyle name="百分比 2" xfId="14" xr:uid="{00000000-0005-0000-0000-000000000000}"/>
    <cellStyle name="常规" xfId="0" builtinId="0"/>
    <cellStyle name="常规 10" xfId="18" xr:uid="{12F1467A-BBB2-454F-B2A4-896F5545D519}"/>
    <cellStyle name="常规 16" xfId="10" xr:uid="{00000000-0005-0000-0000-000002000000}"/>
    <cellStyle name="常规 2" xfId="1" xr:uid="{00000000-0005-0000-0000-000003000000}"/>
    <cellStyle name="常规 2 2" xfId="8" xr:uid="{00000000-0005-0000-0000-000004000000}"/>
    <cellStyle name="常规 2 2 2" xfId="19" xr:uid="{E1824E92-D3B5-4B6B-AA9C-4CDB320A5517}"/>
    <cellStyle name="常规 2 2 2 2 3" xfId="15" xr:uid="{00000000-0005-0000-0000-000005000000}"/>
    <cellStyle name="常规 2 3" xfId="17" xr:uid="{3DF0701E-CF8C-4C0C-A99E-970171820198}"/>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194989</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7</xdr:col>
      <xdr:colOff>38100</xdr:colOff>
      <xdr:row>21</xdr:row>
      <xdr:rowOff>495301</xdr:rowOff>
    </xdr:from>
    <xdr:to>
      <xdr:col>15</xdr:col>
      <xdr:colOff>542925</xdr:colOff>
      <xdr:row>21</xdr:row>
      <xdr:rowOff>753825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3162300" y="1171576"/>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北京市房地产市场价值预评估</v>
      </c>
    </row>
    <row r="3" spans="1:2" s="1333" customFormat="1">
      <c r="A3" s="1331" t="s">
        <v>1129</v>
      </c>
      <c r="B3" s="1332" t="str">
        <f>'预评函-封皮'!B40</f>
        <v>北京市保障房中心</v>
      </c>
    </row>
    <row r="4" spans="1:2" s="1333" customFormat="1">
      <c r="A4" s="1331" t="s">
        <v>1130</v>
      </c>
      <c r="B4" s="1332" t="str">
        <f ca="1">'预评函-封皮'!B46</f>
        <v>陈颖（注册号：0)、叶凌（注册号：1119970111)</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受贵公司委托，我公司对北京市房地产市场价值进行了预评估。</v>
      </c>
    </row>
    <row r="7" spans="1:2" s="1333" customFormat="1">
      <c r="A7" s="1331" t="s">
        <v>1172</v>
      </c>
      <c r="B7" s="1332" t="str">
        <f>'预评函-1'!A7</f>
        <v>估价对象为北京市房地产，为所有。根据《国有土地使用证》[]，估价对象（分摊）出让国有建设用地使用权面积为25000平方米，建筑面积为63761.02平方米。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估价对象为北京市房地产,属开发建设的，该项目尚在开发建设中。根据《国有土地使用证》[]，估价对象（分摊）出让国有建设用地使用权面积为25000平方米，规划建筑面积为63761.02平方米。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为估价委托人了解估价对象房地产市场价值提供参考依据。</v>
      </c>
    </row>
    <row r="12" spans="1:2" s="1333" customFormat="1">
      <c r="A12" s="1331" t="s">
        <v>1134</v>
      </c>
      <c r="B12" s="1332" t="str">
        <f>'预评函-1'!A15</f>
        <v>2022年2月25日（评估专业人员实地查勘之日）</v>
      </c>
    </row>
    <row r="13" spans="1:2" s="1333" customFormat="1">
      <c r="A13" s="1331" t="s">
        <v>1135</v>
      </c>
      <c r="B13" s="1332" t="str">
        <f>'预评函-1'!A18</f>
        <v>本次估价的“房地产价值”是指在正常市场情况下，在价值时点2022年2月25日，估价对象规划用途为，土地取得方式为划拨，假定未设立法定优先受偿款下的房地产市场价值。</v>
      </c>
    </row>
    <row r="14" spans="1:2" s="1333" customFormat="1">
      <c r="A14" s="1331" t="s">
        <v>1136</v>
      </c>
      <c r="B14" s="133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v>
      </c>
    </row>
    <row r="16" spans="1:2" s="1333" customFormat="1">
      <c r="A16" s="1331" t="s">
        <v>1138</v>
      </c>
      <c r="B16" s="1332" t="str">
        <f>'预评函-1'!A21</f>
        <v>——</v>
      </c>
    </row>
    <row r="17" spans="1:2" s="1333" customFormat="1">
      <c r="A17" s="1331" t="s">
        <v>1139</v>
      </c>
      <c r="B17" s="1332" t="str">
        <f>'预评函-1'!A22</f>
        <v>——</v>
      </c>
    </row>
    <row r="18" spans="1:2" s="1327" customFormat="1" ht="15" thickBot="1">
      <c r="A18" s="1334" t="s">
        <v>1140</v>
      </c>
      <c r="B18" s="1335" t="str">
        <f>'预评函-1'!A24</f>
        <v>本次评估采用的主估价方法为基准地价系数修正法和基准地价系数修正法。</v>
      </c>
    </row>
    <row r="19" spans="1:2" s="1330" customFormat="1" ht="15" thickTop="1">
      <c r="A19" s="1328" t="s">
        <v>1141</v>
      </c>
      <c r="B19" s="13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3" customFormat="1">
      <c r="A20" s="1331" t="s">
        <v>1142</v>
      </c>
      <c r="B20" s="1332" t="e">
        <f ca="1">'预评函-2'!D5</f>
        <v>#REF!</v>
      </c>
    </row>
    <row r="21" spans="1:2" s="1333" customFormat="1">
      <c r="A21" s="1331" t="s">
        <v>1143</v>
      </c>
      <c r="B21" s="1332" t="e">
        <f ca="1">'预评函-2'!D7</f>
        <v>#REF!</v>
      </c>
    </row>
    <row r="22" spans="1:2" s="1333" customFormat="1">
      <c r="A22" s="1331" t="s">
        <v>1144</v>
      </c>
      <c r="B22" s="1332" t="e">
        <f ca="1">'预评函-2'!D6</f>
        <v>#REF!</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t="e">
        <f ca="1">'预评函-2'!D13</f>
        <v>#REF!</v>
      </c>
    </row>
    <row r="31" spans="1:2" s="1333" customFormat="1">
      <c r="A31" s="1331" t="s">
        <v>1182</v>
      </c>
      <c r="B31" s="1332" t="e">
        <f ca="1">'预评函-2'!D15</f>
        <v>#REF!</v>
      </c>
    </row>
    <row r="32" spans="1:2" s="1333" customFormat="1">
      <c r="A32" s="1331" t="s">
        <v>1149</v>
      </c>
      <c r="B32" s="1332" t="e">
        <f ca="1">'预评函-2'!D14</f>
        <v>#REF!</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v>
      </c>
    </row>
    <row r="38" spans="1:2" s="1333" customFormat="1">
      <c r="A38" s="1331" t="s">
        <v>1203</v>
      </c>
      <c r="B38" s="1332" t="str">
        <f>'预评函-2'!D19</f>
        <v>——</v>
      </c>
    </row>
    <row r="39" spans="1:2" s="1333" customFormat="1">
      <c r="A39" s="1331" t="s">
        <v>1151</v>
      </c>
      <c r="B39" s="1332" t="str">
        <f>'预评函-2'!D21</f>
        <v>——</v>
      </c>
    </row>
    <row r="40" spans="1:2" s="1333" customFormat="1">
      <c r="A40" s="1331" t="s">
        <v>1152</v>
      </c>
      <c r="B40" s="1332" t="e">
        <f>'预评函-2'!D20</f>
        <v>#VALUE!</v>
      </c>
    </row>
    <row r="41" spans="1:2" s="1333" customFormat="1">
      <c r="A41" s="1331" t="s">
        <v>1198</v>
      </c>
      <c r="B41" s="1332" t="str">
        <f>'预评函-3'!A4</f>
        <v>北京市房地产</v>
      </c>
    </row>
    <row r="42" spans="1:2" s="1333" customFormat="1">
      <c r="A42" s="1331" t="s">
        <v>1196</v>
      </c>
      <c r="B42" s="1332" t="str">
        <f>'预评函-3'!B2</f>
        <v>建筑面积</v>
      </c>
    </row>
    <row r="43" spans="1:2" s="1333" customFormat="1">
      <c r="A43" s="1331" t="s">
        <v>1197</v>
      </c>
      <c r="B43" s="1332">
        <f>'预评函-3'!B4</f>
        <v>63761.02</v>
      </c>
    </row>
    <row r="44" spans="1:2" s="1333" customFormat="1">
      <c r="A44" s="1331" t="s">
        <v>1181</v>
      </c>
      <c r="B44" s="1332" t="str">
        <f>'预评函-3'!C2</f>
        <v>(分摊)土地面积</v>
      </c>
    </row>
    <row r="45" spans="1:2" s="1333" customFormat="1">
      <c r="A45" s="1331" t="s">
        <v>1153</v>
      </c>
      <c r="B45" s="1332">
        <f>'预评函-3'!C4</f>
        <v>25000</v>
      </c>
    </row>
    <row r="46" spans="1:2" s="1333" customFormat="1">
      <c r="A46" s="1331" t="s">
        <v>1179</v>
      </c>
      <c r="B46" s="1332" t="str">
        <f>'预评函-3'!D2</f>
        <v>出让国有建设用地使用权价值</v>
      </c>
    </row>
    <row r="47" spans="1:2" s="1333" customFormat="1">
      <c r="A47" s="1331" t="s">
        <v>1154</v>
      </c>
      <c r="B47" s="1332" t="e">
        <f ca="1">'预评函-3'!D4</f>
        <v>#REF!</v>
      </c>
    </row>
    <row r="48" spans="1:2" s="1333" customFormat="1">
      <c r="A48" s="1331" t="s">
        <v>1155</v>
      </c>
      <c r="B48" s="1332" t="e">
        <f ca="1">'预评函-3'!E4</f>
        <v>#REF!</v>
      </c>
    </row>
    <row r="49" spans="1:2" s="1333" customFormat="1">
      <c r="A49" s="1331" t="s">
        <v>1156</v>
      </c>
      <c r="B49" s="1332" t="e">
        <f ca="1">'预评函-3'!D5</f>
        <v>#REF!</v>
      </c>
    </row>
    <row r="50" spans="1:2" s="1333" customFormat="1">
      <c r="A50" s="1331" t="s">
        <v>1180</v>
      </c>
      <c r="B50" s="1332" t="str">
        <f>'预评函-3'!F2</f>
        <v>在建建筑物价值</v>
      </c>
    </row>
    <row r="51" spans="1:2" s="1333" customFormat="1">
      <c r="A51" s="1331" t="s">
        <v>1157</v>
      </c>
      <c r="B51" s="1332" t="e">
        <f ca="1">'预评函-3'!F4</f>
        <v>#REF!</v>
      </c>
    </row>
    <row r="52" spans="1:2" s="1333" customFormat="1">
      <c r="A52" s="1331" t="s">
        <v>1158</v>
      </c>
      <c r="B52" s="1332" t="e">
        <f ca="1">'预评函-3'!G4</f>
        <v>#REF!</v>
      </c>
    </row>
    <row r="53" spans="1:2" s="1333" customFormat="1">
      <c r="A53" s="1331" t="s">
        <v>1186</v>
      </c>
      <c r="B53" s="1332" t="e">
        <f ca="1">'预评函-3'!F5</f>
        <v>#REF!</v>
      </c>
    </row>
    <row r="54" spans="1:2" s="1333" customFormat="1">
      <c r="A54" s="1331" t="s">
        <v>1204</v>
      </c>
      <c r="B54" s="1332" t="str">
        <f>'预评函-3'!A8</f>
        <v/>
      </c>
    </row>
    <row r="55" spans="1:2" s="1333" customFormat="1">
      <c r="A55" s="1331" t="s">
        <v>1187</v>
      </c>
      <c r="B55" s="1332" t="str">
        <f>'预评函-3'!A10</f>
        <v/>
      </c>
    </row>
    <row r="56" spans="1:2" s="1333" customFormat="1">
      <c r="A56" s="1331" t="s">
        <v>1188</v>
      </c>
      <c r="B56" s="1332" t="str">
        <f>'预评函-3'!A12</f>
        <v/>
      </c>
    </row>
    <row r="57" spans="1:2" s="1327" customFormat="1" ht="15" thickBot="1">
      <c r="A57" s="1334" t="s">
        <v>1205</v>
      </c>
      <c r="B57" s="1335" t="str">
        <f>'预评函-3'!A6</f>
        <v/>
      </c>
    </row>
    <row r="58" spans="1:2" s="1330" customFormat="1" ht="15" thickTop="1">
      <c r="A58" s="1328" t="s">
        <v>1159</v>
      </c>
      <c r="B58" s="1329" t="str">
        <f>'预评函-4'!A12</f>
        <v>2.本次评估设定估价对象房地产权属无争议，未被查封或者以其他形式限制其房地产权利，未设定抵押权等他项权利，不涉及第三方权利义务。</v>
      </c>
    </row>
    <row r="59" spans="1:2" s="1333" customFormat="1">
      <c r="A59" s="1331" t="s">
        <v>1160</v>
      </c>
      <c r="B59" s="1332" t="str">
        <f>'预评函-4'!A13</f>
        <v>——</v>
      </c>
    </row>
    <row r="60" spans="1:2" s="1333" customFormat="1">
      <c r="A60" s="1331" t="s">
        <v>1161</v>
      </c>
      <c r="B60" s="1332" t="str">
        <f>'预评函-4'!A14</f>
        <v>——</v>
      </c>
    </row>
    <row r="61" spans="1:2" s="1333" customFormat="1">
      <c r="A61" s="1331" t="s">
        <v>1162</v>
      </c>
      <c r="B61" s="1332" t="str">
        <f>'预评函-4'!A15</f>
        <v>——</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v>
      </c>
    </row>
    <row r="65" spans="1:2" s="1333" customFormat="1">
      <c r="A65" s="1331" t="s">
        <v>1165</v>
      </c>
      <c r="B65" s="13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t="str">
        <f>'预评函-4'!A4</f>
        <v>陈颖</v>
      </c>
    </row>
    <row r="71" spans="1:2">
      <c r="A71" s="1331" t="s">
        <v>1169</v>
      </c>
      <c r="B71" s="1332">
        <f ca="1">'预评函-4'!B4</f>
        <v>0</v>
      </c>
    </row>
    <row r="72" spans="1:2">
      <c r="A72" s="1331" t="s">
        <v>1170</v>
      </c>
      <c r="B72" s="1340" t="str">
        <f>'预评函-4'!A5</f>
        <v>叶凌</v>
      </c>
    </row>
    <row r="73" spans="1:2" s="1327" customFormat="1" ht="15" thickBot="1">
      <c r="A73" s="1334" t="s">
        <v>1171</v>
      </c>
      <c r="B73" s="1335">
        <f ca="1">'预评函-4'!B5</f>
        <v>1119970111</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1595</v>
      </c>
      <c r="C1" s="1692" t="s">
        <v>759</v>
      </c>
      <c r="D1" s="1693" t="s">
        <v>1596</v>
      </c>
      <c r="E1" s="1693" t="s">
        <v>1597</v>
      </c>
      <c r="F1" s="1693" t="s">
        <v>1598</v>
      </c>
      <c r="G1" s="1693" t="s">
        <v>1599</v>
      </c>
      <c r="H1" s="1693" t="s">
        <v>1600</v>
      </c>
      <c r="I1" s="1693" t="s">
        <v>1601</v>
      </c>
      <c r="J1" s="1693" t="s">
        <v>1602</v>
      </c>
      <c r="K1" s="1693" t="s">
        <v>1603</v>
      </c>
      <c r="L1" s="1693" t="s">
        <v>1604</v>
      </c>
      <c r="M1" s="1693" t="s">
        <v>1605</v>
      </c>
      <c r="N1" s="1693" t="s">
        <v>1606</v>
      </c>
      <c r="O1" s="1693" t="s">
        <v>1607</v>
      </c>
      <c r="P1" s="1694" t="s">
        <v>753</v>
      </c>
      <c r="Q1" s="1694" t="s">
        <v>1053</v>
      </c>
      <c r="R1" s="1693" t="s">
        <v>1047</v>
      </c>
      <c r="S1" s="1693" t="s">
        <v>1608</v>
      </c>
      <c r="T1" s="1695" t="s">
        <v>1609</v>
      </c>
      <c r="U1" s="1693" t="s">
        <v>1610</v>
      </c>
      <c r="V1" s="1693" t="s">
        <v>1611</v>
      </c>
      <c r="W1" s="1693" t="s">
        <v>755</v>
      </c>
    </row>
    <row r="2" spans="1:23">
      <c r="A2" s="1697" t="s">
        <v>22</v>
      </c>
      <c r="B2" s="1697" t="s">
        <v>1612</v>
      </c>
      <c r="C2" s="1698" t="s">
        <v>760</v>
      </c>
      <c r="D2" s="1699" t="s">
        <v>1613</v>
      </c>
      <c r="E2" s="1699" t="s">
        <v>1614</v>
      </c>
      <c r="F2" s="1699" t="s">
        <v>1615</v>
      </c>
      <c r="G2" s="1699">
        <v>40</v>
      </c>
      <c r="H2" s="1699" t="s">
        <v>1615</v>
      </c>
      <c r="I2" s="1699" t="s">
        <v>1616</v>
      </c>
      <c r="J2" s="1699" t="s">
        <v>1617</v>
      </c>
      <c r="K2" s="1699" t="s">
        <v>1618</v>
      </c>
      <c r="L2" s="1699" t="s">
        <v>1618</v>
      </c>
      <c r="M2" s="1699" t="s">
        <v>1618</v>
      </c>
      <c r="N2" s="1699" t="s">
        <v>1618</v>
      </c>
      <c r="O2" s="1699" t="s">
        <v>1618</v>
      </c>
      <c r="P2" s="1699" t="s">
        <v>1618</v>
      </c>
      <c r="Q2" s="1699" t="s">
        <v>1618</v>
      </c>
      <c r="R2" s="1699" t="s">
        <v>1049</v>
      </c>
      <c r="S2" s="1699" t="s">
        <v>1618</v>
      </c>
      <c r="T2" s="1699" t="s">
        <v>1619</v>
      </c>
      <c r="U2" s="1699" t="s">
        <v>1618</v>
      </c>
      <c r="V2" s="1699" t="s">
        <v>1620</v>
      </c>
      <c r="W2" s="1699" t="s">
        <v>1618</v>
      </c>
    </row>
    <row r="3" spans="1:23">
      <c r="A3" s="1697" t="s">
        <v>1621</v>
      </c>
      <c r="B3" s="1700" t="s">
        <v>1054</v>
      </c>
      <c r="C3" s="1701" t="s">
        <v>761</v>
      </c>
      <c r="D3" s="1699" t="s">
        <v>1622</v>
      </c>
      <c r="E3" s="1699" t="s">
        <v>16</v>
      </c>
      <c r="F3" s="1699" t="s">
        <v>1623</v>
      </c>
      <c r="G3" s="1699">
        <v>50</v>
      </c>
      <c r="H3" s="1699" t="s">
        <v>1623</v>
      </c>
      <c r="I3" s="1699" t="s">
        <v>1624</v>
      </c>
      <c r="J3" s="1699" t="s">
        <v>1625</v>
      </c>
      <c r="K3" s="1699" t="s">
        <v>1626</v>
      </c>
      <c r="L3" s="1699" t="s">
        <v>1626</v>
      </c>
      <c r="M3" s="1699" t="s">
        <v>1626</v>
      </c>
      <c r="N3" s="1699" t="s">
        <v>1626</v>
      </c>
      <c r="O3" s="1699" t="s">
        <v>1626</v>
      </c>
      <c r="P3" s="1699" t="s">
        <v>1626</v>
      </c>
      <c r="Q3" s="1699" t="s">
        <v>1626</v>
      </c>
      <c r="R3" s="1699" t="s">
        <v>1048</v>
      </c>
      <c r="S3" s="1699" t="s">
        <v>1626</v>
      </c>
      <c r="T3" s="1699" t="s">
        <v>1627</v>
      </c>
      <c r="U3" s="1699" t="s">
        <v>1626</v>
      </c>
      <c r="V3" s="1699" t="s">
        <v>1628</v>
      </c>
      <c r="W3" s="1699" t="s">
        <v>1626</v>
      </c>
    </row>
    <row r="4" spans="1:23">
      <c r="A4" s="1697" t="s">
        <v>1629</v>
      </c>
      <c r="B4" s="1697" t="s">
        <v>1630</v>
      </c>
      <c r="C4" s="1698" t="s">
        <v>762</v>
      </c>
      <c r="D4" s="1699" t="s">
        <v>836</v>
      </c>
      <c r="E4" s="1699" t="s">
        <v>1631</v>
      </c>
      <c r="F4" s="1699" t="s">
        <v>1632</v>
      </c>
      <c r="G4" s="1699">
        <v>70</v>
      </c>
      <c r="H4" s="1699" t="s">
        <v>1632</v>
      </c>
      <c r="I4" s="1699" t="s">
        <v>1633</v>
      </c>
      <c r="K4" s="1699" t="s">
        <v>1634</v>
      </c>
      <c r="L4" s="1699" t="s">
        <v>1634</v>
      </c>
      <c r="M4" s="1699" t="s">
        <v>1634</v>
      </c>
      <c r="N4" s="1699" t="s">
        <v>1634</v>
      </c>
      <c r="O4" s="1699" t="s">
        <v>1634</v>
      </c>
      <c r="P4" s="1699" t="s">
        <v>1634</v>
      </c>
      <c r="Q4" s="1699" t="s">
        <v>1634</v>
      </c>
      <c r="R4" s="1699" t="s">
        <v>1050</v>
      </c>
      <c r="S4" s="1699" t="s">
        <v>1634</v>
      </c>
      <c r="T4" s="1699" t="s">
        <v>1635</v>
      </c>
      <c r="U4" s="1699" t="s">
        <v>1634</v>
      </c>
      <c r="W4" s="1699" t="s">
        <v>1634</v>
      </c>
    </row>
    <row r="5" spans="1:23">
      <c r="A5" s="1697" t="s">
        <v>1636</v>
      </c>
      <c r="B5" s="1697" t="s">
        <v>1637</v>
      </c>
      <c r="C5" s="1698" t="s">
        <v>763</v>
      </c>
      <c r="F5" s="1699" t="s">
        <v>1638</v>
      </c>
      <c r="H5" s="1699" t="s">
        <v>1639</v>
      </c>
      <c r="I5" s="1699" t="s">
        <v>1640</v>
      </c>
      <c r="K5" s="1699" t="s">
        <v>1641</v>
      </c>
      <c r="L5" s="1699" t="s">
        <v>1641</v>
      </c>
      <c r="M5" s="1699" t="s">
        <v>1641</v>
      </c>
      <c r="N5" s="1699" t="s">
        <v>1641</v>
      </c>
      <c r="O5" s="1699" t="s">
        <v>1641</v>
      </c>
      <c r="P5" s="1699" t="s">
        <v>1641</v>
      </c>
      <c r="Q5" s="1699" t="s">
        <v>1641</v>
      </c>
      <c r="R5" s="1699" t="s">
        <v>1051</v>
      </c>
      <c r="S5" s="1699" t="s">
        <v>1641</v>
      </c>
      <c r="T5" s="1699" t="s">
        <v>1642</v>
      </c>
      <c r="U5" s="1699" t="s">
        <v>1641</v>
      </c>
      <c r="W5" s="1699" t="s">
        <v>1641</v>
      </c>
    </row>
    <row r="6" spans="1:23">
      <c r="A6" s="1697" t="s">
        <v>1643</v>
      </c>
      <c r="B6" s="1700" t="s">
        <v>1055</v>
      </c>
      <c r="C6" s="1703" t="s">
        <v>30</v>
      </c>
      <c r="F6" s="1699" t="s">
        <v>1639</v>
      </c>
      <c r="H6" s="1699" t="s">
        <v>1644</v>
      </c>
      <c r="I6" s="1699" t="s">
        <v>1645</v>
      </c>
      <c r="K6" s="1699" t="s">
        <v>1646</v>
      </c>
      <c r="L6" s="1699" t="s">
        <v>1646</v>
      </c>
      <c r="M6" s="1699" t="s">
        <v>1646</v>
      </c>
      <c r="N6" s="1699" t="s">
        <v>1646</v>
      </c>
      <c r="O6" s="1699" t="s">
        <v>1646</v>
      </c>
      <c r="P6" s="1699" t="s">
        <v>1646</v>
      </c>
      <c r="Q6" s="1699" t="s">
        <v>1646</v>
      </c>
      <c r="R6" s="1699" t="s">
        <v>1052</v>
      </c>
      <c r="S6" s="1699" t="s">
        <v>1646</v>
      </c>
      <c r="T6" s="1699"/>
      <c r="U6" s="1699" t="s">
        <v>1646</v>
      </c>
      <c r="W6" s="1699" t="s">
        <v>1646</v>
      </c>
    </row>
    <row r="7" spans="1:23">
      <c r="A7" s="1697" t="s">
        <v>1647</v>
      </c>
      <c r="B7" s="1700" t="s">
        <v>1056</v>
      </c>
      <c r="C7" s="1698" t="s">
        <v>31</v>
      </c>
      <c r="F7" s="1699" t="s">
        <v>1648</v>
      </c>
      <c r="H7" s="1699" t="s">
        <v>1649</v>
      </c>
      <c r="I7" s="1699" t="s">
        <v>1650</v>
      </c>
    </row>
    <row r="8" spans="1:23">
      <c r="A8" s="1697" t="s">
        <v>1651</v>
      </c>
      <c r="B8" s="1697" t="s">
        <v>1652</v>
      </c>
      <c r="C8" s="1698" t="s">
        <v>764</v>
      </c>
      <c r="F8" s="1699" t="s">
        <v>1653</v>
      </c>
      <c r="H8" s="1699"/>
      <c r="I8" s="1699" t="s">
        <v>1654</v>
      </c>
    </row>
    <row r="9" spans="1:23">
      <c r="A9" s="1697" t="s">
        <v>1655</v>
      </c>
      <c r="B9" s="1697" t="s">
        <v>1656</v>
      </c>
      <c r="C9" s="1698" t="s">
        <v>765</v>
      </c>
      <c r="F9" s="1699" t="s">
        <v>1657</v>
      </c>
      <c r="H9" s="1699"/>
    </row>
    <row r="10" spans="1:23">
      <c r="A10" s="1697" t="s">
        <v>1658</v>
      </c>
      <c r="B10" s="1697" t="s">
        <v>1659</v>
      </c>
      <c r="C10" s="1698" t="s">
        <v>766</v>
      </c>
      <c r="F10" s="1699" t="s">
        <v>16</v>
      </c>
    </row>
    <row r="11" spans="1:23">
      <c r="A11" s="1697" t="s">
        <v>1660</v>
      </c>
      <c r="B11" s="1697" t="s">
        <v>1661</v>
      </c>
      <c r="C11" s="1698" t="s">
        <v>767</v>
      </c>
    </row>
    <row r="12" spans="1:23">
      <c r="A12" s="1697" t="s">
        <v>1662</v>
      </c>
      <c r="B12" s="1697" t="s">
        <v>1663</v>
      </c>
      <c r="C12" s="1698" t="s">
        <v>768</v>
      </c>
    </row>
    <row r="13" spans="1:23">
      <c r="A13" s="1697" t="s">
        <v>1664</v>
      </c>
      <c r="B13" s="1697" t="s">
        <v>1665</v>
      </c>
      <c r="C13" s="1698" t="s">
        <v>769</v>
      </c>
    </row>
    <row r="14" spans="1:23">
      <c r="A14" s="1697" t="s">
        <v>1666</v>
      </c>
      <c r="B14" s="1697" t="s">
        <v>1667</v>
      </c>
      <c r="C14" s="1699" t="s">
        <v>16</v>
      </c>
    </row>
    <row r="15" spans="1:23">
      <c r="A15" s="1697" t="s">
        <v>1668</v>
      </c>
      <c r="B15" s="1697" t="s">
        <v>1669</v>
      </c>
      <c r="C15" s="1698"/>
    </row>
    <row r="16" spans="1:23">
      <c r="A16" s="1697" t="s">
        <v>1670</v>
      </c>
      <c r="B16" s="1697" t="s">
        <v>756</v>
      </c>
      <c r="C16" s="1698"/>
    </row>
    <row r="17" spans="1:3">
      <c r="A17" s="1697" t="s">
        <v>1671</v>
      </c>
      <c r="B17" s="1697" t="s">
        <v>2978</v>
      </c>
      <c r="C17" s="1698"/>
    </row>
    <row r="18" spans="1:3">
      <c r="A18" s="1697" t="s">
        <v>1672</v>
      </c>
      <c r="B18" s="1697" t="s">
        <v>3123</v>
      </c>
      <c r="C18" s="1698"/>
    </row>
    <row r="19" spans="1:3">
      <c r="A19" s="1697" t="s">
        <v>1673</v>
      </c>
      <c r="B19" s="1697" t="s">
        <v>757</v>
      </c>
      <c r="C19" s="1698"/>
    </row>
    <row r="20" spans="1:3">
      <c r="A20" s="1697" t="s">
        <v>1674</v>
      </c>
      <c r="B20" s="1697" t="s">
        <v>757</v>
      </c>
      <c r="C20" s="1698"/>
    </row>
    <row r="21" spans="1:3">
      <c r="A21" s="1697" t="s">
        <v>1675</v>
      </c>
      <c r="B21" s="1697" t="s">
        <v>757</v>
      </c>
      <c r="C21" s="1698"/>
    </row>
    <row r="22" spans="1:3">
      <c r="A22" s="1697" t="s">
        <v>1676</v>
      </c>
      <c r="B22" s="1697" t="s">
        <v>757</v>
      </c>
      <c r="C22" s="1698"/>
    </row>
    <row r="23" spans="1:3">
      <c r="A23" s="1697" t="s">
        <v>1677</v>
      </c>
      <c r="B23" s="1697" t="s">
        <v>757</v>
      </c>
      <c r="C23" s="1698"/>
    </row>
    <row r="24" spans="1:3">
      <c r="A24" s="1697" t="s">
        <v>1678</v>
      </c>
      <c r="B24" s="1697" t="s">
        <v>757</v>
      </c>
      <c r="C24" s="1698"/>
    </row>
    <row r="25" spans="1:3">
      <c r="A25" s="1697" t="s">
        <v>1679</v>
      </c>
      <c r="B25" s="1697" t="s">
        <v>757</v>
      </c>
      <c r="C25" s="1698"/>
    </row>
    <row r="26" spans="1:3">
      <c r="A26" s="1697" t="s">
        <v>1680</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401"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1"/>
      <c r="B54" s="1705" t="s">
        <v>832</v>
      </c>
      <c r="C54" s="1702" t="s">
        <v>1189</v>
      </c>
    </row>
    <row r="55" spans="1:4">
      <c r="A55" s="3401"/>
      <c r="B55" s="1705" t="s">
        <v>833</v>
      </c>
      <c r="C55" s="1702" t="s">
        <v>1190</v>
      </c>
    </row>
    <row r="56" spans="1:4">
      <c r="A56" s="3401"/>
      <c r="B56" s="1705" t="s">
        <v>834</v>
      </c>
      <c r="C56" s="1702" t="s">
        <v>1194</v>
      </c>
    </row>
    <row r="57" spans="1:4">
      <c r="A57" s="3401"/>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20" customWidth="1"/>
    <col min="12" max="13" width="10" style="2821"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2853</v>
      </c>
      <c r="B1" s="3410" t="str">
        <f>IF(B10="北京市","北京市",C10)&amp;F10&amp;IF(结果表!G1="在建","出让国有建设用地使用权及在建建筑物",IF(结果表!G1="土地","出让国有建设用地使用权",))&amp;B9&amp;"预评估"</f>
        <v>北京市房地产市场价值预评估</v>
      </c>
      <c r="C1" s="3411"/>
      <c r="D1" s="3411"/>
      <c r="E1" s="3411"/>
      <c r="F1" s="3411"/>
      <c r="G1" s="3411"/>
      <c r="H1" s="3411"/>
      <c r="I1" s="3412"/>
      <c r="J1" s="2662"/>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北京市房地产市场价值</v>
      </c>
      <c r="T1" s="1897"/>
      <c r="U1" s="1897"/>
      <c r="V1" s="1897"/>
      <c r="W1" s="1897"/>
      <c r="X1" s="1897"/>
      <c r="Y1" s="1897"/>
      <c r="Z1" s="1897"/>
      <c r="AA1" s="1897"/>
      <c r="AB1" s="1897"/>
    </row>
    <row r="2" spans="1:28">
      <c r="A2" s="2557" t="s">
        <v>2854</v>
      </c>
      <c r="B2" s="2561"/>
      <c r="C2" s="2562"/>
      <c r="D2" s="2864"/>
      <c r="E2" s="2854"/>
      <c r="F2" s="2854"/>
      <c r="G2" s="2855"/>
      <c r="H2" s="2855"/>
      <c r="I2" s="2855"/>
      <c r="J2" s="2662"/>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7" t="s">
        <v>2855</v>
      </c>
      <c r="B3" s="2563">
        <v>44617</v>
      </c>
      <c r="C3" s="2564" t="s">
        <v>2856</v>
      </c>
      <c r="D3" s="2563">
        <f>B3</f>
        <v>44617</v>
      </c>
      <c r="E3" s="2855"/>
      <c r="F3" s="2855"/>
      <c r="G3" s="2855"/>
      <c r="H3" s="2855"/>
      <c r="I3" s="2855"/>
      <c r="J3" s="2662"/>
      <c r="K3" s="2558"/>
      <c r="L3" s="2559"/>
      <c r="M3" s="2559"/>
      <c r="N3" s="2560"/>
      <c r="O3" s="1727"/>
      <c r="P3" s="2560"/>
      <c r="Q3" s="2560"/>
      <c r="R3" s="2560"/>
      <c r="S3" s="1834"/>
      <c r="T3" s="1897"/>
      <c r="U3" s="1897"/>
      <c r="V3" s="1897"/>
      <c r="W3" s="1897"/>
      <c r="X3" s="1897"/>
      <c r="Y3" s="1897"/>
      <c r="Z3" s="1897"/>
      <c r="AA3" s="1897"/>
      <c r="AB3" s="1897"/>
    </row>
    <row r="4" spans="1:28" ht="13.5" thickBot="1">
      <c r="A4" s="1218" t="s">
        <v>2857</v>
      </c>
      <c r="B4" s="2565" t="s">
        <v>3159</v>
      </c>
      <c r="C4" s="2566">
        <f ca="1">SUMIF(注册房地产估价师,B4,估价师及机构信息!B3:B24)</f>
        <v>0</v>
      </c>
      <c r="D4" s="2565" t="s">
        <v>3160</v>
      </c>
      <c r="E4" s="2567">
        <f ca="1">SUMIF(注册房地产估价师,D4,估价师及机构信息!B3:B24)</f>
        <v>1119970111</v>
      </c>
      <c r="F4" s="2565"/>
      <c r="G4" s="2567">
        <f>SUMIF(注册房地产估价师,F4,估价师及机构信息!B3:B24)</f>
        <v>0</v>
      </c>
      <c r="H4" s="2565"/>
      <c r="I4" s="2567">
        <f>SUMIF(注册房地产估价师,H4,估价师及机构信息!B3:B24)</f>
        <v>0</v>
      </c>
      <c r="J4" s="2630"/>
      <c r="K4" s="2568" t="str">
        <f ca="1">CONCATENATE(B4,"（注册号：",C4,")、",D4,"（注册号：",E4,")")</f>
        <v>陈颖（注册号：0)、叶凌（注册号：1119970111)</v>
      </c>
      <c r="L4" s="2559"/>
      <c r="M4" s="2559"/>
      <c r="N4" s="2560"/>
      <c r="O4" s="1727"/>
      <c r="P4" s="2560"/>
      <c r="Q4" s="2560"/>
      <c r="R4" s="2560"/>
      <c r="S4" s="1834"/>
      <c r="T4" s="1897"/>
      <c r="U4" s="1897"/>
      <c r="V4" s="1897"/>
      <c r="W4" s="1897"/>
      <c r="X4" s="1897"/>
      <c r="Y4" s="1897"/>
      <c r="Z4" s="1897"/>
      <c r="AA4" s="1897"/>
      <c r="AB4" s="1897"/>
    </row>
    <row r="5" spans="1:28" ht="24.75" thickTop="1">
      <c r="A5" s="2569" t="s">
        <v>2858</v>
      </c>
      <c r="B5" s="3204" t="s">
        <v>3161</v>
      </c>
      <c r="C5" s="2570"/>
      <c r="D5" s="2571"/>
      <c r="E5" s="2856"/>
      <c r="F5" s="2856"/>
      <c r="G5" s="2856"/>
      <c r="H5" s="2856"/>
      <c r="I5" s="2856"/>
      <c r="J5" s="2630"/>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2" t="s">
        <v>2859</v>
      </c>
      <c r="B6" s="2573"/>
      <c r="C6" s="2574"/>
      <c r="D6" s="2575"/>
      <c r="E6" s="2854"/>
      <c r="F6" s="2856"/>
      <c r="G6" s="2856"/>
      <c r="H6" s="2856"/>
      <c r="I6" s="2856"/>
      <c r="J6" s="2630"/>
      <c r="K6" s="2806" t="str">
        <f>IF(COUNTIF(B6,"*上海银行*"),"上海银行","")</f>
        <v/>
      </c>
      <c r="L6" s="2804"/>
      <c r="M6" s="2804"/>
      <c r="N6" s="2630"/>
      <c r="O6" s="2641"/>
      <c r="P6" s="2630"/>
      <c r="Q6" s="2630"/>
      <c r="R6" s="2630"/>
    </row>
    <row r="7" spans="1:28">
      <c r="A7" s="2572" t="s">
        <v>2860</v>
      </c>
      <c r="B7" s="2576"/>
      <c r="C7" s="2574"/>
      <c r="D7" s="2575"/>
      <c r="E7" s="2854"/>
      <c r="F7" s="2856"/>
      <c r="G7" s="2856"/>
      <c r="H7" s="2856"/>
      <c r="I7" s="2856"/>
      <c r="J7" s="2630"/>
      <c r="K7" s="2807"/>
      <c r="L7" s="2804"/>
      <c r="M7" s="2804"/>
      <c r="N7" s="2630"/>
      <c r="O7" s="2641"/>
      <c r="P7" s="2630"/>
      <c r="Q7" s="2630"/>
      <c r="R7" s="2630"/>
    </row>
    <row r="8" spans="1:28">
      <c r="A8" s="2577" t="s">
        <v>2861</v>
      </c>
      <c r="B8" s="2578" t="s">
        <v>3162</v>
      </c>
      <c r="C8" s="2579"/>
      <c r="D8" s="3413" t="s">
        <v>2862</v>
      </c>
      <c r="E8" s="2580"/>
      <c r="F8" s="2581"/>
      <c r="G8" s="2855"/>
      <c r="H8" s="2855"/>
      <c r="I8" s="2855"/>
      <c r="J8" s="2630"/>
      <c r="K8" s="2805"/>
      <c r="L8" s="2804"/>
      <c r="M8" s="2804"/>
      <c r="N8" s="2630"/>
      <c r="O8" s="2641"/>
      <c r="P8" s="2630"/>
      <c r="Q8" s="2630"/>
      <c r="R8" s="2630"/>
    </row>
    <row r="9" spans="1:28" ht="13.5" thickBot="1">
      <c r="A9" s="2582" t="s">
        <v>2863</v>
      </c>
      <c r="B9" s="2583" t="s">
        <v>3163</v>
      </c>
      <c r="C9" s="2584"/>
      <c r="D9" s="3414"/>
      <c r="E9" s="2583"/>
      <c r="F9" s="2585"/>
      <c r="G9" s="2857"/>
      <c r="H9" s="2857"/>
      <c r="I9" s="2857"/>
      <c r="J9" s="2630"/>
      <c r="K9" s="2807"/>
      <c r="L9" s="2804"/>
      <c r="M9" s="2804"/>
      <c r="N9" s="2630"/>
      <c r="O9" s="2641"/>
      <c r="P9" s="2630"/>
      <c r="Q9" s="2630"/>
      <c r="R9" s="2630"/>
    </row>
    <row r="10" spans="1:28" ht="13.5" thickTop="1">
      <c r="A10" s="2586" t="s">
        <v>2864</v>
      </c>
      <c r="B10" s="2587" t="s">
        <v>3164</v>
      </c>
      <c r="C10" s="2588"/>
      <c r="D10" s="2571"/>
      <c r="E10" s="2589" t="s">
        <v>2865</v>
      </c>
      <c r="F10" s="2858"/>
      <c r="G10" s="2859"/>
      <c r="H10" s="2860"/>
      <c r="I10" s="2861"/>
      <c r="J10" s="2630"/>
      <c r="K10" s="2807"/>
      <c r="L10" s="2804"/>
      <c r="M10" s="2804"/>
      <c r="N10" s="2630"/>
      <c r="O10" s="2641"/>
      <c r="P10" s="2630"/>
      <c r="Q10" s="2630"/>
      <c r="R10" s="2630"/>
    </row>
    <row r="11" spans="1:28">
      <c r="A11" s="2590" t="s">
        <v>2866</v>
      </c>
      <c r="B11" s="2591" t="s">
        <v>3165</v>
      </c>
      <c r="C11" s="2592"/>
      <c r="D11" s="2593"/>
      <c r="E11" s="2560"/>
      <c r="F11" s="2560"/>
      <c r="G11" s="2560"/>
      <c r="H11" s="2560"/>
      <c r="I11" s="2560"/>
      <c r="J11" s="2630"/>
      <c r="K11" s="2807"/>
      <c r="L11" s="2804"/>
      <c r="M11" s="2804"/>
      <c r="N11" s="2630"/>
      <c r="O11" s="2641"/>
      <c r="P11" s="2630"/>
      <c r="Q11" s="2630"/>
      <c r="R11" s="2630"/>
    </row>
    <row r="12" spans="1:28">
      <c r="A12" s="2594" t="s">
        <v>2867</v>
      </c>
      <c r="B12" s="2591" t="s">
        <v>3166</v>
      </c>
      <c r="C12" s="328"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09"/>
      <c r="B13" s="2596"/>
      <c r="C13" s="2597" t="s">
        <v>2875</v>
      </c>
      <c r="D13" s="963"/>
      <c r="E13" s="963"/>
      <c r="F13" s="963"/>
      <c r="G13" s="963"/>
      <c r="H13" s="963"/>
      <c r="I13" s="963"/>
      <c r="J13" s="2630"/>
      <c r="K13" s="2807"/>
      <c r="L13" s="2804"/>
      <c r="M13" s="2804"/>
      <c r="N13" s="2630"/>
      <c r="O13" s="2641"/>
      <c r="P13" s="2630"/>
      <c r="Q13" s="2630"/>
      <c r="R13" s="2630"/>
    </row>
    <row r="14" spans="1:28">
      <c r="A14" s="1209"/>
      <c r="B14" s="2596"/>
      <c r="C14" s="2597" t="s">
        <v>2876</v>
      </c>
      <c r="D14" s="2598">
        <v>70</v>
      </c>
      <c r="E14" s="2598">
        <v>40</v>
      </c>
      <c r="F14" s="2598">
        <v>50</v>
      </c>
      <c r="G14" s="2598">
        <v>50</v>
      </c>
      <c r="H14" s="2598">
        <v>50</v>
      </c>
      <c r="I14" s="2598">
        <v>50</v>
      </c>
      <c r="J14" s="2630"/>
      <c r="K14" s="2808"/>
      <c r="L14" s="2804"/>
      <c r="M14" s="2804"/>
      <c r="N14" s="2630"/>
      <c r="O14" s="2641"/>
      <c r="P14" s="2630"/>
      <c r="Q14" s="2630"/>
      <c r="R14" s="2630"/>
    </row>
    <row r="15" spans="1:28">
      <c r="A15" s="325"/>
      <c r="B15" s="2599"/>
      <c r="C15" s="2600" t="s">
        <v>2877</v>
      </c>
      <c r="D15" s="2601">
        <f>IF(B12="出让",IF(D13="","",ROUNDDOWN(MIN((D13-$D$3)/365,D14),2)),D14)</f>
        <v>70</v>
      </c>
      <c r="E15" s="2601">
        <f>IF(B12="出让",IF(E13="","",ROUNDDOWN(MIN((E13-$D$3)/365,E14),2)),E14)</f>
        <v>40</v>
      </c>
      <c r="F15" s="2601">
        <f>IF(B12="出让",IF(F13="","",ROUNDDOWN(MIN((F13-$D$3)/365,F14),2)),F14)</f>
        <v>50</v>
      </c>
      <c r="G15" s="2601">
        <f>IF(B12="出让",IF(G13="","",ROUNDDOWN(MIN((G13-$D$3)/365,G14),2)),G14)</f>
        <v>50</v>
      </c>
      <c r="H15" s="2601">
        <f>IF(B12="出让",IF(H13="","",ROUNDDOWN(MIN((H13-$D$3)/365,H14),2)),H14)</f>
        <v>50</v>
      </c>
      <c r="I15" s="2601">
        <f>IF(B12="出让",IF(I13="","",ROUNDDOWN(MIN((I13-$D$3)/365,I14),2)),I14)</f>
        <v>50</v>
      </c>
      <c r="J15" s="2630"/>
      <c r="K15" s="2809"/>
      <c r="L15" s="2642"/>
      <c r="M15" s="2642"/>
      <c r="N15" s="2700"/>
      <c r="O15" s="2642"/>
      <c r="P15" s="2700"/>
      <c r="Q15" s="2630"/>
      <c r="R15" s="2630"/>
    </row>
    <row r="16" spans="1:28">
      <c r="A16" s="2589" t="s">
        <v>2878</v>
      </c>
      <c r="B16" s="3420"/>
      <c r="C16" s="3421"/>
      <c r="D16" s="3422"/>
      <c r="E16" s="2604" t="s">
        <v>2879</v>
      </c>
      <c r="F16" s="3423"/>
      <c r="G16" s="3424"/>
      <c r="H16" s="3424"/>
      <c r="I16" s="3425"/>
      <c r="J16" s="2630"/>
      <c r="K16" s="2809"/>
      <c r="L16" s="2642"/>
      <c r="M16" s="2642"/>
      <c r="N16" s="2700"/>
      <c r="O16" s="2642"/>
      <c r="P16" s="2700"/>
      <c r="Q16" s="2630"/>
      <c r="R16" s="2630"/>
    </row>
    <row r="17" spans="1:28">
      <c r="A17" s="318" t="s">
        <v>2880</v>
      </c>
      <c r="B17" s="307" t="s">
        <v>2881</v>
      </c>
      <c r="C17" s="11">
        <f>'数据-汇总表'!E3</f>
        <v>63761.02</v>
      </c>
      <c r="D17" s="2511" t="s">
        <v>2882</v>
      </c>
      <c r="E17" s="3426" t="s">
        <v>2883</v>
      </c>
      <c r="F17" s="3427"/>
      <c r="G17" s="3427"/>
      <c r="H17" s="3427"/>
      <c r="I17" s="3428"/>
      <c r="J17" s="2630"/>
      <c r="K17" s="2810"/>
      <c r="L17" s="2642"/>
      <c r="M17" s="2642"/>
      <c r="N17" s="2700"/>
      <c r="O17" s="2642"/>
      <c r="P17" s="2700"/>
      <c r="Q17" s="2630"/>
      <c r="R17" s="2630"/>
      <c r="S17" s="2630"/>
      <c r="T17" s="2630"/>
      <c r="U17" s="2630"/>
      <c r="V17" s="2630"/>
    </row>
    <row r="18" spans="1:28" ht="24.75" thickBot="1">
      <c r="A18" s="2605" t="s">
        <v>2884</v>
      </c>
      <c r="B18" s="1218" t="s">
        <v>2885</v>
      </c>
      <c r="C18" s="2606">
        <f>'数据-汇总表'!D3</f>
        <v>25000</v>
      </c>
      <c r="D18" s="1220" t="s">
        <v>2886</v>
      </c>
      <c r="E18" s="3429" t="s">
        <v>2887</v>
      </c>
      <c r="F18" s="3430"/>
      <c r="G18" s="3430"/>
      <c r="H18" s="3430"/>
      <c r="I18" s="3431"/>
      <c r="J18" s="2630"/>
      <c r="K18" s="2810"/>
      <c r="L18" s="2642"/>
      <c r="M18" s="2642"/>
      <c r="N18" s="2700"/>
      <c r="O18" s="2642"/>
      <c r="P18" s="2700"/>
      <c r="Q18" s="2630"/>
      <c r="R18" s="2630"/>
      <c r="S18" s="2630"/>
      <c r="T18" s="2630"/>
      <c r="U18" s="2630"/>
      <c r="V18" s="2630"/>
    </row>
    <row r="19" spans="1:28" ht="37.5" thickTop="1" thickBot="1">
      <c r="A19" s="332" t="s">
        <v>1681</v>
      </c>
      <c r="B19" s="312" t="s">
        <v>2888</v>
      </c>
      <c r="C19" s="1714"/>
      <c r="D19" s="1715" t="s">
        <v>2889</v>
      </c>
      <c r="E19" s="1716"/>
      <c r="F19" s="1717" t="str">
        <f>IF(AND(C19="是",E19="否"),"是否提供他项权证或相关说明","")</f>
        <v/>
      </c>
      <c r="G19" s="1718"/>
      <c r="H19" s="2856"/>
      <c r="I19" s="2856"/>
      <c r="J19" s="2630"/>
      <c r="K19" s="2807"/>
      <c r="L19" s="2804"/>
      <c r="M19" s="2804"/>
      <c r="N19" s="2700"/>
      <c r="O19" s="2642"/>
      <c r="P19" s="2700"/>
      <c r="Q19" s="2630"/>
      <c r="R19" s="2630"/>
      <c r="S19" s="2630"/>
      <c r="T19" s="2630"/>
      <c r="U19" s="2630"/>
      <c r="V19" s="2630"/>
    </row>
    <row r="20" spans="1:28">
      <c r="A20" s="2824" t="s">
        <v>2890</v>
      </c>
      <c r="B20" s="3416" t="s">
        <v>2891</v>
      </c>
      <c r="C20" s="3417"/>
      <c r="D20" s="3418" t="s">
        <v>2892</v>
      </c>
      <c r="E20" s="3419"/>
      <c r="F20" s="2839" t="s">
        <v>1682</v>
      </c>
      <c r="G20" s="2856"/>
      <c r="H20" s="2856"/>
      <c r="I20" s="2856"/>
      <c r="J20" s="2630"/>
      <c r="K20" s="3415"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3"/>
      <c r="O20" s="2602"/>
      <c r="P20" s="2603"/>
      <c r="Q20" s="2560"/>
      <c r="R20" s="2560"/>
      <c r="S20" s="2560"/>
      <c r="T20" s="2560"/>
      <c r="U20" s="2560"/>
      <c r="V20" s="2560"/>
      <c r="W20" s="1897"/>
      <c r="X20" s="1897"/>
      <c r="Y20" s="1897"/>
      <c r="Z20" s="1897"/>
      <c r="AA20" s="1897"/>
      <c r="AB20" s="1897"/>
    </row>
    <row r="21" spans="1:28" ht="24.75" thickBot="1">
      <c r="A21" s="2824"/>
      <c r="B21" s="2825" t="s">
        <v>2894</v>
      </c>
      <c r="C21" s="2826" t="s">
        <v>1683</v>
      </c>
      <c r="D21" s="1719" t="s">
        <v>2895</v>
      </c>
      <c r="E21" s="2827" t="s">
        <v>1683</v>
      </c>
      <c r="F21" s="2840"/>
      <c r="G21" s="2856"/>
      <c r="H21" s="2856"/>
      <c r="I21" s="2856"/>
      <c r="J21" s="2630"/>
      <c r="K21" s="3415"/>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3"/>
      <c r="O21" s="2602"/>
      <c r="P21" s="2603"/>
      <c r="Q21" s="2560"/>
      <c r="R21" s="2560"/>
      <c r="S21" s="2560"/>
      <c r="T21" s="2560"/>
      <c r="U21" s="2560"/>
      <c r="V21" s="2560"/>
      <c r="W21" s="1897"/>
      <c r="X21" s="1897"/>
      <c r="Y21" s="1897"/>
      <c r="Z21" s="1897"/>
      <c r="AA21" s="1897"/>
      <c r="AB21" s="1897"/>
    </row>
    <row r="22" spans="1:28" ht="24.75" thickBot="1">
      <c r="A22" s="2824"/>
      <c r="B22" s="2828" t="s">
        <v>2896</v>
      </c>
      <c r="C22" s="2826" t="s">
        <v>1684</v>
      </c>
      <c r="D22" s="2855"/>
      <c r="E22" s="2855"/>
      <c r="F22" s="2855"/>
      <c r="G22" s="2856"/>
      <c r="H22" s="2856"/>
      <c r="I22" s="2856"/>
      <c r="J22" s="2630"/>
      <c r="K22" s="3415"/>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3"/>
      <c r="O22" s="2602"/>
      <c r="P22" s="2603"/>
      <c r="Q22" s="2560"/>
      <c r="R22" s="2560"/>
      <c r="S22" s="2560"/>
      <c r="T22" s="2560"/>
      <c r="U22" s="2560"/>
      <c r="V22" s="2560"/>
      <c r="W22" s="1897"/>
      <c r="X22" s="1897"/>
      <c r="Y22" s="1897"/>
      <c r="Z22" s="1897"/>
      <c r="AA22" s="1897"/>
      <c r="AB22" s="1897"/>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403" t="s">
        <v>2899</v>
      </c>
      <c r="B27" s="325" t="s">
        <v>2900</v>
      </c>
      <c r="C27" s="2607"/>
      <c r="D27" s="2608"/>
      <c r="E27" s="2856"/>
      <c r="F27" s="2856"/>
      <c r="G27" s="2856"/>
      <c r="H27" s="2856"/>
      <c r="I27" s="2856"/>
      <c r="J27" s="2630"/>
      <c r="K27" s="2809"/>
      <c r="L27" s="2642"/>
      <c r="M27" s="2642"/>
      <c r="N27" s="2700"/>
      <c r="O27" s="2642"/>
      <c r="P27" s="2700"/>
      <c r="Q27" s="2630"/>
      <c r="R27" s="2630"/>
      <c r="S27" s="2630"/>
      <c r="T27" s="2630"/>
      <c r="U27" s="2630"/>
      <c r="V27" s="2630"/>
    </row>
    <row r="28" spans="1:28">
      <c r="A28" s="3403"/>
      <c r="B28" s="307" t="s">
        <v>2901</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403"/>
      <c r="B29" s="307" t="s">
        <v>2902</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404"/>
      <c r="B30" s="307" t="s">
        <v>2903</v>
      </c>
      <c r="C30" s="3405"/>
      <c r="D30" s="3406"/>
      <c r="E30" s="2856"/>
      <c r="F30" s="2856"/>
      <c r="G30" s="2856"/>
      <c r="H30" s="2856"/>
      <c r="I30" s="2856"/>
      <c r="J30" s="2630"/>
      <c r="K30" s="2807"/>
      <c r="L30" s="2804"/>
      <c r="M30" s="2804"/>
      <c r="N30" s="2630"/>
      <c r="O30" s="2641"/>
      <c r="P30" s="2630"/>
      <c r="Q30" s="2630"/>
      <c r="R30" s="2630"/>
      <c r="S30" s="2630"/>
      <c r="T30" s="2630"/>
      <c r="U30" s="2630"/>
      <c r="V30" s="2630"/>
    </row>
    <row r="31" spans="1:28">
      <c r="A31" s="3407" t="s">
        <v>2904</v>
      </c>
      <c r="B31" s="2613"/>
      <c r="C31" s="2512" t="str">
        <f>IF(B31="现房","成新及维护状况正常否",IF(B31="在建","工程状态是否正常",IF(B31="土地","是否闲置","-")))</f>
        <v>-</v>
      </c>
      <c r="D31" s="1523"/>
      <c r="E31" s="2614"/>
      <c r="F31" s="2856"/>
      <c r="G31" s="2856"/>
      <c r="H31" s="2856"/>
      <c r="I31" s="2856"/>
      <c r="J31" s="2630"/>
      <c r="K31" s="2806"/>
      <c r="L31" s="2804"/>
      <c r="M31" s="2804"/>
      <c r="N31" s="2630"/>
      <c r="O31" s="2641"/>
      <c r="P31" s="2630"/>
      <c r="Q31" s="2630"/>
      <c r="R31" s="2630"/>
      <c r="S31" s="2630"/>
      <c r="T31" s="2630"/>
      <c r="U31" s="2630"/>
      <c r="V31" s="2630"/>
    </row>
    <row r="32" spans="1:28">
      <c r="A32" s="3408"/>
      <c r="B32" s="2613"/>
      <c r="C32" s="2512" t="str">
        <f>IF(B32="现房","成新及维护状况是否正常",IF(B32="在建","工程状态是否正常",IF(B32="土地","是否闲置","-")))</f>
        <v>-</v>
      </c>
      <c r="D32" s="1523"/>
      <c r="E32" s="2614"/>
      <c r="F32" s="2856"/>
      <c r="G32" s="2856"/>
      <c r="H32" s="2856"/>
      <c r="I32" s="2856"/>
      <c r="J32" s="2630"/>
      <c r="K32" s="2807"/>
      <c r="L32" s="2804"/>
      <c r="M32" s="2804"/>
      <c r="N32" s="2630"/>
      <c r="O32" s="2641"/>
      <c r="P32" s="2630"/>
      <c r="Q32" s="2630"/>
      <c r="R32" s="2630"/>
      <c r="S32" s="2630"/>
      <c r="T32" s="2630"/>
      <c r="U32" s="2630"/>
      <c r="V32" s="2630"/>
    </row>
    <row r="33" spans="1:30">
      <c r="A33" s="3408"/>
      <c r="B33" s="2616"/>
      <c r="C33" s="1741" t="str">
        <f>IF(B33="现房","成新及维护状况是否正常",IF(B33="在建","工程状态是否正常",IF(B33="土地","是否闲置","-")))</f>
        <v>-</v>
      </c>
      <c r="D33" s="1515"/>
      <c r="E33" s="2617"/>
      <c r="F33" s="2856"/>
      <c r="G33" s="2856"/>
      <c r="H33" s="2856"/>
      <c r="I33" s="2856"/>
      <c r="J33" s="2630"/>
      <c r="K33" s="2807"/>
      <c r="L33" s="2804"/>
      <c r="M33" s="2804"/>
      <c r="N33" s="2630"/>
      <c r="O33" s="2641"/>
      <c r="P33" s="2630"/>
      <c r="Q33" s="2630"/>
      <c r="R33" s="2630"/>
      <c r="S33" s="2630"/>
      <c r="T33" s="2630"/>
      <c r="U33" s="2630"/>
      <c r="V33" s="2630"/>
    </row>
    <row r="34" spans="1:30">
      <c r="A34" s="307" t="s">
        <v>2905</v>
      </c>
      <c r="B34" s="2180"/>
      <c r="C34" s="2180"/>
      <c r="D34" s="2180"/>
      <c r="E34" s="2180"/>
      <c r="F34" s="2180"/>
      <c r="G34" s="2180"/>
      <c r="H34" s="2180"/>
      <c r="I34" s="2856"/>
      <c r="J34" s="2630"/>
      <c r="K34" s="2618">
        <f>COUNTIF(B34:H34,"——")</f>
        <v>0</v>
      </c>
      <c r="L34" s="328" t="s">
        <v>2906</v>
      </c>
      <c r="M34" s="328" t="s">
        <v>2907</v>
      </c>
      <c r="N34" s="328" t="s">
        <v>2908</v>
      </c>
      <c r="O34" s="328" t="s">
        <v>2909</v>
      </c>
      <c r="P34" s="328" t="s">
        <v>2910</v>
      </c>
      <c r="Q34" s="328" t="s">
        <v>2911</v>
      </c>
      <c r="R34" s="328" t="s">
        <v>2912</v>
      </c>
      <c r="S34" s="3402" t="s">
        <v>2913</v>
      </c>
      <c r="T34" s="2619" t="str">
        <f>NUMBERSTRING(7-K34,1)&amp;"通"</f>
        <v>七通</v>
      </c>
      <c r="U34" s="2630"/>
      <c r="V34" s="2630"/>
    </row>
    <row r="35" spans="1:30">
      <c r="A35" s="2620"/>
      <c r="B35" s="3409" t="s">
        <v>2914</v>
      </c>
      <c r="C35" s="3409"/>
      <c r="D35" s="3409"/>
      <c r="E35" s="3409"/>
      <c r="F35" s="672">
        <f>C10</f>
        <v>0</v>
      </c>
      <c r="G35" s="2856"/>
      <c r="H35" s="2856"/>
      <c r="I35" s="2856"/>
      <c r="J35" s="263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02"/>
      <c r="T35" s="334" t="str">
        <f>IF(T34="一通",L35,IF(T34="二通",M35,IF(T34="三通",N35,IF(T34="四通",O35,IF(T34="五通",P35,IF(T34="六通",Q35,R35))))))</f>
        <v>、、、、、、</v>
      </c>
      <c r="U35" s="2630"/>
      <c r="V35" s="2630"/>
    </row>
    <row r="36" spans="1:30">
      <c r="A36" s="2621"/>
      <c r="B36" s="672" t="s">
        <v>2870</v>
      </c>
      <c r="C36" s="672" t="s">
        <v>2871</v>
      </c>
      <c r="D36" s="672" t="s">
        <v>2869</v>
      </c>
      <c r="E36" s="672"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t="s">
        <v>526</v>
      </c>
      <c r="C37" s="2622" t="s">
        <v>526</v>
      </c>
      <c r="D37" s="2622" t="s">
        <v>526</v>
      </c>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2916</v>
      </c>
      <c r="B38" s="2623" t="s">
        <v>396</v>
      </c>
      <c r="C38" s="2623" t="s">
        <v>396</v>
      </c>
      <c r="D38" s="2623" t="s">
        <v>396</v>
      </c>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0"/>
      <c r="B40" s="2560"/>
      <c r="C40" s="2560"/>
      <c r="D40" s="2560"/>
      <c r="E40" s="2560"/>
      <c r="F40" s="2560"/>
      <c r="G40" s="2560"/>
      <c r="H40" s="2560"/>
      <c r="I40" s="1729"/>
      <c r="J40" s="2700"/>
      <c r="K40" s="2806"/>
      <c r="L40" s="2642"/>
      <c r="M40" s="2642"/>
      <c r="N40" s="2700"/>
      <c r="O40" s="2642"/>
      <c r="P40" s="2630"/>
      <c r="Q40" s="2630"/>
      <c r="R40" s="2630"/>
      <c r="S40" s="2630"/>
      <c r="T40" s="2630"/>
      <c r="U40" s="2630"/>
      <c r="V40" s="2630"/>
    </row>
    <row r="41" spans="1:30">
      <c r="A41" s="2627" t="s">
        <v>2918</v>
      </c>
      <c r="B41" s="1909"/>
      <c r="C41" s="1523"/>
      <c r="D41" s="2560"/>
      <c r="E41" s="2560"/>
      <c r="F41" s="2560"/>
      <c r="G41" s="2560"/>
      <c r="H41" s="2560"/>
      <c r="I41" s="1727"/>
      <c r="J41" s="2630"/>
      <c r="K41" s="2807"/>
      <c r="L41" s="2804"/>
      <c r="M41" s="2804"/>
      <c r="N41" s="2630"/>
      <c r="O41" s="2641"/>
      <c r="P41" s="2630"/>
      <c r="Q41" s="2630"/>
      <c r="R41" s="2630"/>
      <c r="S41" s="2630"/>
      <c r="T41" s="2630"/>
      <c r="U41" s="2630"/>
      <c r="V41" s="2630"/>
    </row>
    <row r="42" spans="1:30" ht="25.5">
      <c r="A42" s="328"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5" customFormat="1">
      <c r="A43" s="1721"/>
      <c r="B43" s="1179"/>
      <c r="C43" s="1179"/>
      <c r="D43" s="1179"/>
      <c r="E43" s="1179"/>
      <c r="F43" s="1179"/>
      <c r="G43" s="1179"/>
      <c r="H43" s="1179"/>
      <c r="I43" s="1179"/>
      <c r="J43" s="2628"/>
      <c r="K43" s="2629"/>
      <c r="L43" s="2629"/>
      <c r="M43" s="1179"/>
      <c r="N43" s="1179"/>
      <c r="O43" s="1179"/>
      <c r="P43" s="1179"/>
      <c r="Q43" s="1179"/>
      <c r="R43" s="1179"/>
      <c r="S43" s="2630"/>
      <c r="T43" s="2630"/>
      <c r="U43" s="2630"/>
      <c r="V43" s="2630"/>
    </row>
    <row r="44" spans="1:30" s="1895" customFormat="1">
      <c r="A44" s="1721"/>
      <c r="B44" s="1721"/>
      <c r="C44" s="1179"/>
      <c r="D44" s="1179"/>
      <c r="E44" s="1179"/>
      <c r="F44" s="1179"/>
      <c r="G44" s="1179"/>
      <c r="H44" s="1179"/>
      <c r="I44" s="1179"/>
      <c r="J44" s="2628"/>
      <c r="K44" s="2629"/>
      <c r="L44" s="2629"/>
      <c r="M44" s="1179"/>
      <c r="N44" s="1179"/>
      <c r="O44" s="1179"/>
      <c r="P44" s="1179"/>
      <c r="Q44" s="1179"/>
      <c r="R44" s="1179"/>
      <c r="S44" s="2630"/>
      <c r="T44" s="2630"/>
      <c r="U44" s="2630"/>
      <c r="V44" s="2630"/>
    </row>
    <row r="45" spans="1:30" s="1895" customFormat="1">
      <c r="A45" s="1721"/>
      <c r="B45" s="1721"/>
      <c r="C45" s="1179"/>
      <c r="D45" s="1179"/>
      <c r="E45" s="1179"/>
      <c r="F45" s="1179"/>
      <c r="G45" s="1179"/>
      <c r="H45" s="1179"/>
      <c r="I45" s="1179"/>
      <c r="J45" s="2628"/>
      <c r="K45" s="2629"/>
      <c r="L45" s="2629"/>
      <c r="M45" s="1179"/>
      <c r="N45" s="1179"/>
      <c r="O45" s="1179"/>
      <c r="P45" s="1179"/>
      <c r="Q45" s="1179"/>
      <c r="R45" s="1179"/>
      <c r="S45" s="2630"/>
      <c r="T45" s="2630"/>
      <c r="U45" s="2630"/>
      <c r="V45" s="2630"/>
    </row>
    <row r="46" spans="1:30" s="1895" customFormat="1">
      <c r="A46" s="1721"/>
      <c r="B46" s="1721"/>
      <c r="C46" s="1179"/>
      <c r="D46" s="1179"/>
      <c r="E46" s="1179"/>
      <c r="F46" s="1179"/>
      <c r="G46" s="1179"/>
      <c r="H46" s="1179"/>
      <c r="I46" s="1179"/>
      <c r="J46" s="2628"/>
      <c r="K46" s="2629"/>
      <c r="L46" s="2629"/>
      <c r="M46" s="1179"/>
      <c r="N46" s="1179"/>
      <c r="O46" s="1179"/>
      <c r="P46" s="1179"/>
      <c r="Q46" s="1179"/>
      <c r="R46" s="1179"/>
      <c r="S46" s="2630"/>
      <c r="T46" s="2630"/>
      <c r="U46" s="2630"/>
      <c r="V46" s="2630"/>
    </row>
    <row r="47" spans="1:30" s="1895" customFormat="1">
      <c r="A47" s="1721"/>
      <c r="B47" s="1721"/>
      <c r="C47" s="1179"/>
      <c r="D47" s="1179"/>
      <c r="E47" s="1179"/>
      <c r="F47" s="1179"/>
      <c r="G47" s="1179"/>
      <c r="H47" s="1179"/>
      <c r="I47" s="1179"/>
      <c r="J47" s="2628"/>
      <c r="K47" s="2629"/>
      <c r="L47" s="2629"/>
      <c r="M47" s="1179"/>
      <c r="N47" s="1179"/>
      <c r="O47" s="1179"/>
      <c r="P47" s="1179"/>
      <c r="Q47" s="1179"/>
      <c r="R47" s="1179"/>
      <c r="S47" s="2630"/>
      <c r="T47" s="2630"/>
      <c r="U47" s="2630"/>
      <c r="V47" s="2630"/>
    </row>
    <row r="48" spans="1:30" s="1895" customFormat="1">
      <c r="A48" s="1721"/>
      <c r="B48" s="1721"/>
      <c r="C48" s="1179"/>
      <c r="D48" s="1179"/>
      <c r="E48" s="1179"/>
      <c r="F48" s="1179"/>
      <c r="G48" s="1179"/>
      <c r="H48" s="1179"/>
      <c r="I48" s="1179"/>
      <c r="J48" s="2628"/>
      <c r="K48" s="2629"/>
      <c r="L48" s="2629"/>
      <c r="M48" s="1179"/>
      <c r="N48" s="1179"/>
      <c r="O48" s="1179"/>
      <c r="P48" s="1179"/>
      <c r="Q48" s="1179"/>
      <c r="R48" s="1179"/>
      <c r="S48" s="2630"/>
      <c r="T48" s="2630"/>
      <c r="U48" s="2630"/>
      <c r="V48" s="2630"/>
    </row>
    <row r="49" spans="1:22" s="1895" customFormat="1">
      <c r="A49" s="1721"/>
      <c r="B49" s="1721"/>
      <c r="C49" s="1179"/>
      <c r="D49" s="1179"/>
      <c r="E49" s="1179"/>
      <c r="F49" s="1179"/>
      <c r="G49" s="1179"/>
      <c r="H49" s="1179"/>
      <c r="I49" s="1179"/>
      <c r="J49" s="2628"/>
      <c r="K49" s="2629"/>
      <c r="L49" s="2629"/>
      <c r="M49" s="1179"/>
      <c r="N49" s="1179"/>
      <c r="O49" s="1179"/>
      <c r="P49" s="1179"/>
      <c r="Q49" s="1179"/>
      <c r="R49" s="1179"/>
      <c r="S49" s="2630"/>
      <c r="T49" s="2630"/>
      <c r="U49" s="2630"/>
      <c r="V49" s="2630"/>
    </row>
    <row r="50" spans="1:22" s="1895" customFormat="1">
      <c r="A50" s="1721"/>
      <c r="B50" s="1721"/>
      <c r="C50" s="1179"/>
      <c r="D50" s="1179"/>
      <c r="E50" s="1179"/>
      <c r="F50" s="1179"/>
      <c r="G50" s="1179"/>
      <c r="H50" s="1179"/>
      <c r="I50" s="1179"/>
      <c r="J50" s="2628"/>
      <c r="K50" s="2629"/>
      <c r="L50" s="2629"/>
      <c r="M50" s="1179"/>
      <c r="N50" s="1179"/>
      <c r="O50" s="1179"/>
      <c r="P50" s="1179"/>
      <c r="Q50" s="1179"/>
      <c r="R50" s="1179"/>
      <c r="S50" s="2630"/>
      <c r="T50" s="2630"/>
      <c r="U50" s="2630"/>
      <c r="V50" s="2630"/>
    </row>
    <row r="51" spans="1:22" s="1895" customFormat="1">
      <c r="A51" s="1721"/>
      <c r="B51" s="1721"/>
      <c r="C51" s="1179"/>
      <c r="D51" s="1179"/>
      <c r="E51" s="1179"/>
      <c r="F51" s="1179"/>
      <c r="G51" s="1179"/>
      <c r="H51" s="1179"/>
      <c r="I51" s="1179"/>
      <c r="J51" s="2628"/>
      <c r="K51" s="2629"/>
      <c r="L51" s="2629"/>
      <c r="M51" s="1179"/>
      <c r="N51" s="1179"/>
      <c r="O51" s="1179"/>
      <c r="P51" s="1179"/>
      <c r="Q51" s="1179"/>
      <c r="R51" s="1179"/>
    </row>
    <row r="52" spans="1:22" s="1895" customFormat="1">
      <c r="A52" s="1721"/>
      <c r="B52" s="1721"/>
      <c r="C52" s="1721"/>
      <c r="D52" s="1721"/>
      <c r="E52" s="1721"/>
      <c r="F52" s="1179"/>
      <c r="G52" s="1721"/>
      <c r="H52" s="1721"/>
      <c r="I52" s="1721"/>
      <c r="J52" s="2631"/>
      <c r="K52" s="2629"/>
      <c r="L52" s="2629"/>
      <c r="M52" s="2629"/>
      <c r="N52" s="1721"/>
      <c r="O52" s="1721"/>
      <c r="P52" s="1721"/>
      <c r="Q52" s="1721"/>
      <c r="R52" s="1721"/>
    </row>
    <row r="53" spans="1:22" s="1895" customFormat="1">
      <c r="A53" s="1721"/>
      <c r="B53" s="1721"/>
      <c r="C53" s="1721"/>
      <c r="D53" s="1721"/>
      <c r="E53" s="1721"/>
      <c r="F53" s="1179"/>
      <c r="G53" s="1721"/>
      <c r="H53" s="1721"/>
      <c r="I53" s="1721"/>
      <c r="J53" s="2631"/>
      <c r="K53" s="2629"/>
      <c r="L53" s="2629"/>
      <c r="M53" s="2629"/>
      <c r="N53" s="1721"/>
      <c r="O53" s="1721"/>
      <c r="P53" s="1721"/>
      <c r="Q53" s="1721"/>
      <c r="R53" s="1721"/>
    </row>
    <row r="54" spans="1:22" s="1895" customFormat="1">
      <c r="A54" s="1721"/>
      <c r="B54" s="1721"/>
      <c r="C54" s="1721"/>
      <c r="D54" s="1721"/>
      <c r="E54" s="1721"/>
      <c r="F54" s="1179"/>
      <c r="G54" s="1721"/>
      <c r="H54" s="1721"/>
      <c r="I54" s="1721"/>
      <c r="J54" s="2631"/>
      <c r="K54" s="2629"/>
      <c r="L54" s="2629"/>
      <c r="M54" s="2629"/>
      <c r="N54" s="1721"/>
      <c r="O54" s="1721"/>
      <c r="P54" s="1721"/>
      <c r="Q54" s="1721"/>
      <c r="R54" s="1721"/>
    </row>
    <row r="55" spans="1:22" s="1895" customFormat="1">
      <c r="A55" s="1721"/>
      <c r="B55" s="1721"/>
      <c r="C55" s="1721"/>
      <c r="D55" s="1721"/>
      <c r="E55" s="1721"/>
      <c r="F55" s="1179"/>
      <c r="G55" s="1721"/>
      <c r="H55" s="1721"/>
      <c r="I55" s="1721"/>
      <c r="J55" s="2631"/>
      <c r="K55" s="2629"/>
      <c r="L55" s="2629"/>
      <c r="M55" s="2629"/>
      <c r="N55" s="1721"/>
      <c r="O55" s="1721"/>
      <c r="P55" s="1721"/>
      <c r="Q55" s="1721"/>
      <c r="R55" s="1721"/>
    </row>
    <row r="56" spans="1:22" s="1895" customFormat="1">
      <c r="A56" s="1721"/>
      <c r="B56" s="1721"/>
      <c r="C56" s="1721"/>
      <c r="D56" s="1721"/>
      <c r="E56" s="1721"/>
      <c r="F56" s="1179"/>
      <c r="G56" s="1721"/>
      <c r="H56" s="1721"/>
      <c r="I56" s="1721"/>
      <c r="J56" s="2631"/>
      <c r="K56" s="2629"/>
      <c r="L56" s="2629"/>
      <c r="M56" s="2629"/>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AT24" sqref="AT24"/>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1688</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1689</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1690</v>
      </c>
      <c r="B2" s="11" t="s">
        <v>1691</v>
      </c>
      <c r="C2" s="11" t="s">
        <v>1692</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7" t="s">
        <v>1693</v>
      </c>
      <c r="AZ2" s="1178" t="s">
        <v>1694</v>
      </c>
      <c r="BA2" s="11" t="s">
        <v>1695</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f>面积表!B1</f>
        <v>25000</v>
      </c>
      <c r="B3" s="14">
        <f>IF(C3="否",G5-AT5,G5)</f>
        <v>63761.01999999999</v>
      </c>
      <c r="C3" s="1731" t="s">
        <v>1696</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3211">
        <f>A3</f>
        <v>25000</v>
      </c>
      <c r="AZ3" s="1179">
        <f>面积表!C19</f>
        <v>48221</v>
      </c>
      <c r="BA3" s="1180"/>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1697</v>
      </c>
      <c r="B5" s="1497"/>
      <c r="C5" s="1497"/>
      <c r="D5" s="1499"/>
      <c r="E5" s="16" t="s">
        <v>1</v>
      </c>
      <c r="F5" s="16">
        <f>SUM(F13:F587)</f>
        <v>0</v>
      </c>
      <c r="G5" s="16">
        <f>SUM(G13:G587)</f>
        <v>76015.689999999988</v>
      </c>
      <c r="H5" s="16">
        <f t="shared" ref="H5:AT5" si="0">SUM(H13:H656)</f>
        <v>47461.850000000006</v>
      </c>
      <c r="I5" s="16">
        <f t="shared" si="0"/>
        <v>47461.850000000006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16299.170000000002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15997.82</v>
      </c>
      <c r="AO5" s="16">
        <f t="shared" si="0"/>
        <v>0</v>
      </c>
      <c r="AP5" s="16">
        <f t="shared" si="0"/>
        <v>0</v>
      </c>
      <c r="AQ5" s="16">
        <f t="shared" si="0"/>
        <v>0</v>
      </c>
      <c r="AR5" s="16">
        <f t="shared" si="0"/>
        <v>0</v>
      </c>
      <c r="AS5" s="16">
        <f t="shared" si="0"/>
        <v>0</v>
      </c>
      <c r="AT5" s="16">
        <f t="shared" si="0"/>
        <v>12254.67</v>
      </c>
      <c r="AU5" s="1496"/>
      <c r="AV5" s="15" t="s">
        <v>1697</v>
      </c>
      <c r="AW5" s="1497"/>
      <c r="AX5" s="1497"/>
      <c r="AY5" s="17" t="s">
        <v>3</v>
      </c>
      <c r="AZ5" s="18">
        <f t="shared" ref="AZ5:BT5" si="1">SUM(AZ13:AZ656)</f>
        <v>63761.02</v>
      </c>
      <c r="BA5" s="18">
        <f t="shared" si="1"/>
        <v>47461.850000000006</v>
      </c>
      <c r="BB5" s="18">
        <f t="shared" si="1"/>
        <v>47461.850000000006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16299.170000000002</v>
      </c>
      <c r="BM5" s="18">
        <f t="shared" si="1"/>
        <v>0</v>
      </c>
      <c r="BN5" s="18">
        <f t="shared" si="1"/>
        <v>0</v>
      </c>
      <c r="BO5" s="18">
        <f t="shared" si="1"/>
        <v>0</v>
      </c>
      <c r="BP5" s="18">
        <f t="shared" si="1"/>
        <v>0</v>
      </c>
      <c r="BQ5" s="18">
        <f t="shared" si="1"/>
        <v>301.34999999999997</v>
      </c>
      <c r="BR5" s="18">
        <f t="shared" si="1"/>
        <v>15997.82</v>
      </c>
      <c r="BS5" s="18">
        <f t="shared" si="1"/>
        <v>0</v>
      </c>
      <c r="BT5" s="19">
        <f t="shared" si="1"/>
        <v>0</v>
      </c>
    </row>
    <row r="6" spans="1:72" s="1740" customFormat="1" ht="12.75">
      <c r="A6" s="15" t="s">
        <v>1698</v>
      </c>
      <c r="B6" s="1737"/>
      <c r="C6" s="1737"/>
      <c r="D6" s="1738"/>
      <c r="E6" s="16">
        <f>H6+AC6+AT6</f>
        <v>25000</v>
      </c>
      <c r="F6" s="16" t="s">
        <v>1</v>
      </c>
      <c r="G6" s="16" t="s">
        <v>2</v>
      </c>
      <c r="H6" s="20">
        <f>SUMIF(I$12:AB$12,"总值",I6:AB6)</f>
        <v>18609.27</v>
      </c>
      <c r="I6" s="16">
        <f t="shared" ref="I6:AB6" si="2">ROUND($A$3*I5/$B$3,2)</f>
        <v>18609.27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6390.73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118.16</v>
      </c>
      <c r="AM6" s="16">
        <f t="shared" si="3"/>
        <v>0</v>
      </c>
      <c r="AN6" s="16">
        <f t="shared" si="3"/>
        <v>6272.57</v>
      </c>
      <c r="AO6" s="16">
        <f t="shared" si="3"/>
        <v>0</v>
      </c>
      <c r="AP6" s="16">
        <f t="shared" si="3"/>
        <v>0</v>
      </c>
      <c r="AQ6" s="16">
        <f t="shared" si="3"/>
        <v>0</v>
      </c>
      <c r="AR6" s="16">
        <f t="shared" si="3"/>
        <v>0</v>
      </c>
      <c r="AS6" s="16">
        <f t="shared" si="3"/>
        <v>0</v>
      </c>
      <c r="AT6" s="20">
        <f>IF(C3="是",ROUND($A$3*AT5/$B$3,2),0)</f>
        <v>0</v>
      </c>
      <c r="AU6" s="1739"/>
      <c r="AV6" s="15" t="s">
        <v>1698</v>
      </c>
      <c r="AW6" s="1737"/>
      <c r="AX6" s="1737"/>
      <c r="AY6" s="21">
        <f>IF(AY3&gt;0,AY3,ROUND($A$3*AZ5/$B$3,2))</f>
        <v>25000</v>
      </c>
      <c r="AZ6" s="16" t="s">
        <v>3</v>
      </c>
      <c r="BA6" s="16">
        <f>ROUND($AY$6*BA5/$AZ$5,2)</f>
        <v>18609.27</v>
      </c>
      <c r="BB6" s="16">
        <f>ROUND($AY$6*BB5/$AZ$5,2)</f>
        <v>18609.27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6390.73</v>
      </c>
      <c r="BM6" s="16">
        <f t="shared" si="5"/>
        <v>0</v>
      </c>
      <c r="BN6" s="16">
        <f t="shared" si="5"/>
        <v>0</v>
      </c>
      <c r="BO6" s="16">
        <f t="shared" si="5"/>
        <v>0</v>
      </c>
      <c r="BP6" s="16">
        <f t="shared" si="5"/>
        <v>0</v>
      </c>
      <c r="BQ6" s="16">
        <f t="shared" si="5"/>
        <v>118.16</v>
      </c>
      <c r="BR6" s="16">
        <f t="shared" si="5"/>
        <v>6272.57</v>
      </c>
      <c r="BS6" s="16">
        <f t="shared" si="5"/>
        <v>0</v>
      </c>
      <c r="BT6" s="22">
        <f t="shared" si="5"/>
        <v>0</v>
      </c>
    </row>
    <row r="7" spans="1:72" s="1730" customFormat="1" ht="24.75">
      <c r="A7" s="1720" t="s">
        <v>1699</v>
      </c>
      <c r="B7" s="1720" t="s">
        <v>1700</v>
      </c>
      <c r="C7" s="1720" t="s">
        <v>1701</v>
      </c>
      <c r="D7" s="1720" t="s">
        <v>1702</v>
      </c>
      <c r="E7" s="1720" t="s">
        <v>1703</v>
      </c>
      <c r="F7" s="1720" t="s">
        <v>1704</v>
      </c>
      <c r="G7" s="1741" t="s">
        <v>1705</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1706</v>
      </c>
      <c r="AV7" s="23" t="s">
        <v>1707</v>
      </c>
      <c r="AW7" s="1729" t="s">
        <v>1708</v>
      </c>
      <c r="AX7" s="23" t="s">
        <v>1701</v>
      </c>
      <c r="AY7" s="1497" t="s">
        <v>1709</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1710</v>
      </c>
      <c r="H8" s="1747" t="s">
        <v>1711</v>
      </c>
      <c r="I8" s="1748"/>
      <c r="J8" s="1510"/>
      <c r="K8" s="1510"/>
      <c r="L8" s="1510"/>
      <c r="M8" s="1510"/>
      <c r="N8" s="1510"/>
      <c r="O8" s="1510"/>
      <c r="P8" s="1510"/>
      <c r="Q8" s="1510"/>
      <c r="R8" s="1510"/>
      <c r="S8" s="1510"/>
      <c r="T8" s="1510"/>
      <c r="U8" s="1510"/>
      <c r="V8" s="1749"/>
      <c r="W8" s="1510"/>
      <c r="X8" s="1510"/>
      <c r="Y8" s="1510"/>
      <c r="Z8" s="1510"/>
      <c r="AA8" s="1749"/>
      <c r="AB8" s="1750"/>
      <c r="AC8" s="916" t="s">
        <v>1712</v>
      </c>
      <c r="AD8" s="1751"/>
      <c r="AE8" s="1743"/>
      <c r="AF8" s="1510"/>
      <c r="AG8" s="1510"/>
      <c r="AH8" s="1510"/>
      <c r="AI8" s="1510"/>
      <c r="AJ8" s="1510"/>
      <c r="AK8" s="1510"/>
      <c r="AL8" s="1510"/>
      <c r="AM8" s="1510"/>
      <c r="AN8" s="1510"/>
      <c r="AO8" s="1510"/>
      <c r="AP8" s="1510"/>
      <c r="AQ8" s="1510"/>
      <c r="AR8" s="1510"/>
      <c r="AS8" s="1510"/>
      <c r="AT8" s="1199" t="s">
        <v>1713</v>
      </c>
      <c r="AU8" s="1745" t="s">
        <v>1714</v>
      </c>
      <c r="AV8" s="1199"/>
      <c r="AW8" s="1728"/>
      <c r="AX8" s="1199"/>
      <c r="AY8" s="1729" t="s">
        <v>1715</v>
      </c>
      <c r="AZ8" s="1509" t="s">
        <v>1716</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9"/>
      <c r="H9" s="1753" t="s">
        <v>1717</v>
      </c>
      <c r="I9" s="1754" t="s">
        <v>3172</v>
      </c>
      <c r="J9" s="916"/>
      <c r="K9" s="1754" t="s">
        <v>3172</v>
      </c>
      <c r="L9" s="916"/>
      <c r="M9" s="1754" t="s">
        <v>3172</v>
      </c>
      <c r="N9" s="916"/>
      <c r="O9" s="1754" t="s">
        <v>3177</v>
      </c>
      <c r="P9" s="916"/>
      <c r="Q9" s="1754" t="s">
        <v>3177</v>
      </c>
      <c r="R9" s="916"/>
      <c r="S9" s="1754" t="s">
        <v>3177</v>
      </c>
      <c r="T9" s="916"/>
      <c r="U9" s="1754"/>
      <c r="V9" s="916"/>
      <c r="W9" s="1754"/>
      <c r="X9" s="1755"/>
      <c r="Y9" s="1754"/>
      <c r="Z9" s="916"/>
      <c r="AA9" s="1754"/>
      <c r="AB9" s="916"/>
      <c r="AC9" s="1746" t="s">
        <v>1717</v>
      </c>
      <c r="AD9" s="15" t="s">
        <v>1718</v>
      </c>
      <c r="AE9" s="1205"/>
      <c r="AF9" s="15" t="s">
        <v>1719</v>
      </c>
      <c r="AG9" s="1205"/>
      <c r="AH9" s="15" t="s">
        <v>1718</v>
      </c>
      <c r="AI9" s="1205"/>
      <c r="AJ9" s="15" t="s">
        <v>1719</v>
      </c>
      <c r="AK9" s="1205"/>
      <c r="AL9" s="15" t="s">
        <v>1718</v>
      </c>
      <c r="AM9" s="1205"/>
      <c r="AN9" s="15" t="s">
        <v>1719</v>
      </c>
      <c r="AO9" s="1205"/>
      <c r="AP9" s="15" t="s">
        <v>1718</v>
      </c>
      <c r="AQ9" s="1205"/>
      <c r="AR9" s="15" t="s">
        <v>1719</v>
      </c>
      <c r="AS9" s="1756"/>
      <c r="AT9" s="1745"/>
      <c r="AU9" s="1745" t="s">
        <v>1720</v>
      </c>
      <c r="AV9" s="1199"/>
      <c r="AW9" s="1728"/>
      <c r="AX9" s="1199"/>
      <c r="AY9" s="28"/>
      <c r="AZ9" s="28" t="s">
        <v>1710</v>
      </c>
      <c r="BA9" s="1757" t="s">
        <v>1721</v>
      </c>
      <c r="BB9" s="1758"/>
      <c r="BC9" s="1216"/>
      <c r="BD9" s="1216"/>
      <c r="BE9" s="1216"/>
      <c r="BF9" s="1216"/>
      <c r="BG9" s="1216"/>
      <c r="BH9" s="1216"/>
      <c r="BI9" s="1216"/>
      <c r="BJ9" s="1216"/>
      <c r="BK9" s="1759"/>
      <c r="BL9" s="15" t="s">
        <v>1722</v>
      </c>
      <c r="BM9" s="1510"/>
      <c r="BN9" s="1748"/>
      <c r="BO9" s="1510"/>
      <c r="BP9" s="1510"/>
      <c r="BQ9" s="1510"/>
      <c r="BR9" s="1510"/>
      <c r="BS9" s="1510"/>
      <c r="BT9" s="26"/>
    </row>
    <row r="10" spans="1:72" s="1752" customFormat="1" ht="12.75">
      <c r="A10" s="1745"/>
      <c r="B10" s="1745"/>
      <c r="C10" s="1745"/>
      <c r="D10" s="1745"/>
      <c r="E10" s="1745"/>
      <c r="F10" s="1745"/>
      <c r="G10" s="1199"/>
      <c r="H10" s="28"/>
      <c r="I10" s="1754" t="s">
        <v>3131</v>
      </c>
      <c r="J10" s="916"/>
      <c r="K10" s="1760" t="s">
        <v>1283</v>
      </c>
      <c r="L10" s="916"/>
      <c r="M10" s="1760" t="s">
        <v>27</v>
      </c>
      <c r="N10" s="916"/>
      <c r="O10" s="1760" t="s">
        <v>27</v>
      </c>
      <c r="P10" s="916"/>
      <c r="Q10" s="1760" t="s">
        <v>3183</v>
      </c>
      <c r="R10" s="916"/>
      <c r="S10" s="1760" t="s">
        <v>3184</v>
      </c>
      <c r="T10" s="916"/>
      <c r="U10" s="1760"/>
      <c r="V10" s="916"/>
      <c r="W10" s="1760"/>
      <c r="X10" s="916"/>
      <c r="Y10" s="1760"/>
      <c r="Z10" s="916"/>
      <c r="AA10" s="1760"/>
      <c r="AB10" s="916"/>
      <c r="AC10" s="1199"/>
      <c r="AD10" s="15" t="s">
        <v>1723</v>
      </c>
      <c r="AE10" s="1761"/>
      <c r="AF10" s="15" t="s">
        <v>1723</v>
      </c>
      <c r="AG10" s="1761"/>
      <c r="AH10" s="15" t="s">
        <v>1724</v>
      </c>
      <c r="AI10" s="1761"/>
      <c r="AJ10" s="15" t="s">
        <v>1724</v>
      </c>
      <c r="AK10" s="1761"/>
      <c r="AL10" s="15" t="s">
        <v>1725</v>
      </c>
      <c r="AM10" s="1205"/>
      <c r="AN10" s="15" t="s">
        <v>1725</v>
      </c>
      <c r="AO10" s="1205"/>
      <c r="AP10" s="15" t="s">
        <v>1726</v>
      </c>
      <c r="AQ10" s="1205"/>
      <c r="AR10" s="15" t="s">
        <v>1726</v>
      </c>
      <c r="AS10" s="1205"/>
      <c r="AT10" s="1745"/>
      <c r="AU10" s="1745"/>
      <c r="AV10" s="1199"/>
      <c r="AW10" s="1728"/>
      <c r="AX10" s="1199"/>
      <c r="AY10" s="28"/>
      <c r="AZ10" s="28"/>
      <c r="BA10" s="1762" t="s">
        <v>1717</v>
      </c>
      <c r="BB10" s="1763"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9"/>
      <c r="H11" s="1762"/>
      <c r="I11" s="1765"/>
      <c r="J11" s="1766"/>
      <c r="K11" s="1765"/>
      <c r="L11" s="1766"/>
      <c r="M11" s="1765"/>
      <c r="N11" s="1766"/>
      <c r="O11" s="1765"/>
      <c r="P11" s="1766"/>
      <c r="Q11" s="1765"/>
      <c r="R11" s="1766"/>
      <c r="S11" s="1765"/>
      <c r="T11" s="1766"/>
      <c r="U11" s="1765"/>
      <c r="V11" s="1766"/>
      <c r="W11" s="1765"/>
      <c r="X11" s="1766"/>
      <c r="Y11" s="1765"/>
      <c r="Z11" s="1766"/>
      <c r="AA11" s="1765"/>
      <c r="AB11" s="1766"/>
      <c r="AC11" s="1199"/>
      <c r="AD11" s="1767" t="s">
        <v>1727</v>
      </c>
      <c r="AE11" s="1511"/>
      <c r="AF11" s="1767" t="s">
        <v>1727</v>
      </c>
      <c r="AG11" s="1511"/>
      <c r="AH11" s="1767" t="s">
        <v>1728</v>
      </c>
      <c r="AI11" s="1768"/>
      <c r="AJ11" s="1767" t="s">
        <v>1728</v>
      </c>
      <c r="AK11" s="1511"/>
      <c r="AL11" s="1509"/>
      <c r="AM11" s="1511"/>
      <c r="AN11" s="1509"/>
      <c r="AO11" s="1511"/>
      <c r="AP11" s="1509"/>
      <c r="AQ11" s="1511"/>
      <c r="AR11" s="1509"/>
      <c r="AS11" s="1511"/>
      <c r="AT11" s="1728"/>
      <c r="AU11" s="1745"/>
      <c r="AV11" s="1199"/>
      <c r="AW11" s="1728"/>
      <c r="AX11" s="1199"/>
      <c r="AY11" s="28"/>
      <c r="AZ11" s="28"/>
      <c r="BA11" s="28"/>
      <c r="BB11" s="1750" t="str">
        <f>I10</f>
        <v>住宅</v>
      </c>
      <c r="BC11" s="1750" t="str">
        <f>K10</f>
        <v>商业</v>
      </c>
      <c r="BD11" s="1750" t="str">
        <f>M10</f>
        <v>办公</v>
      </c>
      <c r="BE11" s="1750" t="str">
        <f>O10</f>
        <v>办公</v>
      </c>
      <c r="BF11" s="1750" t="str">
        <f>Q10</f>
        <v>仓储</v>
      </c>
      <c r="BG11" s="1750" t="str">
        <f>S10</f>
        <v>车库</v>
      </c>
      <c r="BH11" s="1750">
        <f>U10</f>
        <v>0</v>
      </c>
      <c r="BI11" s="1750">
        <f>W10</f>
        <v>0</v>
      </c>
      <c r="BJ11" s="1750">
        <f>Y10</f>
        <v>0</v>
      </c>
      <c r="BK11" s="1750">
        <f>AA10</f>
        <v>0</v>
      </c>
      <c r="BL11" s="1199"/>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6" t="s">
        <v>1730</v>
      </c>
      <c r="W12" s="11" t="s">
        <v>1729</v>
      </c>
      <c r="X12" s="11" t="s">
        <v>1730</v>
      </c>
      <c r="Y12" s="11" t="s">
        <v>1729</v>
      </c>
      <c r="Z12" s="11" t="s">
        <v>1730</v>
      </c>
      <c r="AA12" s="11" t="s">
        <v>1729</v>
      </c>
      <c r="AB12" s="11" t="s">
        <v>1730</v>
      </c>
      <c r="AC12" s="1772"/>
      <c r="AD12" s="1499"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0" t="s">
        <v>1730</v>
      </c>
      <c r="AT12" s="1773"/>
      <c r="AU12" s="1770"/>
      <c r="AV12" s="31"/>
      <c r="AW12" s="1729"/>
      <c r="AX12" s="31"/>
      <c r="AY12" s="1774"/>
      <c r="AZ12" s="28"/>
      <c r="BA12" s="1762"/>
      <c r="BB12" s="24">
        <f>I11</f>
        <v>0</v>
      </c>
      <c r="BC12" s="1775">
        <f>K11</f>
        <v>0</v>
      </c>
      <c r="BD12" s="1775">
        <f>M11</f>
        <v>0</v>
      </c>
      <c r="BE12" s="1750">
        <f>O11</f>
        <v>0</v>
      </c>
      <c r="BF12" s="1750">
        <f>Q11</f>
        <v>0</v>
      </c>
      <c r="BG12" s="1750">
        <f>S11</f>
        <v>0</v>
      </c>
      <c r="BH12" s="1750">
        <f>U11</f>
        <v>0</v>
      </c>
      <c r="BI12" s="1750">
        <f>W11</f>
        <v>0</v>
      </c>
      <c r="BJ12" s="1750">
        <f>Y11</f>
        <v>0</v>
      </c>
      <c r="BK12" s="1750">
        <f>AA11</f>
        <v>0</v>
      </c>
      <c r="BL12" s="1199"/>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9"/>
      <c r="B13" s="1179"/>
      <c r="C13" s="1179" t="str">
        <f>面积表!A4</f>
        <v>1#住宅楼</v>
      </c>
      <c r="D13" s="1776" t="s">
        <v>3171</v>
      </c>
      <c r="E13" s="16">
        <f>IF($C$3="是",ROUND($A$3*G13/$B$3,2),ROUND($A$3*(G13-AT13)/$B$3,2))</f>
        <v>1580.28</v>
      </c>
      <c r="F13" s="32"/>
      <c r="G13" s="33">
        <f>H13+AC13+AT13</f>
        <v>4030.4</v>
      </c>
      <c r="H13" s="20">
        <f>SUMIF(I$12:AB$12,"总值",I13:AB13)</f>
        <v>3238.3</v>
      </c>
      <c r="I13" s="1777">
        <f>面积表!D4</f>
        <v>3238.3</v>
      </c>
      <c r="J13" s="1777"/>
      <c r="K13" s="1777"/>
      <c r="L13" s="1777"/>
      <c r="M13" s="1777"/>
      <c r="N13" s="1777"/>
      <c r="O13" s="1777"/>
      <c r="P13" s="1777"/>
      <c r="Q13" s="1777"/>
      <c r="R13" s="1777"/>
      <c r="S13" s="1777"/>
      <c r="T13" s="1777"/>
      <c r="U13" s="1777"/>
      <c r="V13" s="1777"/>
      <c r="W13" s="1777"/>
      <c r="X13" s="1777"/>
      <c r="Y13" s="1777"/>
      <c r="Z13" s="1777"/>
      <c r="AA13" s="1777"/>
      <c r="AB13" s="1777"/>
      <c r="AC13" s="16">
        <f>SUMIF(AD$12:AS$12,"总值",AD13:AS13)</f>
        <v>792.1</v>
      </c>
      <c r="AD13" s="1778"/>
      <c r="AE13" s="1778"/>
      <c r="AF13" s="1778"/>
      <c r="AG13" s="1778"/>
      <c r="AH13" s="1778"/>
      <c r="AI13" s="1778"/>
      <c r="AJ13" s="1778"/>
      <c r="AK13" s="1778"/>
      <c r="AL13" s="1778"/>
      <c r="AM13" s="1778"/>
      <c r="AN13" s="1778">
        <f>面积表!L4+面积表!M4</f>
        <v>792.1</v>
      </c>
      <c r="AO13" s="1778"/>
      <c r="AP13" s="1778"/>
      <c r="AQ13" s="1778"/>
      <c r="AR13" s="1778"/>
      <c r="AS13" s="1778"/>
      <c r="AT13" s="1779"/>
      <c r="AU13" s="1780"/>
      <c r="AV13" s="11">
        <f t="shared" ref="AV13:AX17" si="6">A13</f>
        <v>0</v>
      </c>
      <c r="AW13" s="11">
        <f t="shared" si="6"/>
        <v>0</v>
      </c>
      <c r="AX13" s="11" t="str">
        <f t="shared" si="6"/>
        <v>1#住宅楼</v>
      </c>
      <c r="AY13" s="1499">
        <f>ROUND($AY$6*AZ13/$AZ$5,2)</f>
        <v>1580.28</v>
      </c>
      <c r="AZ13" s="16">
        <f>BA13+BL13</f>
        <v>4030.4</v>
      </c>
      <c r="BA13" s="16">
        <f>SUM(BB13:BK13)</f>
        <v>3238.3</v>
      </c>
      <c r="BB13" s="16">
        <f>IF($D13="是",I13-J13,0)</f>
        <v>3238.3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30" customFormat="1" ht="12.75">
      <c r="A14" s="1179"/>
      <c r="B14" s="1179"/>
      <c r="C14" s="1179" t="str">
        <f>面积表!A5</f>
        <v>2#住宅楼</v>
      </c>
      <c r="D14" s="1776" t="s">
        <v>3171</v>
      </c>
      <c r="E14" s="16">
        <f>IF($C$3="是",ROUND($A$3*G14/$B$3,2),ROUND($A$3*(G14-AT14)/$B$3,2))</f>
        <v>1325.6</v>
      </c>
      <c r="F14" s="32"/>
      <c r="G14" s="33">
        <f>H14+AC14+AT14</f>
        <v>3380.8700000000003</v>
      </c>
      <c r="H14" s="20">
        <f>SUMIF(I$12:AB$12,"总值",I14:AB14)</f>
        <v>3190.8</v>
      </c>
      <c r="I14" s="1777">
        <f>面积表!D5</f>
        <v>3190.8</v>
      </c>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190.07</v>
      </c>
      <c r="AD14" s="1778"/>
      <c r="AE14" s="1778"/>
      <c r="AF14" s="1778"/>
      <c r="AG14" s="1778"/>
      <c r="AH14" s="1778"/>
      <c r="AI14" s="1778"/>
      <c r="AJ14" s="1778"/>
      <c r="AK14" s="1778"/>
      <c r="AL14" s="1778"/>
      <c r="AM14" s="1778"/>
      <c r="AN14" s="1778">
        <f>面积表!M5</f>
        <v>190.07</v>
      </c>
      <c r="AO14" s="1778"/>
      <c r="AP14" s="1778"/>
      <c r="AQ14" s="1778"/>
      <c r="AR14" s="1778"/>
      <c r="AS14" s="1778"/>
      <c r="AT14" s="1779"/>
      <c r="AU14" s="1780"/>
      <c r="AV14" s="11">
        <f t="shared" si="6"/>
        <v>0</v>
      </c>
      <c r="AW14" s="11">
        <f t="shared" si="6"/>
        <v>0</v>
      </c>
      <c r="AX14" s="11" t="str">
        <f t="shared" si="6"/>
        <v>2#住宅楼</v>
      </c>
      <c r="AY14" s="1499">
        <f>ROUND($AY$6*AZ14/$AZ$5,2)</f>
        <v>1325.6</v>
      </c>
      <c r="AZ14" s="16">
        <f>BA14+BL14</f>
        <v>3380.8700000000003</v>
      </c>
      <c r="BA14" s="16">
        <f>SUM(BB14:BK14)</f>
        <v>3190.8</v>
      </c>
      <c r="BB14" s="16">
        <f>IF($D14="是",I14-J14,0)</f>
        <v>3190.8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30" customFormat="1" ht="12.75">
      <c r="A15" s="1179"/>
      <c r="B15" s="1179"/>
      <c r="C15" s="1179" t="str">
        <f>面积表!A6</f>
        <v>3#住宅楼</v>
      </c>
      <c r="D15" s="1776" t="s">
        <v>3171</v>
      </c>
      <c r="E15" s="16">
        <f>IF($C$3="是",ROUND($A$3*G15/$B$3,2),ROUND($A$3*(G15-AT15)/$B$3,2))</f>
        <v>2348.91</v>
      </c>
      <c r="F15" s="32"/>
      <c r="G15" s="33">
        <f>H15+AC15+AT15</f>
        <v>5990.76</v>
      </c>
      <c r="H15" s="20">
        <f>SUMIF(I$12:AB$12,"总值",I15:AB15)</f>
        <v>4841.55</v>
      </c>
      <c r="I15" s="1777">
        <f>面积表!D6</f>
        <v>4841.55</v>
      </c>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1149.21</v>
      </c>
      <c r="AD15" s="1778"/>
      <c r="AE15" s="1778"/>
      <c r="AF15" s="1778"/>
      <c r="AG15" s="1778"/>
      <c r="AH15" s="1778"/>
      <c r="AI15" s="1778"/>
      <c r="AJ15" s="1778"/>
      <c r="AK15" s="1778"/>
      <c r="AL15" s="1778"/>
      <c r="AM15" s="1778"/>
      <c r="AN15" s="1778">
        <f>面积表!L6+面积表!M6</f>
        <v>1149.21</v>
      </c>
      <c r="AO15" s="1778"/>
      <c r="AP15" s="1778"/>
      <c r="AQ15" s="1778"/>
      <c r="AR15" s="1778"/>
      <c r="AS15" s="1778"/>
      <c r="AT15" s="1779"/>
      <c r="AU15" s="1780"/>
      <c r="AV15" s="11">
        <f t="shared" si="6"/>
        <v>0</v>
      </c>
      <c r="AW15" s="11">
        <f t="shared" si="6"/>
        <v>0</v>
      </c>
      <c r="AX15" s="11" t="str">
        <f t="shared" si="6"/>
        <v>3#住宅楼</v>
      </c>
      <c r="AY15" s="1499">
        <f>ROUND($AY$6*AZ15/$AZ$5,2)</f>
        <v>2348.91</v>
      </c>
      <c r="AZ15" s="16">
        <f>BA15+BL15</f>
        <v>5990.76</v>
      </c>
      <c r="BA15" s="16">
        <f>SUM(BB15:BK15)</f>
        <v>4841.55</v>
      </c>
      <c r="BB15" s="16">
        <f>IF($D15="是",I15-J15,0)</f>
        <v>4841.55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30" customFormat="1" ht="12.75">
      <c r="A16" s="1179"/>
      <c r="B16" s="1179"/>
      <c r="C16" s="1179" t="str">
        <f>面积表!A7</f>
        <v>4#住宅楼</v>
      </c>
      <c r="D16" s="1776" t="s">
        <v>3171</v>
      </c>
      <c r="E16" s="16">
        <f>IF($C$3="是",ROUND($A$3*G16/$B$3,2),ROUND($A$3*(G16-AT16)/$B$3,2))</f>
        <v>2070.14</v>
      </c>
      <c r="F16" s="32"/>
      <c r="G16" s="33">
        <f>H16+AC16+AT16</f>
        <v>5279.77</v>
      </c>
      <c r="H16" s="20">
        <f>SUMIF(I$12:AB$12,"总值",I16:AB16)</f>
        <v>5030.88</v>
      </c>
      <c r="I16" s="1777">
        <f>面积表!D7</f>
        <v>5030.88</v>
      </c>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248.89</v>
      </c>
      <c r="AD16" s="1778"/>
      <c r="AE16" s="1778"/>
      <c r="AF16" s="1778"/>
      <c r="AG16" s="1778"/>
      <c r="AH16" s="1778"/>
      <c r="AI16" s="1778"/>
      <c r="AJ16" s="1778"/>
      <c r="AK16" s="1778"/>
      <c r="AL16" s="1778"/>
      <c r="AM16" s="1778"/>
      <c r="AN16" s="1778">
        <f>面积表!K7-50+面积表!M7</f>
        <v>248.89</v>
      </c>
      <c r="AO16" s="1778"/>
      <c r="AP16" s="1778"/>
      <c r="AQ16" s="1778"/>
      <c r="AR16" s="1778"/>
      <c r="AS16" s="1778"/>
      <c r="AT16" s="1779"/>
      <c r="AU16" s="1780"/>
      <c r="AV16" s="11">
        <f t="shared" si="6"/>
        <v>0</v>
      </c>
      <c r="AW16" s="11">
        <f t="shared" si="6"/>
        <v>0</v>
      </c>
      <c r="AX16" s="11" t="str">
        <f t="shared" si="6"/>
        <v>4#住宅楼</v>
      </c>
      <c r="AY16" s="1499">
        <f>ROUND($AY$6*AZ16/$AZ$5,2)</f>
        <v>2070.14</v>
      </c>
      <c r="AZ16" s="16">
        <f>BA16+BL16</f>
        <v>5279.77</v>
      </c>
      <c r="BA16" s="16">
        <f>SUM(BB16:BK16)</f>
        <v>5030.88</v>
      </c>
      <c r="BB16" s="16">
        <f>IF($D16="是",I16-J16,0)</f>
        <v>5030.88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30" customFormat="1" ht="12.75">
      <c r="A17" s="1179"/>
      <c r="B17" s="1179"/>
      <c r="C17" s="1179" t="str">
        <f>面积表!A8</f>
        <v>5#住宅楼</v>
      </c>
      <c r="D17" s="1776" t="s">
        <v>3171</v>
      </c>
      <c r="E17" s="16">
        <f>IF($C$3="是",ROUND($A$3*G17/$B$3,2),ROUND($A$3*(G17-AT17)/$B$3,2))</f>
        <v>4612.3</v>
      </c>
      <c r="F17" s="32"/>
      <c r="G17" s="33">
        <f>H17+AC17+AT17</f>
        <v>11763.41</v>
      </c>
      <c r="H17" s="20">
        <f>SUMIF(I$12:AB$12,"总值",I17:AB17)</f>
        <v>11302.98</v>
      </c>
      <c r="I17" s="1777">
        <f>面积表!D8</f>
        <v>11302.98</v>
      </c>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460.43</v>
      </c>
      <c r="AD17" s="1778"/>
      <c r="AE17" s="1778"/>
      <c r="AF17" s="1778"/>
      <c r="AG17" s="1778"/>
      <c r="AH17" s="1778"/>
      <c r="AI17" s="1778"/>
      <c r="AJ17" s="1778"/>
      <c r="AK17" s="1778"/>
      <c r="AL17" s="1778"/>
      <c r="AM17" s="1778"/>
      <c r="AN17" s="1778">
        <f>面积表!M8</f>
        <v>460.43</v>
      </c>
      <c r="AO17" s="1778"/>
      <c r="AP17" s="1778"/>
      <c r="AQ17" s="1778"/>
      <c r="AR17" s="1778"/>
      <c r="AS17" s="1778"/>
      <c r="AT17" s="1779"/>
      <c r="AU17" s="1780"/>
      <c r="AV17" s="11">
        <f t="shared" si="6"/>
        <v>0</v>
      </c>
      <c r="AW17" s="11">
        <f t="shared" si="6"/>
        <v>0</v>
      </c>
      <c r="AX17" s="11" t="str">
        <f t="shared" si="6"/>
        <v>5#住宅楼</v>
      </c>
      <c r="AY17" s="1499">
        <f>ROUND($AY$6*AZ17/$AZ$5,2)</f>
        <v>4612.3</v>
      </c>
      <c r="AZ17" s="16">
        <f>BA17+BL17</f>
        <v>11763.41</v>
      </c>
      <c r="BA17" s="16">
        <f>SUM(BB17:BK17)</f>
        <v>11302.98</v>
      </c>
      <c r="BB17" s="16">
        <f>IF($D17="是",I17-J17,0)</f>
        <v>11302.98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9" t="str">
        <f>面积表!A9</f>
        <v>6#住宅楼</v>
      </c>
      <c r="D18" s="1776" t="s">
        <v>3171</v>
      </c>
      <c r="E18" s="35">
        <f t="shared" ref="E18:E112" si="7">IF($C$3="是",ROUND($A$3*G18/$B$3,2),ROUND($A$3*(G18-AT18)/$B$3,2))</f>
        <v>4023.44</v>
      </c>
      <c r="F18" s="36"/>
      <c r="G18" s="37">
        <f t="shared" ref="G18:G109" si="8">H18+AC18+AT18</f>
        <v>10261.550000000001</v>
      </c>
      <c r="H18" s="38">
        <f t="shared" ref="H18:H109" si="9">SUMIF(I$12:AB$12,"总值",I18:AB18)</f>
        <v>9939.19</v>
      </c>
      <c r="I18" s="1777">
        <f>面积表!D9</f>
        <v>9939.19</v>
      </c>
      <c r="J18" s="39"/>
      <c r="K18" s="39"/>
      <c r="L18" s="39"/>
      <c r="M18" s="39"/>
      <c r="N18" s="39"/>
      <c r="O18" s="39"/>
      <c r="P18" s="39"/>
      <c r="Q18" s="1777"/>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2"/>
      <c r="AV18" s="1493">
        <f t="shared" ref="AV18:AV112" si="11">A18</f>
        <v>0</v>
      </c>
      <c r="AW18" s="1493">
        <f t="shared" ref="AW18:AW112" si="12">B18</f>
        <v>0</v>
      </c>
      <c r="AX18" s="1493" t="str">
        <f t="shared" ref="AX18:AX112" si="13">C18</f>
        <v>6#住宅楼</v>
      </c>
      <c r="AY18" s="42">
        <f t="shared" ref="AY18:AY109" si="14">ROUND($AY$6*AZ18/$AZ$5,2)</f>
        <v>4023.44</v>
      </c>
      <c r="AZ18" s="35">
        <f t="shared" ref="AZ18:AZ109" si="15">BA18+BL18</f>
        <v>10261.550000000001</v>
      </c>
      <c r="BA18" s="35">
        <f t="shared" ref="BA18:BA109" si="16">SUM(BB18:BK18)</f>
        <v>9939.19</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9" t="str">
        <f>面积表!A10</f>
        <v>7#住宅楼</v>
      </c>
      <c r="D19" s="1776" t="s">
        <v>3171</v>
      </c>
      <c r="E19" s="35">
        <f t="shared" si="7"/>
        <v>4021.44</v>
      </c>
      <c r="F19" s="36"/>
      <c r="G19" s="37">
        <f t="shared" si="8"/>
        <v>10256.44</v>
      </c>
      <c r="H19" s="38">
        <f t="shared" si="9"/>
        <v>9918.15</v>
      </c>
      <c r="I19" s="1777">
        <f>面积表!D10</f>
        <v>9918.15</v>
      </c>
      <c r="J19" s="39"/>
      <c r="K19" s="39"/>
      <c r="L19" s="39"/>
      <c r="M19" s="39"/>
      <c r="N19" s="39"/>
      <c r="O19" s="39"/>
      <c r="P19" s="39"/>
      <c r="Q19" s="1777"/>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2"/>
      <c r="AV19" s="1493">
        <f t="shared" si="11"/>
        <v>0</v>
      </c>
      <c r="AW19" s="1493">
        <f t="shared" si="12"/>
        <v>0</v>
      </c>
      <c r="AX19" s="1493" t="str">
        <f t="shared" si="13"/>
        <v>7#住宅楼</v>
      </c>
      <c r="AY19" s="42">
        <f t="shared" si="14"/>
        <v>4021.44</v>
      </c>
      <c r="AZ19" s="35">
        <f t="shared" si="15"/>
        <v>10256.44</v>
      </c>
      <c r="BA19" s="35">
        <f t="shared" si="16"/>
        <v>9918.15</v>
      </c>
      <c r="BB19" s="35">
        <f t="shared" si="17"/>
        <v>9918.15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9" t="str">
        <f>面积表!A11</f>
        <v>8#配套楼</v>
      </c>
      <c r="D20" s="1776" t="s">
        <v>3171</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t="str">
        <f t="shared" si="13"/>
        <v>8#配套楼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9" t="str">
        <f>面积表!A12</f>
        <v>9#分界室</v>
      </c>
      <c r="D21" s="1776" t="s">
        <v>3171</v>
      </c>
      <c r="E21" s="35">
        <f t="shared" si="7"/>
        <v>15.68</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2"/>
      <c r="AV21" s="1493">
        <f t="shared" si="11"/>
        <v>0</v>
      </c>
      <c r="AW21" s="1493">
        <f t="shared" si="12"/>
        <v>0</v>
      </c>
      <c r="AX21" s="1493" t="str">
        <f t="shared" si="13"/>
        <v>9#分界室</v>
      </c>
      <c r="AY21" s="42">
        <f t="shared" si="14"/>
        <v>15.68</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9" t="str">
        <f>面积表!A13</f>
        <v>10#分界室</v>
      </c>
      <c r="D22" s="1776" t="s">
        <v>3171</v>
      </c>
      <c r="E22" s="35">
        <f t="shared" si="7"/>
        <v>15.68</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2"/>
      <c r="AV22" s="1493">
        <f t="shared" si="11"/>
        <v>0</v>
      </c>
      <c r="AW22" s="1493">
        <f t="shared" si="12"/>
        <v>0</v>
      </c>
      <c r="AX22" s="1493" t="str">
        <f t="shared" si="13"/>
        <v>10#分界室</v>
      </c>
      <c r="AY22" s="42">
        <f t="shared" si="14"/>
        <v>15.68</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9" t="str">
        <f>面积表!A14</f>
        <v>11#分界室</v>
      </c>
      <c r="D23" s="1776" t="s">
        <v>3171</v>
      </c>
      <c r="E23" s="35">
        <f t="shared" si="7"/>
        <v>15.68</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2"/>
      <c r="AV23" s="1493">
        <f t="shared" si="11"/>
        <v>0</v>
      </c>
      <c r="AW23" s="1493">
        <f t="shared" si="12"/>
        <v>0</v>
      </c>
      <c r="AX23" s="1493" t="str">
        <f t="shared" si="13"/>
        <v>11#分界室</v>
      </c>
      <c r="AY23" s="42">
        <f t="shared" si="14"/>
        <v>15.68</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9" t="str">
        <f>面积表!A15</f>
        <v>CK01#地下车库</v>
      </c>
      <c r="D24" s="1776" t="s">
        <v>3171</v>
      </c>
      <c r="E24" s="35">
        <f>IF($C$3="是",ROUND($A$3*G24/$B$3,2),ROUND($A$3*(G24-AT24)/$B$3,2))</f>
        <v>4905.8100000000004</v>
      </c>
      <c r="F24" s="36"/>
      <c r="G24" s="37">
        <f>H24+AC24+AT24</f>
        <v>24766.639999999999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12511.97</v>
      </c>
      <c r="AD24" s="40"/>
      <c r="AE24" s="40"/>
      <c r="AF24" s="40"/>
      <c r="AG24" s="40"/>
      <c r="AH24" s="40"/>
      <c r="AI24" s="40"/>
      <c r="AJ24" s="40"/>
      <c r="AK24" s="40"/>
      <c r="AL24" s="40"/>
      <c r="AM24" s="40"/>
      <c r="AN24" s="3357">
        <f>面积表!K15+面积表!I19</f>
        <v>12511.97</v>
      </c>
      <c r="AO24" s="40"/>
      <c r="AP24" s="40"/>
      <c r="AQ24" s="40"/>
      <c r="AR24" s="40"/>
      <c r="AS24" s="40"/>
      <c r="AT24" s="41">
        <f>面积表!N19+面积表!O19</f>
        <v>12254.67</v>
      </c>
      <c r="AU24" s="1782"/>
      <c r="AV24" s="1493">
        <f t="shared" si="11"/>
        <v>0</v>
      </c>
      <c r="AW24" s="1493">
        <f t="shared" si="12"/>
        <v>0</v>
      </c>
      <c r="AX24" s="1493" t="str">
        <f t="shared" si="13"/>
        <v>CK01#地下车库</v>
      </c>
      <c r="AY24" s="42">
        <f t="shared" si="14"/>
        <v>4905.8100000000004</v>
      </c>
      <c r="AZ24" s="35">
        <f t="shared" si="15"/>
        <v>12511.97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12511.97</v>
      </c>
      <c r="BM24" s="35">
        <f t="shared" si="28"/>
        <v>0</v>
      </c>
      <c r="BN24" s="35">
        <f t="shared" si="29"/>
        <v>0</v>
      </c>
      <c r="BO24" s="35">
        <f t="shared" si="30"/>
        <v>0</v>
      </c>
      <c r="BP24" s="35">
        <f t="shared" si="31"/>
        <v>0</v>
      </c>
      <c r="BQ24" s="35">
        <f t="shared" si="32"/>
        <v>0</v>
      </c>
      <c r="BR24" s="35">
        <f t="shared" si="33"/>
        <v>12511.97</v>
      </c>
      <c r="BS24" s="35">
        <f t="shared" si="34"/>
        <v>0</v>
      </c>
      <c r="BT24" s="43">
        <f>IF($D24="是",AR24-AS24,0)</f>
        <v>0</v>
      </c>
    </row>
    <row r="25" spans="1:72" ht="28.5" customHeight="1">
      <c r="A25" s="9"/>
      <c r="B25" s="34"/>
      <c r="C25" s="1179" t="str">
        <f>面积表!A16</f>
        <v>1#、2#楼梯间（1#人防出入口）</v>
      </c>
      <c r="D25" s="1781" t="s">
        <v>3171</v>
      </c>
      <c r="E25" s="35">
        <f t="shared" si="7"/>
        <v>25.66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2"/>
      <c r="AV25" s="1493">
        <f t="shared" si="11"/>
        <v>0</v>
      </c>
      <c r="AW25" s="1493">
        <f t="shared" si="12"/>
        <v>0</v>
      </c>
      <c r="AX25" s="1493" t="str">
        <f t="shared" si="13"/>
        <v>1#、2#楼梯间（1#人防出入口）</v>
      </c>
      <c r="AY25" s="42">
        <f t="shared" si="14"/>
        <v>25.66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9" t="str">
        <f>面积表!A17</f>
        <v>3#、4#楼梯间（2#人防出入口）</v>
      </c>
      <c r="D26" s="1781" t="s">
        <v>3171</v>
      </c>
      <c r="E26" s="35">
        <f t="shared" si="7"/>
        <v>25.66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2"/>
      <c r="AV26" s="1493">
        <f t="shared" si="11"/>
        <v>0</v>
      </c>
      <c r="AW26" s="1493">
        <f t="shared" si="12"/>
        <v>0</v>
      </c>
      <c r="AX26" s="1493" t="str">
        <f t="shared" si="13"/>
        <v>3#、4#楼梯间（2#人防出入口）</v>
      </c>
      <c r="AY26" s="42">
        <f t="shared" si="14"/>
        <v>25.66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9" t="str">
        <f>面积表!A18</f>
        <v>5#楼梯间（3#人防出入口）</v>
      </c>
      <c r="D27" s="1781" t="s">
        <v>3171</v>
      </c>
      <c r="E27" s="35">
        <f t="shared" si="7"/>
        <v>13.7</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2"/>
      <c r="AV27" s="1493">
        <f t="shared" si="11"/>
        <v>0</v>
      </c>
      <c r="AW27" s="1493">
        <f t="shared" si="12"/>
        <v>0</v>
      </c>
      <c r="AX27" s="1493" t="str">
        <f t="shared" si="13"/>
        <v>5#楼梯间（3#人防出入口）</v>
      </c>
      <c r="AY27" s="42">
        <f t="shared" si="14"/>
        <v>13.7</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9"/>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2" t="s">
        <v>0</v>
      </c>
      <c r="B1" s="3432" t="s">
        <v>4</v>
      </c>
      <c r="C1" s="3432" t="s">
        <v>5</v>
      </c>
      <c r="D1" s="3433" t="s">
        <v>53</v>
      </c>
      <c r="E1" s="3433" t="s">
        <v>54</v>
      </c>
      <c r="F1" s="3433"/>
      <c r="G1" s="3433"/>
      <c r="H1" s="3433"/>
      <c r="I1" s="3433"/>
      <c r="J1" s="3433"/>
      <c r="K1" s="3433"/>
      <c r="L1" s="3433"/>
      <c r="M1" s="3433"/>
    </row>
    <row r="2" spans="1:13" ht="27" customHeight="1">
      <c r="A2" s="3432"/>
      <c r="B2" s="3432"/>
      <c r="C2" s="3432"/>
      <c r="D2" s="3433"/>
      <c r="E2" s="3433" t="s">
        <v>37</v>
      </c>
      <c r="F2" s="3433" t="s">
        <v>38</v>
      </c>
      <c r="G2" s="3433"/>
      <c r="H2" s="3433"/>
      <c r="I2" s="3433"/>
      <c r="J2" s="3433" t="s">
        <v>39</v>
      </c>
      <c r="K2" s="3433"/>
      <c r="L2" s="3433"/>
      <c r="M2" s="3433"/>
    </row>
    <row r="3" spans="1:13" ht="28.5">
      <c r="A3" s="3432"/>
      <c r="B3" s="3432"/>
      <c r="C3" s="3432"/>
      <c r="D3" s="3433"/>
      <c r="E3" s="34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3" t="s">
        <v>55</v>
      </c>
      <c r="B9" s="3433"/>
      <c r="C9" s="34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5" sqref="E5:E6"/>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41"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1756</v>
      </c>
      <c r="B1" s="1269"/>
      <c r="C1" s="1269"/>
      <c r="D1" s="1269"/>
      <c r="E1" s="1269"/>
      <c r="F1" s="1269"/>
      <c r="G1" s="1269"/>
      <c r="H1" s="1269"/>
      <c r="I1" s="1269"/>
      <c r="J1" s="1269"/>
      <c r="K1" s="1269"/>
      <c r="L1" s="1269"/>
      <c r="M1" s="1269"/>
      <c r="N1" s="1269"/>
      <c r="O1" s="1269"/>
      <c r="P1" s="1269"/>
    </row>
    <row r="2" spans="1:16" ht="15">
      <c r="A2" s="3443" t="s">
        <v>1757</v>
      </c>
      <c r="B2" s="3443"/>
      <c r="C2" s="3443"/>
      <c r="D2" s="902" t="s">
        <v>1733</v>
      </c>
      <c r="E2" s="1790" t="s">
        <v>1734</v>
      </c>
      <c r="F2" s="2851"/>
      <c r="G2" s="2842"/>
      <c r="H2" s="2843"/>
      <c r="I2" s="2514" t="s">
        <v>1758</v>
      </c>
      <c r="J2" s="2851"/>
      <c r="K2" s="2851"/>
      <c r="L2" s="2851"/>
      <c r="M2" s="2851"/>
      <c r="N2" s="2853"/>
      <c r="O2" s="2851"/>
      <c r="P2" s="2851"/>
    </row>
    <row r="3" spans="1:16" ht="15.75" thickBot="1">
      <c r="A3" s="3444" t="s">
        <v>1731</v>
      </c>
      <c r="B3" s="3444"/>
      <c r="C3" s="3444"/>
      <c r="D3" s="46">
        <f>'数据-基础表'!AY6</f>
        <v>25000</v>
      </c>
      <c r="E3" s="46">
        <f>'数据-基础表'!AZ5</f>
        <v>63761.02</v>
      </c>
      <c r="F3" s="2851">
        <f>E3+面积表!S9+面积表!S5</f>
        <v>85084</v>
      </c>
      <c r="G3" s="1275"/>
      <c r="H3" s="1155" t="s">
        <v>1732</v>
      </c>
      <c r="I3" s="962">
        <f>ROUND('数据-基础表'!B3/'数据-基础表'!A3,2)</f>
        <v>2.5499999999999998</v>
      </c>
      <c r="J3" s="2851"/>
      <c r="K3" s="2851"/>
      <c r="L3" s="2851"/>
      <c r="M3" s="2851"/>
      <c r="N3" s="2853"/>
      <c r="O3" s="2851"/>
      <c r="P3" s="2851"/>
    </row>
    <row r="4" spans="1:16" ht="15">
      <c r="A4" s="3445"/>
      <c r="B4" s="3446"/>
      <c r="C4" s="3447"/>
      <c r="D4" s="1792" t="s">
        <v>1733</v>
      </c>
      <c r="E4" s="1793" t="s">
        <v>1734</v>
      </c>
      <c r="F4" s="2851"/>
      <c r="G4" s="2844" t="s">
        <v>1759</v>
      </c>
      <c r="H4" s="1155" t="s">
        <v>1739</v>
      </c>
      <c r="I4" s="962">
        <f>ROUND(SUMIF('数据-基础表'!I9:AS9,"地上",'数据-基础表'!I5:AS5)/'数据-基础表'!A3,2)</f>
        <v>1.91</v>
      </c>
      <c r="J4" s="2851"/>
      <c r="K4" s="2851"/>
      <c r="L4" s="2851"/>
      <c r="M4" s="2851"/>
      <c r="N4" s="2853"/>
      <c r="O4" s="2851"/>
      <c r="P4" s="2851"/>
    </row>
    <row r="5" spans="1:16">
      <c r="A5" s="47" t="s">
        <v>1735</v>
      </c>
      <c r="B5" s="3448" t="s">
        <v>1736</v>
      </c>
      <c r="C5" s="3448"/>
      <c r="D5" s="48">
        <f>ROUND($D$3*E5/$E$3,2)</f>
        <v>18609.27</v>
      </c>
      <c r="E5" s="49">
        <f>SUMIF('数据-基础表'!$11:$11,"住宅",'数据-基础表'!$5:$5)</f>
        <v>47461.850000000006</v>
      </c>
      <c r="F5" s="2851"/>
      <c r="G5" s="1275"/>
      <c r="H5" s="1155" t="s">
        <v>1732</v>
      </c>
      <c r="I5" s="962">
        <f>ROUND(E31/D31,2)</f>
        <v>2.5499999999999998</v>
      </c>
      <c r="J5" s="2851"/>
      <c r="K5" s="2851"/>
      <c r="L5" s="2851"/>
      <c r="M5" s="2851"/>
      <c r="N5" s="2851"/>
      <c r="O5" s="2851"/>
      <c r="P5" s="2851"/>
    </row>
    <row r="6" spans="1:16" ht="15" thickBot="1">
      <c r="A6" s="1795"/>
      <c r="B6" s="3448" t="s">
        <v>1737</v>
      </c>
      <c r="C6" s="3448"/>
      <c r="D6" s="48">
        <f>ROUND($D$3*E6/$E$3,2)</f>
        <v>6390.73</v>
      </c>
      <c r="E6" s="49">
        <f>E3-E5</f>
        <v>16299.169999999991</v>
      </c>
      <c r="F6" s="2851"/>
      <c r="G6" s="2845" t="s">
        <v>1738</v>
      </c>
      <c r="H6" s="1276" t="s">
        <v>1739</v>
      </c>
      <c r="I6" s="2846">
        <f>ROUND(F31/D31,2)</f>
        <v>1.91</v>
      </c>
      <c r="J6" s="2851"/>
      <c r="K6" s="2851"/>
      <c r="L6" s="2851"/>
      <c r="M6" s="2851"/>
      <c r="N6" s="2851"/>
      <c r="O6" s="2851"/>
      <c r="P6" s="2851"/>
    </row>
    <row r="7" spans="1:16" ht="15.75" thickBot="1">
      <c r="A7" s="3440"/>
      <c r="B7" s="3441"/>
      <c r="C7" s="3442"/>
      <c r="D7" s="1792" t="s">
        <v>1733</v>
      </c>
      <c r="E7" s="1796" t="s">
        <v>1740</v>
      </c>
      <c r="F7" s="2851"/>
      <c r="G7" s="2847" t="s">
        <v>1741</v>
      </c>
      <c r="H7" s="2848"/>
      <c r="I7" s="2849">
        <v>1.93</v>
      </c>
      <c r="J7" s="2851"/>
      <c r="K7" s="2851"/>
      <c r="L7" s="2851"/>
      <c r="M7" s="2851"/>
      <c r="N7" s="2851"/>
      <c r="O7" s="2851"/>
      <c r="P7" s="2851"/>
    </row>
    <row r="8" spans="1:16">
      <c r="A8" s="47" t="s">
        <v>1742</v>
      </c>
      <c r="B8" s="50" t="s">
        <v>1743</v>
      </c>
      <c r="C8" s="48" t="s">
        <v>1744</v>
      </c>
      <c r="D8" s="48">
        <f t="shared" ref="D8:D15" si="0">ROUND($D$3*E8/$E$3,2)</f>
        <v>18609.27</v>
      </c>
      <c r="E8" s="51">
        <f>SUMIF('数据-基础表'!BB10:BK10,"地上",'数据-基础表'!BB5:BK5)</f>
        <v>47461.850000000006</v>
      </c>
      <c r="F8" s="2851"/>
      <c r="G8" s="2852"/>
      <c r="H8" s="2852"/>
      <c r="I8" s="2851"/>
      <c r="J8" s="2851"/>
      <c r="K8" s="2851"/>
      <c r="L8" s="2851"/>
      <c r="M8" s="2851"/>
      <c r="N8" s="2851"/>
      <c r="O8" s="2851"/>
      <c r="P8" s="2851"/>
    </row>
    <row r="9" spans="1:16">
      <c r="A9" s="1797"/>
      <c r="B9" s="1798"/>
      <c r="C9" s="48" t="s">
        <v>1745</v>
      </c>
      <c r="D9" s="48">
        <f t="shared" si="0"/>
        <v>0</v>
      </c>
      <c r="E9" s="52">
        <v>0</v>
      </c>
      <c r="F9" s="2851"/>
      <c r="G9" s="2852"/>
      <c r="H9" s="2852"/>
      <c r="I9" s="2851"/>
      <c r="J9" s="2851"/>
      <c r="K9" s="2851"/>
      <c r="L9" s="2851"/>
      <c r="M9" s="2851"/>
      <c r="N9" s="2851"/>
      <c r="O9" s="2851"/>
      <c r="P9" s="2851"/>
    </row>
    <row r="10" spans="1:16">
      <c r="A10" s="1797"/>
      <c r="B10" s="1798"/>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7"/>
      <c r="B11" s="1798"/>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7"/>
      <c r="B12" s="1798"/>
      <c r="C12" s="48" t="s">
        <v>1747</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797"/>
      <c r="B13" s="1798"/>
      <c r="C13" s="48" t="s">
        <v>1748</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797"/>
      <c r="B14" s="1798"/>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7"/>
      <c r="B15" s="1798"/>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5"/>
      <c r="B16" s="1798"/>
      <c r="C16" s="50" t="s">
        <v>1749</v>
      </c>
      <c r="D16" s="50">
        <f>SUM(D8:D15)</f>
        <v>18609.27</v>
      </c>
      <c r="E16" s="53">
        <f>SUM(E8:E15)</f>
        <v>47461.850000000006</v>
      </c>
      <c r="F16" s="2851"/>
      <c r="G16" s="2852"/>
      <c r="H16" s="1799" t="s">
        <v>1761</v>
      </c>
      <c r="I16" s="1800"/>
      <c r="J16" s="1269"/>
      <c r="K16" s="3437" t="s">
        <v>1761</v>
      </c>
      <c r="L16" s="3438"/>
      <c r="M16" s="3438"/>
      <c r="N16" s="3438"/>
      <c r="O16" s="3438"/>
      <c r="P16" s="3439"/>
    </row>
    <row r="17" spans="1:19" ht="15">
      <c r="A17" s="1801" t="s">
        <v>1762</v>
      </c>
      <c r="B17" s="1802" t="s">
        <v>1763</v>
      </c>
      <c r="C17" s="1803" t="s">
        <v>1764</v>
      </c>
      <c r="D17" s="1804" t="s">
        <v>1752</v>
      </c>
      <c r="E17" s="1805" t="s">
        <v>1753</v>
      </c>
      <c r="F17" s="1806"/>
      <c r="G17" s="1807"/>
      <c r="H17" s="1808" t="s">
        <v>1765</v>
      </c>
      <c r="I17" s="1809" t="s">
        <v>1750</v>
      </c>
      <c r="J17" s="1269"/>
      <c r="K17" s="3434" t="s">
        <v>1766</v>
      </c>
      <c r="L17" s="3435"/>
      <c r="M17" s="3436"/>
      <c r="N17" s="3434" t="s">
        <v>1767</v>
      </c>
      <c r="O17" s="3435"/>
      <c r="P17" s="3436"/>
      <c r="R17" s="1791" t="s">
        <v>1768</v>
      </c>
      <c r="S17" s="60"/>
    </row>
    <row r="18" spans="1:19" ht="15">
      <c r="A18" s="1797"/>
      <c r="B18" s="1810"/>
      <c r="C18" s="1811"/>
      <c r="D18" s="1812"/>
      <c r="E18" s="1813" t="s">
        <v>1769</v>
      </c>
      <c r="F18" s="1814" t="s">
        <v>1770</v>
      </c>
      <c r="G18" s="1815" t="s">
        <v>1771</v>
      </c>
      <c r="H18" s="1170" t="s">
        <v>1772</v>
      </c>
      <c r="I18" s="1816" t="s">
        <v>1773</v>
      </c>
      <c r="J18" s="1269"/>
      <c r="K18" s="1170" t="s">
        <v>1774</v>
      </c>
      <c r="L18" s="1817" t="s">
        <v>1775</v>
      </c>
      <c r="M18" s="962" t="s">
        <v>1776</v>
      </c>
      <c r="N18" s="1170" t="s">
        <v>1774</v>
      </c>
      <c r="O18" s="1817" t="s">
        <v>1775</v>
      </c>
      <c r="P18" s="962" t="s">
        <v>1776</v>
      </c>
      <c r="R18" s="1155" t="s">
        <v>1777</v>
      </c>
      <c r="S18" s="1155" t="s">
        <v>1778</v>
      </c>
    </row>
    <row r="19" spans="1:19">
      <c r="A19" s="1818"/>
      <c r="B19" s="50" t="s">
        <v>1751</v>
      </c>
      <c r="C19" s="3210" t="s">
        <v>3186</v>
      </c>
      <c r="D19" s="48">
        <f>ROUND($D$3*E19/$E$3,2)</f>
        <v>18609.27</v>
      </c>
      <c r="E19" s="56">
        <f t="shared" ref="E19:E26" si="1">SUM(F19:G19)</f>
        <v>47461.850000000006</v>
      </c>
      <c r="F19" s="2991">
        <f>面积表!D19</f>
        <v>47461.850000000006</v>
      </c>
      <c r="G19" s="2992"/>
      <c r="H19" s="678">
        <f>ROUND($D$3*I19/$E$3,2)</f>
        <v>6390.73</v>
      </c>
      <c r="I19" s="51">
        <f t="shared" ref="I19:I26" si="2">IF($I$17="自定义",P19,M19)</f>
        <v>16299.17</v>
      </c>
      <c r="J19" s="1269"/>
      <c r="K19" s="1268">
        <f t="shared" ref="K19:K26" si="3">ROUND(E$28*E19/E$27,2)</f>
        <v>16299.17</v>
      </c>
      <c r="L19" s="1155">
        <f t="shared" ref="L19:L26" si="4">ROUND(IF(COUNTIF(C19,"*住宅*")&gt;0,E$29*E19/E$32,0),2)</f>
        <v>0</v>
      </c>
      <c r="M19" s="1280">
        <f>K19+L19</f>
        <v>16299.17</v>
      </c>
      <c r="N19" s="1820"/>
      <c r="O19" s="1821"/>
      <c r="P19" s="1280">
        <f>N19+O19</f>
        <v>0</v>
      </c>
      <c r="R19" s="1155">
        <f t="shared" ref="R19:S26" si="5">D19+H19</f>
        <v>25000</v>
      </c>
      <c r="S19" s="1156">
        <f t="shared" si="5"/>
        <v>63761.020000000004</v>
      </c>
    </row>
    <row r="20" spans="1:19">
      <c r="A20" s="1822"/>
      <c r="B20" s="50" t="s">
        <v>1779</v>
      </c>
      <c r="C20" s="3210" t="str">
        <f>面积表!R3</f>
        <v>商业（配套）</v>
      </c>
      <c r="D20" s="48">
        <f t="shared" ref="D20:D26" si="6">ROUND($D$3*E20/$E$3,2)</f>
        <v>0</v>
      </c>
      <c r="E20" s="56">
        <f t="shared" si="1"/>
        <v>0</v>
      </c>
      <c r="F20" s="2991">
        <f>'数据-基础表'!K5</f>
        <v>0</v>
      </c>
      <c r="G20" s="2992"/>
      <c r="H20" s="678">
        <f t="shared" ref="H20:H26" si="7">ROUND($D$3*I20/$E$3,2)</f>
        <v>0</v>
      </c>
      <c r="I20" s="51">
        <f t="shared" si="2"/>
        <v>0</v>
      </c>
      <c r="J20" s="1269"/>
      <c r="K20" s="1268">
        <f t="shared" si="3"/>
        <v>0</v>
      </c>
      <c r="L20" s="1155">
        <f t="shared" si="4"/>
        <v>0</v>
      </c>
      <c r="M20" s="1280">
        <f t="shared" ref="M20:M26" si="8">K20+L20</f>
        <v>0</v>
      </c>
      <c r="N20" s="1820"/>
      <c r="O20" s="1821"/>
      <c r="P20" s="1280">
        <f t="shared" ref="P20:P26" si="9">N20+O20</f>
        <v>0</v>
      </c>
      <c r="R20" s="1155">
        <f t="shared" si="5"/>
        <v>0</v>
      </c>
      <c r="S20" s="1156">
        <f t="shared" si="5"/>
        <v>0</v>
      </c>
    </row>
    <row r="21" spans="1:19">
      <c r="A21" s="1822"/>
      <c r="B21" s="50" t="s">
        <v>1779</v>
      </c>
      <c r="C21" s="1819" t="str">
        <f>面积表!R4</f>
        <v>办公（公共服务设施）</v>
      </c>
      <c r="D21" s="48">
        <f t="shared" si="6"/>
        <v>0</v>
      </c>
      <c r="E21" s="56">
        <f t="shared" si="1"/>
        <v>0</v>
      </c>
      <c r="F21" s="2991">
        <f>'数据-基础表'!M5</f>
        <v>0</v>
      </c>
      <c r="G21" s="2992">
        <f>'数据-基础表'!O5</f>
        <v>0</v>
      </c>
      <c r="H21" s="678">
        <f t="shared" si="7"/>
        <v>0</v>
      </c>
      <c r="I21" s="51">
        <f t="shared" si="2"/>
        <v>0</v>
      </c>
      <c r="J21" s="1269"/>
      <c r="K21" s="1268">
        <f t="shared" si="3"/>
        <v>0</v>
      </c>
      <c r="L21" s="1155">
        <f t="shared" si="4"/>
        <v>0</v>
      </c>
      <c r="M21" s="1280">
        <f t="shared" si="8"/>
        <v>0</v>
      </c>
      <c r="N21" s="1820"/>
      <c r="O21" s="1821"/>
      <c r="P21" s="1280">
        <f t="shared" si="9"/>
        <v>0</v>
      </c>
      <c r="R21" s="1155">
        <f t="shared" si="5"/>
        <v>0</v>
      </c>
      <c r="S21" s="1156">
        <f t="shared" si="5"/>
        <v>0</v>
      </c>
    </row>
    <row r="22" spans="1:19">
      <c r="A22" s="1822"/>
      <c r="B22" s="50" t="s">
        <v>1779</v>
      </c>
      <c r="C22" s="58" t="str">
        <f>面积表!R7</f>
        <v>地下仓储（丙二类库房）</v>
      </c>
      <c r="D22" s="48">
        <f t="shared" si="6"/>
        <v>0</v>
      </c>
      <c r="E22" s="56">
        <f t="shared" si="1"/>
        <v>0</v>
      </c>
      <c r="F22" s="2993"/>
      <c r="G22" s="2994">
        <f>'数据-基础表'!Q5</f>
        <v>0</v>
      </c>
      <c r="H22" s="678">
        <f t="shared" si="7"/>
        <v>0</v>
      </c>
      <c r="I22" s="51">
        <f t="shared" si="2"/>
        <v>0</v>
      </c>
      <c r="J22" s="1269"/>
      <c r="K22" s="1268">
        <f t="shared" si="3"/>
        <v>0</v>
      </c>
      <c r="L22" s="1155">
        <f t="shared" si="4"/>
        <v>0</v>
      </c>
      <c r="M22" s="1280">
        <f t="shared" si="8"/>
        <v>0</v>
      </c>
      <c r="N22" s="1820"/>
      <c r="O22" s="1821"/>
      <c r="P22" s="1280">
        <f t="shared" si="9"/>
        <v>0</v>
      </c>
      <c r="R22" s="1155">
        <f t="shared" si="5"/>
        <v>0</v>
      </c>
      <c r="S22" s="1156">
        <f t="shared" si="5"/>
        <v>0</v>
      </c>
    </row>
    <row r="23" spans="1:19">
      <c r="A23" s="1822"/>
      <c r="B23" s="50" t="s">
        <v>1779</v>
      </c>
      <c r="C23" s="58" t="str">
        <f>面积表!R8</f>
        <v>地下车库（非人防车库）</v>
      </c>
      <c r="D23" s="48">
        <f>ROUND($D$3*E23/$E$3,2)</f>
        <v>0</v>
      </c>
      <c r="E23" s="56">
        <f>SUM(F23:G23)</f>
        <v>0</v>
      </c>
      <c r="F23" s="2993"/>
      <c r="G23" s="2994">
        <f>'数据-基础表'!S5</f>
        <v>0</v>
      </c>
      <c r="H23" s="678">
        <f>ROUND($D$3*I23/$E$3,2)</f>
        <v>0</v>
      </c>
      <c r="I23" s="51">
        <f t="shared" si="2"/>
        <v>0</v>
      </c>
      <c r="J23" s="1269"/>
      <c r="K23" s="1268">
        <f t="shared" si="3"/>
        <v>0</v>
      </c>
      <c r="L23" s="1155">
        <f t="shared" si="4"/>
        <v>0</v>
      </c>
      <c r="M23" s="1280">
        <f t="shared" si="8"/>
        <v>0</v>
      </c>
      <c r="N23" s="1820"/>
      <c r="O23" s="1821"/>
      <c r="P23" s="1280">
        <f t="shared" si="9"/>
        <v>0</v>
      </c>
      <c r="R23" s="1155">
        <f t="shared" si="5"/>
        <v>0</v>
      </c>
      <c r="S23" s="1156">
        <f t="shared" si="5"/>
        <v>0</v>
      </c>
    </row>
    <row r="24" spans="1:19">
      <c r="A24" s="1822"/>
      <c r="B24" s="50" t="s">
        <v>1779</v>
      </c>
      <c r="C24" s="58"/>
      <c r="D24" s="48">
        <f>ROUND($D$3*E24/$E$3,2)</f>
        <v>0</v>
      </c>
      <c r="E24" s="56">
        <f>SUM(F24:G24)</f>
        <v>0</v>
      </c>
      <c r="F24" s="2993"/>
      <c r="G24" s="2994"/>
      <c r="H24" s="678">
        <f>ROUND($D$3*I24/$E$3,2)</f>
        <v>0</v>
      </c>
      <c r="I24" s="51">
        <f t="shared" si="2"/>
        <v>0</v>
      </c>
      <c r="J24" s="1269"/>
      <c r="K24" s="1268">
        <f t="shared" si="3"/>
        <v>0</v>
      </c>
      <c r="L24" s="1155">
        <f t="shared" si="4"/>
        <v>0</v>
      </c>
      <c r="M24" s="1280">
        <f t="shared" si="8"/>
        <v>0</v>
      </c>
      <c r="N24" s="1820"/>
      <c r="O24" s="1821"/>
      <c r="P24" s="1280">
        <f t="shared" si="9"/>
        <v>0</v>
      </c>
      <c r="R24" s="1155">
        <f t="shared" si="5"/>
        <v>0</v>
      </c>
      <c r="S24" s="1156">
        <f t="shared" si="5"/>
        <v>0</v>
      </c>
    </row>
    <row r="25" spans="1:19">
      <c r="A25" s="1822"/>
      <c r="B25" s="50" t="s">
        <v>1779</v>
      </c>
      <c r="C25" s="58"/>
      <c r="D25" s="48">
        <f t="shared" si="6"/>
        <v>0</v>
      </c>
      <c r="E25" s="56">
        <f t="shared" si="1"/>
        <v>0</v>
      </c>
      <c r="F25" s="2993"/>
      <c r="G25" s="2994"/>
      <c r="H25" s="47">
        <f t="shared" si="7"/>
        <v>0</v>
      </c>
      <c r="I25" s="51">
        <f t="shared" si="2"/>
        <v>0</v>
      </c>
      <c r="J25" s="1269"/>
      <c r="K25" s="1268">
        <f t="shared" si="3"/>
        <v>0</v>
      </c>
      <c r="L25" s="1155">
        <f t="shared" si="4"/>
        <v>0</v>
      </c>
      <c r="M25" s="1280">
        <f t="shared" si="8"/>
        <v>0</v>
      </c>
      <c r="N25" s="1820"/>
      <c r="O25" s="1821"/>
      <c r="P25" s="1280">
        <f t="shared" si="9"/>
        <v>0</v>
      </c>
      <c r="R25" s="1155">
        <f t="shared" si="5"/>
        <v>0</v>
      </c>
      <c r="S25" s="1156">
        <f t="shared" si="5"/>
        <v>0</v>
      </c>
    </row>
    <row r="26" spans="1:19">
      <c r="A26" s="1822"/>
      <c r="B26" s="50" t="s">
        <v>1779</v>
      </c>
      <c r="C26" s="59"/>
      <c r="D26" s="48">
        <f t="shared" si="6"/>
        <v>0</v>
      </c>
      <c r="E26" s="56">
        <f t="shared" si="1"/>
        <v>0</v>
      </c>
      <c r="F26" s="2993"/>
      <c r="G26" s="2994"/>
      <c r="H26" s="47">
        <f t="shared" si="7"/>
        <v>0</v>
      </c>
      <c r="I26" s="51">
        <f t="shared" si="2"/>
        <v>0</v>
      </c>
      <c r="J26" s="1269"/>
      <c r="K26" s="1275">
        <f t="shared" si="3"/>
        <v>0</v>
      </c>
      <c r="L26" s="1276">
        <f t="shared" si="4"/>
        <v>0</v>
      </c>
      <c r="M26" s="63">
        <f t="shared" si="8"/>
        <v>0</v>
      </c>
      <c r="N26" s="1823"/>
      <c r="O26" s="1824"/>
      <c r="P26" s="63">
        <f t="shared" si="9"/>
        <v>0</v>
      </c>
      <c r="R26" s="1155">
        <f t="shared" si="5"/>
        <v>0</v>
      </c>
      <c r="S26" s="1156">
        <f t="shared" si="5"/>
        <v>0</v>
      </c>
    </row>
    <row r="27" spans="1:19" ht="15.75" thickBot="1">
      <c r="A27" s="1822"/>
      <c r="B27" s="48"/>
      <c r="C27" s="1825" t="s">
        <v>1780</v>
      </c>
      <c r="D27" s="1270">
        <f>SUM(D19:D26)</f>
        <v>18609.27</v>
      </c>
      <c r="E27" s="1271">
        <f>IF(SUM(E19:E26)='数据-基础表'!BA5,SUM(E19:E26),IF(F27="地上面积有误","面积有误","地下面积有误"))</f>
        <v>47461.850000000006</v>
      </c>
      <c r="F27" s="1270">
        <f>IF(SUM(F19:F26)=E8,SUM(F19:F26),"地上面积有误")</f>
        <v>47461.850000000006</v>
      </c>
      <c r="G27" s="1272">
        <f>SUM(G19:G26)</f>
        <v>0</v>
      </c>
      <c r="H27" s="1273">
        <f>SUM(H19:H26)</f>
        <v>6390.73</v>
      </c>
      <c r="I27" s="1274">
        <f>SUM(I19:I26)</f>
        <v>16299.17</v>
      </c>
      <c r="J27" s="1269"/>
      <c r="K27" s="1277">
        <f>SUM(K19:K26)</f>
        <v>16299.17</v>
      </c>
      <c r="L27" s="1278">
        <f>SUM(L19:L26)</f>
        <v>0</v>
      </c>
      <c r="M27" s="1281">
        <f>SUM(M19:M26)</f>
        <v>16299.17</v>
      </c>
      <c r="N27" s="1277">
        <f t="shared" ref="N27:O27" si="10">SUM(N19:N26)</f>
        <v>0</v>
      </c>
      <c r="O27" s="1278">
        <f t="shared" si="10"/>
        <v>0</v>
      </c>
      <c r="P27" s="1279">
        <f>SUM(P19:P26)</f>
        <v>0</v>
      </c>
      <c r="R27" s="1157">
        <f>IF(SUM(R19:R26)=$D$3,SUM(R19:R26),SUM(R19:R26)&amp;"误差"&amp;ROUND(SUM(R19:R26)-$D$3,2))</f>
        <v>25000</v>
      </c>
      <c r="S27" s="1155">
        <f>IF(SUM(S19:S26)=$E$3,SUM(S19:S26),SUM(S19:S26)&amp;"误差"&amp;ROUND(SUM(S19:S26)-E3,2))</f>
        <v>63761.020000000004</v>
      </c>
    </row>
    <row r="28" spans="1:19">
      <c r="A28" s="1822"/>
      <c r="B28" s="50" t="s">
        <v>1781</v>
      </c>
      <c r="C28" s="1167" t="s">
        <v>1782</v>
      </c>
      <c r="D28" s="48">
        <f>ROUND($D$3*E28/$E$3,2)</f>
        <v>6390.73</v>
      </c>
      <c r="E28" s="56">
        <f>SUM(F28:G28)</f>
        <v>16299.17</v>
      </c>
      <c r="F28" s="60">
        <f>'数据-基础表'!BQ5+'数据-基础表'!BS5</f>
        <v>301.34999999999997</v>
      </c>
      <c r="G28" s="61">
        <f>'数据-基础表'!BR5+'数据-基础表'!BT5</f>
        <v>15997.82</v>
      </c>
      <c r="H28" s="2851"/>
      <c r="I28" s="2851"/>
      <c r="J28" s="2851"/>
      <c r="K28" s="2851"/>
      <c r="L28" s="2851"/>
      <c r="M28" s="2851"/>
      <c r="N28" s="2851"/>
      <c r="O28" s="2851"/>
      <c r="P28" s="2851"/>
    </row>
    <row r="29" spans="1:19">
      <c r="A29" s="1822"/>
      <c r="B29" s="50" t="s">
        <v>1781</v>
      </c>
      <c r="C29" s="1826"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2"/>
      <c r="B30" s="50"/>
      <c r="C30" s="1827" t="s">
        <v>1780</v>
      </c>
      <c r="D30" s="1270">
        <f>SUM(D28:D29)</f>
        <v>6390.73</v>
      </c>
      <c r="E30" s="1270">
        <f>SUM(E28:E29)</f>
        <v>16299.17</v>
      </c>
      <c r="F30" s="1270">
        <f>SUM(F28:F29)</f>
        <v>301.34999999999997</v>
      </c>
      <c r="G30" s="1272">
        <f>SUM(G28:G29)</f>
        <v>15997.82</v>
      </c>
      <c r="H30" s="2851"/>
      <c r="I30" s="2851"/>
      <c r="J30" s="2851"/>
      <c r="K30" s="2851"/>
      <c r="L30" s="2851"/>
      <c r="M30" s="2851"/>
      <c r="N30" s="2851"/>
      <c r="O30" s="2851"/>
      <c r="P30" s="2851"/>
    </row>
    <row r="31" spans="1:19" ht="15.75" thickBot="1">
      <c r="A31" s="1828"/>
      <c r="B31" s="1829"/>
      <c r="C31" s="942" t="s">
        <v>1784</v>
      </c>
      <c r="D31" s="683">
        <f>D27+D30</f>
        <v>25000</v>
      </c>
      <c r="E31" s="683">
        <f>E27+E30</f>
        <v>63761.020000000004</v>
      </c>
      <c r="F31" s="684">
        <f>F27+F30</f>
        <v>47763.200000000004</v>
      </c>
      <c r="G31" s="685">
        <f>G27+G30</f>
        <v>15997.82</v>
      </c>
      <c r="H31" s="2851"/>
      <c r="I31" s="2851"/>
      <c r="J31" s="2851"/>
      <c r="K31" s="2851"/>
      <c r="L31" s="2851"/>
      <c r="M31" s="2851"/>
      <c r="N31" s="2851"/>
      <c r="O31" s="2851"/>
      <c r="P31" s="2851"/>
    </row>
    <row r="32" spans="1:19">
      <c r="A32" s="1794"/>
      <c r="B32" s="1794" t="s">
        <v>1785</v>
      </c>
      <c r="C32" s="1794"/>
      <c r="D32" s="1794"/>
      <c r="E32" s="1181">
        <f>SUMIF(C19:C26,"*住宅*",E19:E26)</f>
        <v>47461.850000000006</v>
      </c>
      <c r="F32" s="1794"/>
      <c r="G32" s="1794"/>
      <c r="H32" s="2851"/>
      <c r="I32" s="2851"/>
      <c r="J32" s="2851"/>
      <c r="K32" s="2851"/>
      <c r="L32" s="2851"/>
      <c r="M32" s="2851"/>
      <c r="N32" s="2851"/>
      <c r="O32" s="2851"/>
      <c r="P32" s="2851"/>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29" width="6.75" style="1834" customWidth="1"/>
    <col min="30" max="30" width="9.3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1786</v>
      </c>
      <c r="B1" s="686"/>
      <c r="C1" s="1321"/>
      <c r="D1" s="1832"/>
      <c r="E1" s="1321"/>
      <c r="F1" s="1321"/>
      <c r="G1" s="1321"/>
      <c r="H1" s="1321"/>
      <c r="I1" s="1321"/>
      <c r="J1" s="1321"/>
      <c r="K1" s="163"/>
      <c r="L1" s="163"/>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5"/>
      <c r="AO1" s="2865"/>
      <c r="AP1" s="2865"/>
      <c r="AQ1" s="2865"/>
      <c r="AR1" s="2865"/>
    </row>
    <row r="2" spans="1:67" s="1710" customFormat="1" ht="15.75" thickBot="1">
      <c r="A2" s="1835" t="s">
        <v>1787</v>
      </c>
      <c r="B2" s="1174">
        <f>项目基本情况!D3</f>
        <v>44617</v>
      </c>
      <c r="C2" s="1836"/>
      <c r="D2" s="1837"/>
      <c r="E2" s="1836"/>
      <c r="F2" s="1836"/>
      <c r="G2" s="1836"/>
      <c r="H2" s="1836"/>
      <c r="I2" s="1836"/>
      <c r="J2" s="1836"/>
      <c r="K2" s="1298"/>
      <c r="L2" s="1298"/>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7"/>
      <c r="AO2" s="2867"/>
      <c r="AP2" s="2867"/>
      <c r="AQ2" s="2867"/>
      <c r="AR2" s="2867"/>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298"/>
      <c r="L3" s="1298"/>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7"/>
      <c r="AO3" s="2867"/>
      <c r="AP3" s="2867"/>
      <c r="AQ3" s="2867"/>
      <c r="AR3" s="2867"/>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0" t="str">
        <f>'数据-汇总表'!I17</f>
        <v>按面积比例</v>
      </c>
      <c r="U4" s="1840" t="s">
        <v>1791</v>
      </c>
      <c r="V4" s="1841"/>
      <c r="W4" s="1841"/>
      <c r="X4" s="1841"/>
      <c r="Y4" s="1843"/>
      <c r="Z4" s="1803" t="s">
        <v>1792</v>
      </c>
      <c r="AA4" s="1803"/>
      <c r="AB4" s="1803"/>
      <c r="AC4" s="1803"/>
      <c r="AD4" s="1803"/>
      <c r="AE4" s="1801" t="s">
        <v>1793</v>
      </c>
      <c r="AF4" s="1803"/>
      <c r="AG4" s="1846"/>
      <c r="AH4" s="1840"/>
      <c r="AI4" s="1841"/>
      <c r="AJ4" s="1841"/>
      <c r="AK4" s="1841"/>
      <c r="AL4" s="1841"/>
      <c r="AM4" s="1843"/>
      <c r="AN4" s="2867"/>
      <c r="AO4" s="2867"/>
      <c r="AP4" s="2867"/>
      <c r="AQ4" s="2867"/>
      <c r="AR4" s="2867"/>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3187</v>
      </c>
      <c r="O5" s="1854" t="s">
        <v>1807</v>
      </c>
      <c r="P5" s="1857" t="s">
        <v>1808</v>
      </c>
      <c r="Q5" s="65" t="s">
        <v>1809</v>
      </c>
      <c r="R5" s="1858" t="s">
        <v>1810</v>
      </c>
      <c r="S5" s="1859" t="s">
        <v>1811</v>
      </c>
      <c r="T5" s="1860" t="s">
        <v>1812</v>
      </c>
      <c r="U5" s="1175" t="s">
        <v>1813</v>
      </c>
      <c r="V5" s="1176" t="s">
        <v>1814</v>
      </c>
      <c r="W5" s="1176" t="s">
        <v>1815</v>
      </c>
      <c r="X5" s="67"/>
      <c r="Y5" s="66" t="s">
        <v>1816</v>
      </c>
      <c r="Z5" s="1861" t="s">
        <v>1813</v>
      </c>
      <c r="AA5" s="1176" t="s">
        <v>1814</v>
      </c>
      <c r="AB5" s="1176" t="s">
        <v>1815</v>
      </c>
      <c r="AC5" s="67"/>
      <c r="AD5" s="67" t="s">
        <v>1816</v>
      </c>
      <c r="AE5" s="1175" t="s">
        <v>1817</v>
      </c>
      <c r="AF5" s="1176" t="s">
        <v>1818</v>
      </c>
      <c r="AG5" s="66" t="s">
        <v>1819</v>
      </c>
      <c r="AH5" s="1175" t="s">
        <v>1820</v>
      </c>
      <c r="AI5" s="1861" t="s">
        <v>1821</v>
      </c>
      <c r="AJ5" s="1861" t="s">
        <v>1822</v>
      </c>
      <c r="AK5" s="1176" t="s">
        <v>1823</v>
      </c>
      <c r="AL5" s="1176" t="s">
        <v>1824</v>
      </c>
      <c r="AM5" s="66" t="s">
        <v>1825</v>
      </c>
      <c r="AN5" s="1862" t="s">
        <v>1826</v>
      </c>
      <c r="AO5" s="1713" t="s">
        <v>1827</v>
      </c>
      <c r="AP5" s="1157" t="s">
        <v>1828</v>
      </c>
      <c r="AQ5" s="1863" t="s">
        <v>1829</v>
      </c>
      <c r="AR5" s="1863" t="s">
        <v>1830</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住宅</v>
      </c>
      <c r="B6" s="1865" t="str">
        <f>IF(A6=0,"","经营性")</f>
        <v>经营性</v>
      </c>
      <c r="C6" s="1866" t="s">
        <v>3131</v>
      </c>
      <c r="D6" s="965">
        <f>SUMIF(项目基本情况!D$12:I$12,C6,项目基本情况!D$14:I$14)</f>
        <v>70</v>
      </c>
      <c r="E6" s="964">
        <f>IF(B6="","",SUMIF(项目基本情况!D$12:I$12,C6,项目基本情况!D$13:I$13))</f>
        <v>0</v>
      </c>
      <c r="F6" s="68">
        <f>SUMIF(项目基本情况!D$12:I$12,C6,项目基本情况!D$15:I$15)</f>
        <v>70</v>
      </c>
      <c r="G6" s="69">
        <f>IF(ISERROR(ROUND(POWER(1+H6,D6-F6)*(POWER(1+H6,F6)-1)/(POWER(1+H6,D6)-1),3)),0,ROUND(POWER(1+H6,D6-F6)*(POWER(1+H6,F6)-1)/(POWER(1+H6,D6)-1),3))</f>
        <v>1</v>
      </c>
      <c r="H6" s="739">
        <v>0.04</v>
      </c>
      <c r="I6" s="739">
        <v>4.4999999999999998E-2</v>
      </c>
      <c r="J6" s="70">
        <v>6.5000000000000002E-2</v>
      </c>
      <c r="K6" s="1159">
        <f>SUMIF('数据-汇总表'!C$19:C$33,A6,'数据-汇总表'!E$19:E$33)</f>
        <v>47461.850000000006</v>
      </c>
      <c r="L6" s="740">
        <v>6000</v>
      </c>
      <c r="M6" s="71">
        <f t="shared" ref="M6:M14" si="0">ROUND(K6*L6/10000,0)</f>
        <v>28477</v>
      </c>
      <c r="N6" s="738">
        <v>1</v>
      </c>
      <c r="O6" s="71" t="str">
        <f>IF($N$5="成新度","——",ROUND(M6*N6,0))</f>
        <v>——</v>
      </c>
      <c r="P6" s="72" t="str">
        <f>IF($N$5="成新度","——",M6-O6)</f>
        <v>——</v>
      </c>
      <c r="Q6" s="3354">
        <v>0.03</v>
      </c>
      <c r="R6" s="73">
        <f ca="1">SUMIF('数据-汇总表'!C$19:C$33,A6,'数据-汇总表'!R$19:R$27)</f>
        <v>25000</v>
      </c>
      <c r="S6" s="54">
        <f>IF('数据-汇总表'!$I$17="按面积比例",SUMIF('数据-汇总表'!C$19:C$33,A6,'数据-汇总表'!K$19:K$33),SUMIF('数据-汇总表'!C$19:C$33,A6,'数据-汇总表'!N$19:N$33))</f>
        <v>16299.17</v>
      </c>
      <c r="T6" s="1302">
        <f>ROUND($L$14*S6/10000,0)</f>
        <v>5705</v>
      </c>
      <c r="U6" s="74"/>
      <c r="V6" s="75"/>
      <c r="W6" s="75"/>
      <c r="X6" s="1169"/>
      <c r="Y6" s="76"/>
      <c r="Z6" s="77"/>
      <c r="AA6" s="70"/>
      <c r="AB6" s="70"/>
      <c r="AC6" s="1169"/>
      <c r="AD6" s="78">
        <v>1</v>
      </c>
      <c r="AE6" s="1170">
        <f ca="1">IF(AN6="",0,SUMIF(INDIRECT("'"&amp;AN6&amp;"'"&amp;"!E:E"),$AE$5,INDIRECT("'"&amp;AN6&amp;"'"&amp;"!F:F")))</f>
        <v>0</v>
      </c>
      <c r="AF6" s="1498"/>
      <c r="AG6" s="142">
        <f>IF(AF6="",0,AE6-AF6)</f>
        <v>0</v>
      </c>
      <c r="AH6" s="79"/>
      <c r="AI6" s="81"/>
      <c r="AJ6" s="82"/>
      <c r="AK6" s="83">
        <v>0.02</v>
      </c>
      <c r="AL6" s="84">
        <v>2E-3</v>
      </c>
      <c r="AM6" s="85">
        <v>0.02</v>
      </c>
      <c r="AN6" s="1867"/>
      <c r="AO6" s="55" t="e">
        <f ca="1">SUMIF(INDIRECT("'"&amp;AN6&amp;"'"&amp;"!A:A"),"总价",INDIRECT("'"&amp;AN6&amp;"'"&amp;"!B:B"))</f>
        <v>#REF!</v>
      </c>
      <c r="AP6" s="1868">
        <f>IF(C6="住宅",K6*L6,0)</f>
        <v>284771100.00000006</v>
      </c>
      <c r="AQ6" s="55">
        <f>ROUND($L$14*$N$14*S6/10000,0)</f>
        <v>5705</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t="str">
        <f>'数据-汇总表'!C20</f>
        <v>商业（配套）</v>
      </c>
      <c r="B7" s="1865" t="str">
        <f t="shared" ref="B7:B13" si="1">IF(A7=0,"","经营性")</f>
        <v>经营性</v>
      </c>
      <c r="C7" s="1866"/>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v>1</v>
      </c>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9"/>
      <c r="Y7" s="76"/>
      <c r="Z7" s="77"/>
      <c r="AA7" s="70"/>
      <c r="AB7" s="70"/>
      <c r="AC7" s="1169"/>
      <c r="AD7" s="78"/>
      <c r="AE7" s="1170">
        <f t="shared" ref="AE7:AE13" ca="1" si="6">IF(AN7="",0,SUMIF(INDIRECT("'"&amp;AN7&amp;"'"&amp;"!E:E"),$AE$5,INDIRECT("'"&amp;AN7&amp;"'"&amp;"!F:F")))</f>
        <v>0</v>
      </c>
      <c r="AF7" s="1498"/>
      <c r="AG7" s="142">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t="str">
        <f>'数据-汇总表'!C21</f>
        <v>办公（公共服务设施）</v>
      </c>
      <c r="B8" s="1865" t="str">
        <f t="shared" si="1"/>
        <v>经营性</v>
      </c>
      <c r="C8" s="1866"/>
      <c r="D8" s="965">
        <f>SUMIF(项目基本情况!D$12:I$12,C8,项目基本情况!D$14:I$14)</f>
        <v>0</v>
      </c>
      <c r="E8" s="964">
        <f>IF(B8="","",SUMIF(项目基本情况!D$12:I$12,C8,项目基本情况!D$13:I$13))</f>
        <v>0</v>
      </c>
      <c r="F8" s="68">
        <f>SUMIF(项目基本情况!D$12:I$12,C8,项目基本情况!D$15:I$15)</f>
        <v>0</v>
      </c>
      <c r="G8" s="69">
        <f t="shared" si="2"/>
        <v>0</v>
      </c>
      <c r="H8" s="739"/>
      <c r="I8" s="739"/>
      <c r="J8" s="70"/>
      <c r="K8" s="1159">
        <f>SUMIF('数据-汇总表'!C$19:C$33,A8,'数据-汇总表'!E$19:E$33)</f>
        <v>0</v>
      </c>
      <c r="L8" s="740"/>
      <c r="M8" s="71">
        <f>ROUND(K8*L8/10000,0)</f>
        <v>0</v>
      </c>
      <c r="N8" s="738">
        <v>1</v>
      </c>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2">
        <f t="shared" si="5"/>
        <v>0</v>
      </c>
      <c r="U8" s="742"/>
      <c r="V8" s="743"/>
      <c r="W8" s="743"/>
      <c r="X8" s="1169"/>
      <c r="Y8" s="744"/>
      <c r="Z8" s="77"/>
      <c r="AA8" s="70"/>
      <c r="AB8" s="70"/>
      <c r="AC8" s="1169"/>
      <c r="AD8" s="78"/>
      <c r="AE8" s="1170">
        <f t="shared" ca="1" si="6"/>
        <v>0</v>
      </c>
      <c r="AF8" s="1498"/>
      <c r="AG8" s="142">
        <f t="shared" si="7"/>
        <v>0</v>
      </c>
      <c r="AH8" s="745"/>
      <c r="AI8" s="81"/>
      <c r="AJ8" s="82"/>
      <c r="AK8" s="746"/>
      <c r="AL8" s="747"/>
      <c r="AM8" s="748"/>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t="str">
        <f>'数据-汇总表'!C22</f>
        <v>地下仓储（丙二类库房）</v>
      </c>
      <c r="B9" s="1865" t="str">
        <f t="shared" si="1"/>
        <v>经营性</v>
      </c>
      <c r="C9" s="1866"/>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9">
        <f>SUMIF('数据-汇总表'!C$19:C$33,A9,'数据-汇总表'!E$19:E$33)</f>
        <v>0</v>
      </c>
      <c r="L9" s="740"/>
      <c r="M9" s="71">
        <f t="shared" si="0"/>
        <v>0</v>
      </c>
      <c r="N9" s="738">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9"/>
      <c r="Y9" s="76"/>
      <c r="Z9" s="77"/>
      <c r="AA9" s="70"/>
      <c r="AB9" s="70"/>
      <c r="AC9" s="1169"/>
      <c r="AD9" s="78"/>
      <c r="AE9" s="1170">
        <f t="shared" ca="1" si="6"/>
        <v>0</v>
      </c>
      <c r="AF9" s="1498"/>
      <c r="AG9" s="142">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t="str">
        <f>'数据-汇总表'!C23</f>
        <v>地下车库（非人防车库）</v>
      </c>
      <c r="B10" s="1865" t="str">
        <f t="shared" si="1"/>
        <v>经营性</v>
      </c>
      <c r="C10" s="1866"/>
      <c r="D10" s="965">
        <f>SUMIF(项目基本情况!D$12:I$12,C10,项目基本情况!D$14:I$14)</f>
        <v>0</v>
      </c>
      <c r="E10" s="964">
        <f>IF(B10="","",SUMIF(项目基本情况!D$12:I$12,C10,项目基本情况!D$13:I$13))</f>
        <v>0</v>
      </c>
      <c r="F10" s="68">
        <f>SUMIF(项目基本情况!D$12:I$12,C10,项目基本情况!D$15:I$15)</f>
        <v>0</v>
      </c>
      <c r="G10" s="69">
        <f t="shared" si="2"/>
        <v>0</v>
      </c>
      <c r="H10" s="70"/>
      <c r="I10" s="70"/>
      <c r="J10" s="70"/>
      <c r="K10" s="1159">
        <f>SUMIF('数据-汇总表'!C$19:C$33,A10,'数据-汇总表'!E$19:E$33)</f>
        <v>0</v>
      </c>
      <c r="L10" s="740"/>
      <c r="M10" s="71">
        <f t="shared" si="0"/>
        <v>0</v>
      </c>
      <c r="N10" s="738">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9"/>
      <c r="Y10" s="76"/>
      <c r="Z10" s="77"/>
      <c r="AA10" s="70"/>
      <c r="AB10" s="70"/>
      <c r="AC10" s="1169"/>
      <c r="AD10" s="78"/>
      <c r="AE10" s="1170">
        <f t="shared" ca="1" si="6"/>
        <v>0</v>
      </c>
      <c r="AF10" s="1498"/>
      <c r="AG10" s="142">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9"/>
      <c r="Y11" s="76"/>
      <c r="Z11" s="89"/>
      <c r="AA11" s="70"/>
      <c r="AB11" s="70"/>
      <c r="AC11" s="1169"/>
      <c r="AD11" s="78"/>
      <c r="AE11" s="1170">
        <f t="shared" ca="1" si="6"/>
        <v>0</v>
      </c>
      <c r="AF11" s="1498"/>
      <c r="AG11" s="142">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9"/>
      <c r="Y12" s="76"/>
      <c r="Z12" s="89"/>
      <c r="AA12" s="70"/>
      <c r="AB12" s="70"/>
      <c r="AC12" s="1169"/>
      <c r="AD12" s="78"/>
      <c r="AE12" s="1170">
        <f t="shared" ca="1" si="6"/>
        <v>0</v>
      </c>
      <c r="AF12" s="1498"/>
      <c r="AG12" s="142">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9"/>
      <c r="Y13" s="76"/>
      <c r="Z13" s="77"/>
      <c r="AA13" s="70"/>
      <c r="AB13" s="70"/>
      <c r="AC13" s="1169"/>
      <c r="AD13" s="78"/>
      <c r="AE13" s="1170">
        <f t="shared" ca="1" si="6"/>
        <v>0</v>
      </c>
      <c r="AF13" s="1498"/>
      <c r="AG13" s="142">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1831</v>
      </c>
      <c r="B14" s="1865" t="s">
        <v>1832</v>
      </c>
      <c r="C14" s="1870" t="s">
        <v>1831</v>
      </c>
      <c r="D14" s="965"/>
      <c r="E14" s="964"/>
      <c r="F14" s="68"/>
      <c r="G14" s="69"/>
      <c r="H14" s="1158"/>
      <c r="I14" s="1158"/>
      <c r="J14" s="1158"/>
      <c r="K14" s="1159">
        <f>SUMIF('数据-汇总表'!C$19:C$33,A14,'数据-汇总表'!E$19:E$33)</f>
        <v>16299.17</v>
      </c>
      <c r="L14" s="87">
        <v>3500</v>
      </c>
      <c r="M14" s="71">
        <f t="shared" si="0"/>
        <v>5705</v>
      </c>
      <c r="N14" s="88">
        <v>1</v>
      </c>
      <c r="O14" s="71" t="str">
        <f t="shared" si="3"/>
        <v>——</v>
      </c>
      <c r="P14" s="72" t="str">
        <f t="shared" si="4"/>
        <v>——</v>
      </c>
      <c r="Q14" s="1162"/>
      <c r="R14" s="73"/>
      <c r="S14" s="54"/>
      <c r="T14" s="1302"/>
      <c r="U14" s="678"/>
      <c r="V14" s="1164"/>
      <c r="W14" s="1164"/>
      <c r="X14" s="1165"/>
      <c r="Y14" s="1166"/>
      <c r="Z14" s="1167"/>
      <c r="AA14" s="1168"/>
      <c r="AB14" s="1168"/>
      <c r="AC14" s="1169"/>
      <c r="AD14" s="1165"/>
      <c r="AE14" s="1170"/>
      <c r="AF14" s="55"/>
      <c r="AG14" s="142"/>
      <c r="AH14" s="1170"/>
      <c r="AI14" s="1507"/>
      <c r="AJ14" s="711"/>
      <c r="AK14" s="1171"/>
      <c r="AL14" s="1172"/>
      <c r="AM14" s="1173"/>
      <c r="AN14" s="2865"/>
      <c r="AO14" s="2867"/>
      <c r="AP14" s="2867"/>
      <c r="AQ14" s="2867"/>
      <c r="AR14" s="2867"/>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1833</v>
      </c>
      <c r="B15" s="1865" t="s">
        <v>1832</v>
      </c>
      <c r="C15" s="1870" t="s">
        <v>1834</v>
      </c>
      <c r="D15" s="965"/>
      <c r="E15" s="964"/>
      <c r="F15" s="68"/>
      <c r="G15" s="69"/>
      <c r="H15" s="1158"/>
      <c r="I15" s="1158"/>
      <c r="J15" s="1158"/>
      <c r="K15" s="1159">
        <f>SUMIF('数据-汇总表'!C$19:C$33,A15,'数据-汇总表'!E$19:E$33)</f>
        <v>0</v>
      </c>
      <c r="L15" s="1160"/>
      <c r="M15" s="71"/>
      <c r="N15" s="1161"/>
      <c r="O15" s="71"/>
      <c r="P15" s="72"/>
      <c r="Q15" s="1162"/>
      <c r="R15" s="73"/>
      <c r="S15" s="54"/>
      <c r="T15" s="1302"/>
      <c r="U15" s="678"/>
      <c r="V15" s="1164"/>
      <c r="W15" s="1164"/>
      <c r="X15" s="1165"/>
      <c r="Y15" s="1166"/>
      <c r="Z15" s="1167"/>
      <c r="AA15" s="1168"/>
      <c r="AB15" s="1168"/>
      <c r="AC15" s="1169"/>
      <c r="AD15" s="1165"/>
      <c r="AE15" s="1170"/>
      <c r="AF15" s="55"/>
      <c r="AG15" s="142"/>
      <c r="AH15" s="1170"/>
      <c r="AI15" s="1507"/>
      <c r="AJ15" s="711"/>
      <c r="AK15" s="1171"/>
      <c r="AL15" s="1172"/>
      <c r="AM15" s="1173"/>
      <c r="AN15" s="2865"/>
      <c r="AO15" s="2867"/>
      <c r="AP15" s="2867"/>
      <c r="AQ15" s="2867"/>
      <c r="AR15" s="2867"/>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1835</v>
      </c>
      <c r="B16" s="93"/>
      <c r="C16" s="940"/>
      <c r="D16" s="1872"/>
      <c r="E16" s="93"/>
      <c r="F16" s="93"/>
      <c r="G16" s="94">
        <f>ROUND(SUMPRODUCT(G6:G13,K6:K13)/SUMPRODUCT((G6:G13&gt;0)*(K6:K13)),3)</f>
        <v>1</v>
      </c>
      <c r="H16" s="95">
        <f>ROUND(SUMPRODUCT(H6:H13,K6:K13)/SUMPRODUCT((H6:H13&gt;0)*(K6:K13)),3)</f>
        <v>0.04</v>
      </c>
      <c r="I16" s="96"/>
      <c r="J16" s="96"/>
      <c r="K16" s="97">
        <f>SUM(K6:K15)</f>
        <v>63761.020000000004</v>
      </c>
      <c r="L16" s="98">
        <f>ROUND(M16*10000/SUM(K6:K14),0)</f>
        <v>5361</v>
      </c>
      <c r="M16" s="98">
        <f>SUM(M6:M14)</f>
        <v>34182</v>
      </c>
      <c r="N16" s="99">
        <f>ROUND(SUMPRODUCT(M6:M14,N6:N14)/M16,3)</f>
        <v>1</v>
      </c>
      <c r="O16" s="98">
        <f>SUM(O6:O14)</f>
        <v>0</v>
      </c>
      <c r="P16" s="98">
        <f>SUM(P6:P14)</f>
        <v>0</v>
      </c>
      <c r="Q16" s="100">
        <f>ROUND(SUMPRODUCT(Q6:Q13,K6:K13)/SUMPRODUCT((Q6:Q13&gt;0)*(K6:K13)),2)</f>
        <v>0.03</v>
      </c>
      <c r="R16" s="1163">
        <f ca="1">SUM(R6:R13)</f>
        <v>25000</v>
      </c>
      <c r="S16" s="101">
        <f>SUM(S6:S13)</f>
        <v>16299.17</v>
      </c>
      <c r="T16" s="102">
        <f>IF(SUMIF(T6:T13,"&lt;9E307")=M14,SUMIF(T6:T13,"&lt;9E307"),"有误，请检查")</f>
        <v>5705</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6"/>
      <c r="C17" s="2865"/>
      <c r="D17" s="2869"/>
      <c r="E17" s="2869"/>
      <c r="F17" s="2865"/>
      <c r="G17" s="2865"/>
      <c r="H17" s="2865"/>
      <c r="I17" s="2865"/>
      <c r="J17" s="2865"/>
      <c r="K17" s="2866"/>
      <c r="L17" s="2866">
        <f>M6+(L14*'数据-汇总表'!M19)/10000</f>
        <v>34181.709499999997</v>
      </c>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4" t="s">
        <v>1837</v>
      </c>
      <c r="B19" s="108">
        <v>0.5</v>
      </c>
      <c r="C19" s="2995" t="s">
        <v>2990</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5" t="s">
        <v>1838</v>
      </c>
      <c r="B20" s="109">
        <v>1.5</v>
      </c>
      <c r="C20" s="2996" t="s">
        <v>2988</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6" t="s">
        <v>1839</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5" t="s">
        <v>1840</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6" t="s">
        <v>1841</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7"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8"/>
      <c r="B25" s="1839"/>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5" t="s">
        <v>1843</v>
      </c>
      <c r="B26" s="1878"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0" customFormat="1" ht="27.75">
      <c r="A27" s="1879" t="s">
        <v>1846</v>
      </c>
      <c r="B27" s="3212">
        <v>160</v>
      </c>
      <c r="C27" s="2997" t="s">
        <v>2992</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1847</v>
      </c>
      <c r="B28" s="3213">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1848</v>
      </c>
      <c r="B29" s="116">
        <v>160</v>
      </c>
      <c r="C29" s="2998" t="s">
        <v>2979</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1849</v>
      </c>
      <c r="B30" s="679">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1850</v>
      </c>
      <c r="B31" s="115">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1851</v>
      </c>
      <c r="B32" s="680">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14.25">
      <c r="A33" s="1879" t="s">
        <v>1852</v>
      </c>
      <c r="B33" s="3345">
        <v>0.12</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1853</v>
      </c>
      <c r="B34" s="3346">
        <v>0.1</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14.25">
      <c r="A35" s="1881" t="s">
        <v>1854</v>
      </c>
      <c r="B35" s="114">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2" t="s">
        <v>1855</v>
      </c>
      <c r="B36" s="118">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3" t="s">
        <v>1856</v>
      </c>
      <c r="B37" s="119">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1" t="s">
        <v>1857</v>
      </c>
      <c r="B38" s="117">
        <v>0</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4" t="s">
        <v>1858</v>
      </c>
      <c r="B39" s="322">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15" thickBot="1">
      <c r="A40" s="3011" t="s">
        <v>3000</v>
      </c>
      <c r="B40" s="3350">
        <v>4.7500000000000001E-2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9" t="s">
        <v>1859</v>
      </c>
      <c r="B41" s="120">
        <f>B42+B43</f>
        <v>0</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5" t="s">
        <v>1860</v>
      </c>
      <c r="B42" s="121">
        <v>0</v>
      </c>
      <c r="C42" s="2877">
        <f>IF(B2&lt;DATE(2016,5,1),0,B42)</f>
        <v>0</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5" t="s">
        <v>1861</v>
      </c>
      <c r="B43" s="122">
        <f>B42*(B44+B45+B46)+B47</f>
        <v>0</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6" t="s">
        <v>1862</v>
      </c>
      <c r="B44" s="123">
        <v>0.05</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6" t="s">
        <v>1863</v>
      </c>
      <c r="B45" s="121">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6" t="s">
        <v>1864</v>
      </c>
      <c r="B46" s="121">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7" t="s">
        <v>1865</v>
      </c>
      <c r="B47" s="124"/>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8" t="s">
        <v>1866</v>
      </c>
      <c r="B48" s="125">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4" t="s">
        <v>1867</v>
      </c>
      <c r="B49" s="121">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9" t="s">
        <v>1868</v>
      </c>
      <c r="B50" s="126">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2" t="s">
        <v>1869</v>
      </c>
      <c r="B51" s="127">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9" t="s">
        <v>1870</v>
      </c>
      <c r="B52" s="128">
        <f>SUMIF(A54:A63,B53,B54:B63)</f>
        <v>1.5</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1" t="s">
        <v>1871</v>
      </c>
      <c r="B53" s="1890" t="s">
        <v>56</v>
      </c>
      <c r="C53" s="2853" t="s">
        <v>1872</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1" t="s">
        <v>1873</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1"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1"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1"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1"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1" t="s">
        <v>1878</v>
      </c>
      <c r="B59" s="80">
        <f>C59</f>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1"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1"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1"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2" t="s">
        <v>1882</v>
      </c>
      <c r="B63" s="129"/>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9"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9"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9"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9"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9"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3" customWidth="1"/>
    <col min="3" max="3" width="24.5" style="2701" customWidth="1"/>
    <col min="4" max="4" width="2.625" style="2701" customWidth="1"/>
    <col min="5" max="5" width="5.875" style="2701" customWidth="1"/>
    <col min="6" max="6" width="27" style="1723"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5"/>
    <col min="30" max="16384" width="9" style="1838"/>
  </cols>
  <sheetData>
    <row r="1" spans="1:29" s="2648" customFormat="1" ht="18.75" thickBot="1">
      <c r="A1" s="3449" t="s">
        <v>2971</v>
      </c>
      <c r="B1" s="3450"/>
      <c r="C1" s="3450"/>
      <c r="D1" s="3450"/>
      <c r="E1" s="3450"/>
      <c r="F1" s="3450"/>
      <c r="G1" s="3450"/>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2966</v>
      </c>
      <c r="D2" s="2652"/>
      <c r="E2" s="2649"/>
      <c r="F2" s="2653"/>
      <c r="G2" s="2651" t="s">
        <v>2967</v>
      </c>
      <c r="H2" s="905"/>
      <c r="I2" s="905"/>
      <c r="J2" s="905"/>
      <c r="K2" s="905"/>
      <c r="L2" s="905"/>
      <c r="M2" s="905"/>
      <c r="N2" s="905"/>
      <c r="O2" s="905"/>
      <c r="P2" s="905"/>
      <c r="Q2" s="905"/>
      <c r="R2" s="905"/>
    </row>
    <row r="3" spans="1:29" ht="48">
      <c r="A3" s="2632" t="s">
        <v>2968</v>
      </c>
      <c r="B3" s="2654" t="s">
        <v>2937</v>
      </c>
      <c r="C3" s="2655" t="s">
        <v>2969</v>
      </c>
      <c r="D3" s="2656"/>
      <c r="E3" s="2633" t="s">
        <v>2968</v>
      </c>
      <c r="F3" s="2657" t="s">
        <v>2938</v>
      </c>
      <c r="G3" s="2658" t="s">
        <v>2970</v>
      </c>
      <c r="H3" s="905"/>
      <c r="I3" s="905"/>
      <c r="J3" s="905"/>
      <c r="K3" s="905"/>
      <c r="L3" s="905"/>
      <c r="M3" s="905"/>
      <c r="N3" s="905"/>
      <c r="O3" s="905"/>
      <c r="P3" s="905"/>
      <c r="Q3" s="905"/>
      <c r="R3" s="905"/>
    </row>
    <row r="4" spans="1:29" ht="36.75">
      <c r="A4" s="2633"/>
      <c r="B4" s="328" t="s">
        <v>2939</v>
      </c>
      <c r="C4" s="2659" t="s">
        <v>2940</v>
      </c>
      <c r="D4" s="2656"/>
      <c r="E4" s="2660"/>
      <c r="F4" s="1523" t="s">
        <v>2941</v>
      </c>
      <c r="G4" s="2661" t="s">
        <v>2942</v>
      </c>
      <c r="H4" s="905"/>
      <c r="I4" s="905"/>
      <c r="J4" s="905"/>
      <c r="K4" s="905"/>
      <c r="L4" s="905"/>
      <c r="M4" s="905"/>
      <c r="N4" s="905"/>
      <c r="O4" s="905"/>
      <c r="P4" s="905"/>
      <c r="Q4" s="905"/>
      <c r="R4" s="905"/>
    </row>
    <row r="5" spans="1:29" ht="36.75">
      <c r="A5" s="2633"/>
      <c r="B5" s="328" t="s">
        <v>2943</v>
      </c>
      <c r="C5" s="2659" t="s">
        <v>2944</v>
      </c>
      <c r="D5" s="2656"/>
      <c r="E5" s="2660"/>
      <c r="F5" s="328" t="s">
        <v>2945</v>
      </c>
      <c r="G5" s="2661" t="s">
        <v>2946</v>
      </c>
      <c r="H5" s="905"/>
      <c r="I5" s="905"/>
      <c r="J5" s="905"/>
      <c r="K5" s="905"/>
      <c r="L5" s="905"/>
      <c r="M5" s="905"/>
      <c r="N5" s="905"/>
      <c r="O5" s="905"/>
      <c r="P5" s="905"/>
      <c r="Q5" s="905"/>
      <c r="R5" s="905"/>
    </row>
    <row r="6" spans="1:29" ht="36">
      <c r="A6" s="2633"/>
      <c r="B6" s="328" t="s">
        <v>2947</v>
      </c>
      <c r="C6" s="2661" t="s">
        <v>2942</v>
      </c>
      <c r="D6" s="2656"/>
      <c r="E6" s="2660"/>
      <c r="F6" s="328" t="s">
        <v>2948</v>
      </c>
      <c r="G6" s="2661" t="s">
        <v>2949</v>
      </c>
      <c r="H6" s="905"/>
      <c r="I6" s="905"/>
      <c r="J6" s="905"/>
      <c r="K6" s="905"/>
      <c r="L6" s="905"/>
      <c r="M6" s="905"/>
      <c r="N6" s="905"/>
      <c r="O6" s="905"/>
      <c r="P6" s="905"/>
      <c r="Q6" s="905"/>
      <c r="R6" s="905"/>
    </row>
    <row r="7" spans="1:29" ht="24.75" thickBot="1">
      <c r="A7" s="2633"/>
      <c r="B7" s="328" t="s">
        <v>2945</v>
      </c>
      <c r="C7" s="2661" t="s">
        <v>2946</v>
      </c>
      <c r="D7" s="2662"/>
      <c r="E7" s="2663"/>
      <c r="F7" s="2664" t="s">
        <v>2950</v>
      </c>
      <c r="G7" s="2665" t="s">
        <v>2951</v>
      </c>
      <c r="H7" s="905"/>
      <c r="I7" s="905"/>
      <c r="J7" s="905"/>
      <c r="K7" s="905"/>
      <c r="L7" s="905"/>
      <c r="M7" s="905"/>
      <c r="N7" s="905"/>
      <c r="O7" s="905"/>
      <c r="P7" s="905"/>
      <c r="Q7" s="905"/>
      <c r="R7" s="905"/>
    </row>
    <row r="8" spans="1:29">
      <c r="A8" s="2633"/>
      <c r="B8" s="328" t="s">
        <v>2948</v>
      </c>
      <c r="C8" s="2661" t="s">
        <v>2949</v>
      </c>
      <c r="D8" s="2662"/>
      <c r="E8" s="2662"/>
      <c r="F8" s="2666"/>
      <c r="G8" s="2666"/>
      <c r="H8" s="905"/>
      <c r="I8" s="905"/>
      <c r="J8" s="905"/>
      <c r="K8" s="905"/>
      <c r="L8" s="905"/>
      <c r="M8" s="905"/>
      <c r="N8" s="905"/>
      <c r="O8" s="905"/>
      <c r="P8" s="905"/>
      <c r="Q8" s="905"/>
      <c r="R8" s="905"/>
    </row>
    <row r="9" spans="1:29" ht="24">
      <c r="A9" s="2633"/>
      <c r="B9" s="328" t="s">
        <v>2952</v>
      </c>
      <c r="C9" s="2659" t="s">
        <v>2953</v>
      </c>
      <c r="D9" s="2656"/>
      <c r="E9" s="2662"/>
      <c r="F9" s="2666"/>
      <c r="G9" s="2666"/>
      <c r="H9" s="905"/>
      <c r="I9" s="905"/>
      <c r="J9" s="905"/>
      <c r="K9" s="905"/>
      <c r="L9" s="905"/>
      <c r="M9" s="905"/>
      <c r="N9" s="905"/>
      <c r="O9" s="905"/>
      <c r="P9" s="905"/>
      <c r="Q9" s="905"/>
      <c r="R9" s="905"/>
    </row>
    <row r="10" spans="1:29" s="2672" customFormat="1" ht="15" thickBot="1">
      <c r="A10" s="2634"/>
      <c r="B10" s="2667" t="s">
        <v>2954</v>
      </c>
      <c r="C10" s="2668"/>
      <c r="D10" s="2656"/>
      <c r="E10" s="2656"/>
      <c r="F10" s="2666"/>
      <c r="G10" s="2666"/>
      <c r="H10" s="2669"/>
      <c r="I10" s="2670"/>
      <c r="J10" s="2671"/>
      <c r="K10" s="2669"/>
      <c r="L10" s="2670"/>
      <c r="M10" s="2671"/>
      <c r="N10" s="2669"/>
      <c r="O10" s="2670"/>
      <c r="P10" s="2671"/>
      <c r="Q10" s="2669"/>
      <c r="R10" s="2670"/>
      <c r="S10" s="905"/>
      <c r="T10" s="905"/>
      <c r="U10" s="905"/>
      <c r="V10" s="905"/>
      <c r="W10" s="905"/>
      <c r="X10" s="905"/>
      <c r="Y10" s="905"/>
      <c r="Z10" s="905"/>
      <c r="AA10" s="905"/>
      <c r="AB10" s="905"/>
      <c r="AC10" s="905"/>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5"/>
      <c r="T11" s="905"/>
      <c r="U11" s="905"/>
      <c r="V11" s="905"/>
      <c r="W11" s="905"/>
      <c r="X11" s="905"/>
      <c r="Y11" s="905"/>
      <c r="Z11" s="905"/>
      <c r="AA11" s="905"/>
      <c r="AB11" s="905"/>
      <c r="AC11" s="905"/>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2972</v>
      </c>
      <c r="B13" s="2675"/>
      <c r="C13" s="2675"/>
      <c r="D13" s="2673"/>
      <c r="E13" s="2675"/>
      <c r="F13" s="2675"/>
      <c r="G13" s="2675"/>
    </row>
    <row r="14" spans="1:29" ht="15" thickBot="1">
      <c r="A14" s="2685"/>
      <c r="B14" s="2685"/>
      <c r="C14" s="2686" t="s">
        <v>2955</v>
      </c>
      <c r="D14" s="2656"/>
      <c r="E14" s="2687"/>
      <c r="F14" s="2687"/>
      <c r="G14" s="2651" t="s">
        <v>2956</v>
      </c>
    </row>
    <row r="15" spans="1:29" ht="51">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8.25">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8.25">
      <c r="A17" s="2637"/>
      <c r="B17" s="2691" t="s">
        <v>2943</v>
      </c>
      <c r="C17" s="2692" t="str">
        <f>C5</f>
        <v>估价对象位于XX商圈，周边办公楼项目较多，入驻率高，办公集聚程度较好</v>
      </c>
      <c r="D17" s="2662"/>
      <c r="E17" s="2638"/>
      <c r="F17" s="2693" t="s">
        <v>2960</v>
      </c>
      <c r="G17" s="2695"/>
    </row>
    <row r="18" spans="1:18" ht="38.25">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5.5">
      <c r="A19" s="2637"/>
      <c r="B19" s="2693" t="s">
        <v>2961</v>
      </c>
      <c r="C19" s="2695"/>
      <c r="D19" s="2656"/>
      <c r="E19" s="2638"/>
      <c r="F19" s="328" t="s">
        <v>2945</v>
      </c>
      <c r="G19" s="2694" t="str">
        <f>G5</f>
        <v>估价对象所在区域公共配套设施齐备情况</v>
      </c>
    </row>
    <row r="20" spans="1:18" ht="25.5">
      <c r="A20" s="2637"/>
      <c r="B20" s="2693" t="s">
        <v>2962</v>
      </c>
      <c r="C20" s="2692" t="str">
        <f>C9</f>
        <v>区域自然环境：；人文环境；综合评价环境状况一般</v>
      </c>
      <c r="D20" s="2662"/>
      <c r="E20" s="2638"/>
      <c r="F20" s="328" t="s">
        <v>2948</v>
      </c>
      <c r="G20" s="2694" t="str">
        <f>G6</f>
        <v>估价对象所在区域基础设施水平</v>
      </c>
    </row>
    <row r="21" spans="1:18" ht="25.5">
      <c r="A21" s="2637"/>
      <c r="B21" s="328" t="s">
        <v>2945</v>
      </c>
      <c r="C21" s="2694" t="str">
        <f>C7</f>
        <v>估价对象所在区域公共配套设施齐备情况</v>
      </c>
      <c r="D21" s="2656"/>
      <c r="E21" s="2638"/>
      <c r="F21" s="2693" t="s">
        <v>2963</v>
      </c>
      <c r="G21" s="2696"/>
    </row>
    <row r="22" spans="1:18" ht="13.5" customHeight="1">
      <c r="A22" s="2637"/>
      <c r="B22" s="328" t="s">
        <v>2948</v>
      </c>
      <c r="C22" s="2694" t="str">
        <f>C8</f>
        <v>估价对象所在区域基础设施水平</v>
      </c>
      <c r="D22" s="2656"/>
      <c r="E22" s="2638"/>
      <c r="F22" s="2693" t="s">
        <v>2954</v>
      </c>
      <c r="G22" s="2695"/>
    </row>
    <row r="23" spans="1:18" s="905" customFormat="1" ht="15" thickBot="1">
      <c r="A23" s="2637"/>
      <c r="B23" s="2693" t="s">
        <v>2963</v>
      </c>
      <c r="C23" s="2696"/>
      <c r="D23" s="1893"/>
      <c r="E23" s="2639"/>
      <c r="F23" s="2697" t="s">
        <v>2964</v>
      </c>
      <c r="G23" s="2698"/>
      <c r="H23" s="2682"/>
      <c r="I23" s="2683"/>
      <c r="J23" s="2682"/>
      <c r="K23" s="2682"/>
      <c r="L23" s="2683"/>
      <c r="M23" s="2682"/>
      <c r="N23" s="2682"/>
      <c r="O23" s="2683"/>
      <c r="P23" s="2682"/>
      <c r="Q23" s="2682"/>
      <c r="R23" s="2684"/>
    </row>
    <row r="24" spans="1:18" s="905" customFormat="1" ht="15" thickBot="1">
      <c r="A24" s="2640"/>
      <c r="B24" s="2697" t="s">
        <v>2965</v>
      </c>
      <c r="C24" s="2699">
        <f>C10</f>
        <v>0</v>
      </c>
      <c r="D24" s="1893"/>
      <c r="E24" s="2630"/>
      <c r="F24" s="2630"/>
      <c r="G24" s="2700"/>
      <c r="H24" s="2682"/>
      <c r="I24" s="2683"/>
      <c r="J24" s="2682"/>
      <c r="K24" s="2682"/>
      <c r="L24" s="2683"/>
      <c r="M24" s="2682"/>
      <c r="N24" s="2682"/>
      <c r="O24" s="2683"/>
      <c r="P24" s="2682"/>
      <c r="Q24" s="2682"/>
      <c r="R24" s="2684"/>
    </row>
    <row r="25" spans="1:18" s="905" customFormat="1">
      <c r="B25" s="2682"/>
      <c r="C25" s="2682"/>
      <c r="D25" s="2682"/>
      <c r="H25" s="2682"/>
      <c r="I25" s="2683"/>
      <c r="J25" s="2682"/>
      <c r="K25" s="2682"/>
      <c r="L25" s="2683"/>
      <c r="M25" s="2682"/>
      <c r="N25" s="2682"/>
      <c r="O25" s="2683"/>
      <c r="P25" s="2682"/>
      <c r="Q25" s="2682"/>
      <c r="R25" s="2684"/>
    </row>
    <row r="26" spans="1:18" s="905" customFormat="1">
      <c r="B26" s="2682"/>
      <c r="C26" s="2682"/>
      <c r="D26" s="2682"/>
      <c r="H26" s="2682"/>
      <c r="I26" s="2683"/>
      <c r="J26" s="2682"/>
      <c r="K26" s="2682"/>
      <c r="L26" s="2683"/>
      <c r="M26" s="2682"/>
      <c r="N26" s="2682"/>
      <c r="O26" s="2683"/>
      <c r="P26" s="2682"/>
      <c r="Q26" s="2682"/>
      <c r="R26" s="2684"/>
    </row>
    <row r="27" spans="1:18" s="905" customFormat="1">
      <c r="B27" s="2682"/>
      <c r="C27" s="2682"/>
      <c r="D27" s="2682"/>
      <c r="H27" s="2682"/>
      <c r="I27" s="2683"/>
      <c r="J27" s="2682"/>
      <c r="K27" s="2682"/>
      <c r="L27" s="2683"/>
      <c r="M27" s="2682"/>
      <c r="N27" s="2682"/>
      <c r="O27" s="2683"/>
      <c r="P27" s="2682"/>
      <c r="Q27" s="2682"/>
      <c r="R27" s="2684"/>
    </row>
    <row r="28" spans="1:18" s="905" customFormat="1">
      <c r="B28" s="2682"/>
      <c r="C28" s="2682"/>
      <c r="D28" s="2682"/>
      <c r="H28" s="2682"/>
      <c r="I28" s="2683"/>
      <c r="J28" s="2682"/>
      <c r="K28" s="2682"/>
      <c r="L28" s="2683"/>
      <c r="M28" s="2682"/>
      <c r="N28" s="2682"/>
      <c r="O28" s="2683"/>
      <c r="P28" s="2682"/>
      <c r="Q28" s="2682"/>
      <c r="R28" s="2684"/>
    </row>
    <row r="29" spans="1:18" s="905" customFormat="1">
      <c r="B29" s="2682"/>
      <c r="C29" s="2682"/>
      <c r="D29" s="2682"/>
      <c r="H29" s="2682"/>
      <c r="I29" s="2683"/>
      <c r="J29" s="2682"/>
      <c r="K29" s="2682"/>
      <c r="L29" s="2683"/>
      <c r="M29" s="2682"/>
      <c r="N29" s="2682"/>
      <c r="O29" s="2683"/>
      <c r="P29" s="2682"/>
      <c r="Q29" s="2682"/>
      <c r="R29" s="2684"/>
    </row>
    <row r="30" spans="1:18" s="905" customFormat="1">
      <c r="B30" s="2682"/>
      <c r="C30" s="2682"/>
      <c r="D30" s="2682"/>
      <c r="H30" s="2682"/>
      <c r="I30" s="2683"/>
      <c r="J30" s="2682"/>
      <c r="K30" s="2682"/>
      <c r="L30" s="2683"/>
      <c r="M30" s="2682"/>
      <c r="N30" s="2682"/>
      <c r="O30" s="2683"/>
      <c r="P30" s="2682"/>
      <c r="Q30" s="2682"/>
      <c r="R30" s="2684"/>
    </row>
    <row r="31" spans="1:18" s="905" customFormat="1">
      <c r="B31" s="2682"/>
      <c r="C31" s="2682"/>
      <c r="D31" s="2682"/>
      <c r="H31" s="2682"/>
      <c r="I31" s="2683"/>
      <c r="J31" s="2682"/>
      <c r="K31" s="2682"/>
      <c r="L31" s="2683"/>
      <c r="M31" s="2682"/>
      <c r="N31" s="2682"/>
      <c r="O31" s="2683"/>
      <c r="P31" s="2682"/>
      <c r="Q31" s="2682"/>
      <c r="R31" s="2684"/>
    </row>
    <row r="32" spans="1:18" s="905" customFormat="1">
      <c r="B32" s="2682"/>
      <c r="C32" s="2682"/>
      <c r="D32" s="2682"/>
      <c r="H32" s="2682"/>
      <c r="I32" s="2683"/>
      <c r="J32" s="2682"/>
      <c r="K32" s="2682"/>
      <c r="L32" s="2683"/>
      <c r="M32" s="2682"/>
      <c r="N32" s="2682"/>
      <c r="O32" s="2683"/>
      <c r="P32" s="2682"/>
      <c r="Q32" s="2682"/>
      <c r="R32" s="2684"/>
    </row>
    <row r="33" spans="2:18" s="905" customFormat="1">
      <c r="B33" s="2682"/>
      <c r="C33" s="2682"/>
      <c r="D33" s="2682"/>
      <c r="H33" s="2682"/>
      <c r="I33" s="2683"/>
      <c r="J33" s="2682"/>
      <c r="K33" s="2682"/>
      <c r="L33" s="2683"/>
      <c r="M33" s="2682"/>
      <c r="N33" s="2682"/>
      <c r="O33" s="2683"/>
      <c r="P33" s="2682"/>
      <c r="Q33" s="2682"/>
      <c r="R33" s="2684"/>
    </row>
    <row r="34" spans="2:18" s="905" customFormat="1">
      <c r="B34" s="2682"/>
      <c r="C34" s="2682"/>
      <c r="D34" s="2682"/>
      <c r="H34" s="2682"/>
      <c r="I34" s="2683"/>
      <c r="J34" s="2682"/>
      <c r="K34" s="2682"/>
      <c r="L34" s="2683"/>
      <c r="M34" s="2682"/>
      <c r="N34" s="2682"/>
      <c r="O34" s="2683"/>
      <c r="P34" s="2682"/>
      <c r="Q34" s="2682"/>
      <c r="R34" s="2684"/>
    </row>
    <row r="35" spans="2:18" s="905" customFormat="1">
      <c r="B35" s="2682"/>
      <c r="C35" s="2682"/>
      <c r="D35" s="2682"/>
      <c r="H35" s="2682"/>
      <c r="I35" s="2683"/>
      <c r="J35" s="2682"/>
      <c r="K35" s="2682"/>
      <c r="L35" s="2683"/>
      <c r="M35" s="2682"/>
      <c r="N35" s="2682"/>
      <c r="O35" s="2683"/>
      <c r="P35" s="2682"/>
      <c r="Q35" s="2682"/>
      <c r="R35" s="2684"/>
    </row>
    <row r="36" spans="2:18" s="905" customFormat="1">
      <c r="B36" s="2682"/>
      <c r="C36" s="2682"/>
      <c r="D36" s="2682"/>
      <c r="H36" s="2682"/>
      <c r="I36" s="2683"/>
      <c r="J36" s="2682"/>
      <c r="K36" s="2682"/>
      <c r="L36" s="2683"/>
      <c r="M36" s="2682"/>
      <c r="N36" s="2682"/>
      <c r="O36" s="2683"/>
      <c r="P36" s="2682"/>
      <c r="Q36" s="2682"/>
      <c r="R36" s="2684"/>
    </row>
    <row r="37" spans="2:18" s="905" customFormat="1">
      <c r="B37" s="2682"/>
      <c r="C37" s="2682"/>
      <c r="D37" s="2682"/>
      <c r="H37" s="2682"/>
      <c r="I37" s="2683"/>
      <c r="J37" s="2682"/>
      <c r="K37" s="2682"/>
      <c r="L37" s="2683"/>
      <c r="M37" s="2682"/>
      <c r="N37" s="2682"/>
      <c r="O37" s="2683"/>
      <c r="P37" s="2682"/>
      <c r="Q37" s="2682"/>
      <c r="R37" s="2684"/>
    </row>
    <row r="38" spans="2:18" s="905" customFormat="1">
      <c r="B38" s="2682"/>
      <c r="C38" s="2682"/>
      <c r="D38" s="2682"/>
      <c r="E38" s="2682"/>
      <c r="F38" s="2682"/>
      <c r="G38" s="2683"/>
      <c r="H38" s="2682"/>
      <c r="I38" s="2683"/>
      <c r="J38" s="2682"/>
      <c r="K38" s="2682"/>
      <c r="L38" s="2683"/>
      <c r="M38" s="2682"/>
      <c r="N38" s="2682"/>
      <c r="O38" s="2683"/>
      <c r="P38" s="2682"/>
      <c r="Q38" s="2682"/>
      <c r="R38" s="2684"/>
    </row>
    <row r="39" spans="2:18" s="905" customFormat="1">
      <c r="B39" s="2682"/>
      <c r="C39" s="2682"/>
      <c r="D39" s="2682"/>
      <c r="E39" s="2682"/>
      <c r="F39" s="2682"/>
      <c r="G39" s="2683"/>
      <c r="H39" s="2682"/>
      <c r="I39" s="2683"/>
      <c r="J39" s="2682"/>
      <c r="K39" s="2682"/>
      <c r="L39" s="2683"/>
      <c r="M39" s="2682"/>
      <c r="N39" s="2682"/>
      <c r="O39" s="2683"/>
      <c r="P39" s="2682"/>
      <c r="Q39" s="2682"/>
      <c r="R39" s="2684"/>
    </row>
    <row r="40" spans="2:18" s="905" customFormat="1">
      <c r="B40" s="2682"/>
      <c r="C40" s="2682"/>
      <c r="D40" s="2682"/>
      <c r="E40" s="2682"/>
      <c r="F40" s="2682"/>
      <c r="G40" s="2683"/>
      <c r="H40" s="2682"/>
      <c r="I40" s="2683"/>
      <c r="J40" s="2682"/>
      <c r="K40" s="2682"/>
      <c r="L40" s="2683"/>
      <c r="M40" s="2682"/>
      <c r="N40" s="2682"/>
      <c r="O40" s="2683"/>
      <c r="P40" s="2682"/>
      <c r="Q40" s="2682"/>
      <c r="R40" s="2684"/>
    </row>
    <row r="41" spans="2:18" s="905" customFormat="1">
      <c r="B41" s="2682"/>
      <c r="C41" s="2682"/>
      <c r="D41" s="2682"/>
      <c r="E41" s="2682"/>
      <c r="F41" s="2682"/>
      <c r="G41" s="2683"/>
      <c r="H41" s="2682"/>
      <c r="I41" s="2683"/>
      <c r="J41" s="2682"/>
      <c r="K41" s="2682"/>
      <c r="L41" s="2683"/>
      <c r="M41" s="2682"/>
      <c r="N41" s="2682"/>
      <c r="O41" s="2683"/>
      <c r="P41" s="2682"/>
      <c r="Q41" s="2682"/>
      <c r="R41" s="2684"/>
    </row>
    <row r="42" spans="2:18" s="905" customFormat="1">
      <c r="B42" s="2682"/>
      <c r="C42" s="2682"/>
      <c r="D42" s="2682"/>
      <c r="E42" s="2682"/>
      <c r="F42" s="2682"/>
      <c r="G42" s="2683"/>
      <c r="H42" s="2682"/>
      <c r="I42" s="2683"/>
      <c r="J42" s="2682"/>
      <c r="K42" s="2682"/>
      <c r="L42" s="2683"/>
      <c r="M42" s="2682"/>
      <c r="N42" s="2682"/>
      <c r="O42" s="2683"/>
      <c r="P42" s="2682"/>
      <c r="Q42" s="2682"/>
      <c r="R42" s="2684"/>
    </row>
    <row r="43" spans="2:18" s="905" customFormat="1">
      <c r="B43" s="2682"/>
      <c r="C43" s="2682"/>
      <c r="D43" s="2682"/>
      <c r="E43" s="2682"/>
      <c r="F43" s="2682"/>
      <c r="G43" s="2683"/>
      <c r="H43" s="2682"/>
      <c r="I43" s="2683"/>
      <c r="J43" s="2682"/>
      <c r="K43" s="2682"/>
      <c r="L43" s="2683"/>
      <c r="M43" s="2682"/>
      <c r="N43" s="2682"/>
      <c r="O43" s="2683"/>
      <c r="P43" s="2682"/>
      <c r="Q43" s="2682"/>
      <c r="R43" s="2684"/>
    </row>
    <row r="44" spans="2:18" s="905" customFormat="1">
      <c r="B44" s="2682"/>
      <c r="C44" s="2682"/>
      <c r="D44" s="2682"/>
      <c r="E44" s="2682"/>
      <c r="F44" s="2682"/>
      <c r="G44" s="2683"/>
      <c r="H44" s="2682"/>
      <c r="I44" s="2683"/>
      <c r="J44" s="2682"/>
      <c r="K44" s="2682"/>
      <c r="L44" s="2683"/>
      <c r="M44" s="2682"/>
      <c r="N44" s="2682"/>
      <c r="O44" s="2683"/>
      <c r="P44" s="2682"/>
      <c r="Q44" s="2682"/>
      <c r="R44" s="2684"/>
    </row>
    <row r="45" spans="2:18" s="905" customFormat="1">
      <c r="B45" s="2682"/>
      <c r="C45" s="2682"/>
      <c r="D45" s="2682"/>
      <c r="E45" s="2682"/>
      <c r="F45" s="2682"/>
      <c r="G45" s="2683"/>
      <c r="H45" s="2682"/>
      <c r="I45" s="2683"/>
      <c r="J45" s="2682"/>
      <c r="K45" s="2682"/>
      <c r="L45" s="2683"/>
      <c r="M45" s="2682"/>
      <c r="N45" s="2682"/>
      <c r="O45" s="2683"/>
      <c r="P45" s="2682"/>
      <c r="Q45" s="2682"/>
      <c r="R45" s="2684"/>
    </row>
    <row r="46" spans="2:18" s="905" customFormat="1">
      <c r="B46" s="2682"/>
      <c r="C46" s="2682"/>
      <c r="D46" s="2682"/>
      <c r="E46" s="2682"/>
      <c r="F46" s="2682"/>
      <c r="G46" s="2683"/>
      <c r="H46" s="2682"/>
      <c r="I46" s="2683"/>
      <c r="J46" s="2682"/>
      <c r="K46" s="2682"/>
      <c r="L46" s="2683"/>
      <c r="M46" s="2682"/>
      <c r="N46" s="2682"/>
      <c r="O46" s="2683"/>
      <c r="P46" s="2682"/>
      <c r="Q46" s="2682"/>
      <c r="R46" s="2684"/>
    </row>
    <row r="47" spans="2:18" s="905" customFormat="1">
      <c r="B47" s="2682"/>
      <c r="C47" s="2682"/>
      <c r="D47" s="2682"/>
      <c r="E47" s="2682"/>
      <c r="F47" s="2682"/>
      <c r="G47" s="2683"/>
      <c r="H47" s="2682"/>
      <c r="I47" s="2683"/>
      <c r="J47" s="2682"/>
      <c r="K47" s="2682"/>
      <c r="L47" s="2683"/>
      <c r="M47" s="2682"/>
      <c r="N47" s="2682"/>
      <c r="O47" s="2683"/>
      <c r="P47" s="2682"/>
      <c r="Q47" s="2682"/>
      <c r="R47" s="2684"/>
    </row>
    <row r="48" spans="2:18" s="905" customFormat="1">
      <c r="B48" s="2682"/>
      <c r="C48" s="2682"/>
      <c r="D48" s="2682"/>
      <c r="E48" s="2682"/>
      <c r="F48" s="2682"/>
      <c r="G48" s="2683"/>
      <c r="H48" s="2682"/>
      <c r="I48" s="2683"/>
      <c r="J48" s="2682"/>
      <c r="K48" s="2682"/>
      <c r="L48" s="2683"/>
      <c r="M48" s="2682"/>
      <c r="N48" s="2682"/>
      <c r="O48" s="2683"/>
      <c r="P48" s="2682"/>
      <c r="Q48" s="2682"/>
      <c r="R48" s="2684"/>
    </row>
    <row r="49" spans="2:18" s="905" customFormat="1">
      <c r="B49" s="2682"/>
      <c r="C49" s="2682"/>
      <c r="D49" s="2682"/>
      <c r="E49" s="2682"/>
      <c r="F49" s="2682"/>
      <c r="G49" s="2683"/>
      <c r="H49" s="2682"/>
      <c r="I49" s="2683"/>
      <c r="J49" s="2682"/>
      <c r="K49" s="2682"/>
      <c r="L49" s="2683"/>
      <c r="M49" s="2682"/>
      <c r="N49" s="2682"/>
      <c r="O49" s="2683"/>
      <c r="P49" s="2682"/>
      <c r="Q49" s="2682"/>
      <c r="R49" s="2684"/>
    </row>
    <row r="50" spans="2:18" s="905" customFormat="1">
      <c r="B50" s="2682"/>
      <c r="C50" s="2682"/>
      <c r="D50" s="2682"/>
      <c r="E50" s="2682"/>
      <c r="F50" s="2682"/>
      <c r="G50" s="2683"/>
      <c r="H50" s="2682"/>
      <c r="I50" s="2683"/>
      <c r="J50" s="2682"/>
      <c r="K50" s="2682"/>
      <c r="L50" s="2683"/>
      <c r="M50" s="2682"/>
      <c r="N50" s="2682"/>
      <c r="O50" s="2683"/>
      <c r="P50" s="2682"/>
      <c r="Q50" s="2682"/>
      <c r="R50" s="2684"/>
    </row>
    <row r="51" spans="2:18" s="905" customFormat="1">
      <c r="B51" s="2682"/>
      <c r="C51" s="2682"/>
      <c r="D51" s="2682"/>
      <c r="E51" s="2682"/>
      <c r="F51" s="2682"/>
      <c r="G51" s="2683"/>
      <c r="H51" s="2682"/>
      <c r="I51" s="2683"/>
      <c r="J51" s="2682"/>
      <c r="K51" s="2682"/>
      <c r="L51" s="2683"/>
      <c r="M51" s="2682"/>
      <c r="N51" s="2682"/>
      <c r="O51" s="2683"/>
      <c r="P51" s="2682"/>
      <c r="Q51" s="2682"/>
      <c r="R51" s="2684"/>
    </row>
    <row r="52" spans="2:18" s="905" customFormat="1">
      <c r="B52" s="2682"/>
      <c r="C52" s="2682"/>
      <c r="D52" s="2682"/>
      <c r="E52" s="2682"/>
      <c r="F52" s="2682"/>
      <c r="G52" s="2683"/>
      <c r="H52" s="2682"/>
      <c r="I52" s="2683"/>
      <c r="J52" s="2682"/>
      <c r="K52" s="2682"/>
      <c r="L52" s="2683"/>
      <c r="M52" s="2682"/>
      <c r="N52" s="2682"/>
      <c r="O52" s="2683"/>
      <c r="P52" s="2682"/>
      <c r="Q52" s="2682"/>
      <c r="R52" s="2684"/>
    </row>
    <row r="53" spans="2:18" s="905" customFormat="1">
      <c r="B53" s="2682"/>
      <c r="C53" s="2682"/>
      <c r="D53" s="2682"/>
      <c r="E53" s="2682"/>
      <c r="F53" s="2682"/>
      <c r="G53" s="2683"/>
      <c r="H53" s="2682"/>
      <c r="I53" s="2683"/>
      <c r="J53" s="2682"/>
      <c r="K53" s="2682"/>
      <c r="L53" s="2683"/>
      <c r="M53" s="2682"/>
      <c r="N53" s="2682"/>
      <c r="O53" s="2683"/>
      <c r="P53" s="2682"/>
      <c r="Q53" s="2682"/>
      <c r="R53" s="2684"/>
    </row>
    <row r="54" spans="2:18" s="905" customFormat="1">
      <c r="B54" s="2682"/>
      <c r="C54" s="2682"/>
      <c r="D54" s="2682"/>
      <c r="E54" s="2682"/>
      <c r="F54" s="2682"/>
      <c r="G54" s="2683"/>
      <c r="H54" s="2682"/>
      <c r="I54" s="2683"/>
      <c r="J54" s="2682"/>
      <c r="K54" s="2682"/>
      <c r="L54" s="2683"/>
      <c r="M54" s="2682"/>
      <c r="N54" s="2682"/>
      <c r="O54" s="2683"/>
      <c r="P54" s="2682"/>
      <c r="Q54" s="2682"/>
      <c r="R54" s="2684"/>
    </row>
    <row r="55" spans="2:18" s="905" customFormat="1">
      <c r="B55" s="2682"/>
      <c r="C55" s="2682"/>
      <c r="D55" s="2682"/>
      <c r="E55" s="2682"/>
      <c r="F55" s="2682"/>
      <c r="G55" s="2683"/>
      <c r="H55" s="2682"/>
      <c r="I55" s="2683"/>
      <c r="J55" s="2682"/>
      <c r="K55" s="2682"/>
      <c r="L55" s="2683"/>
      <c r="M55" s="2682"/>
      <c r="N55" s="2682"/>
      <c r="O55" s="2683"/>
      <c r="P55" s="2682"/>
      <c r="Q55" s="2682"/>
      <c r="R55" s="2684"/>
    </row>
    <row r="56" spans="2:18" s="905" customFormat="1">
      <c r="B56" s="2682"/>
      <c r="C56" s="2682"/>
      <c r="D56" s="2682"/>
      <c r="E56" s="2682"/>
      <c r="F56" s="2682"/>
      <c r="G56" s="2683"/>
      <c r="H56" s="2682"/>
      <c r="I56" s="2683"/>
      <c r="J56" s="2682"/>
      <c r="K56" s="2682"/>
      <c r="L56" s="2683"/>
      <c r="M56" s="2682"/>
      <c r="N56" s="2682"/>
      <c r="O56" s="2683"/>
      <c r="P56" s="2682"/>
      <c r="Q56" s="2682"/>
      <c r="R56" s="2684"/>
    </row>
    <row r="57" spans="2:18" s="905" customFormat="1">
      <c r="B57" s="2682"/>
      <c r="C57" s="2682"/>
      <c r="D57" s="2682"/>
      <c r="E57" s="2682"/>
      <c r="F57" s="2682"/>
      <c r="G57" s="2683"/>
      <c r="H57" s="2682"/>
      <c r="I57" s="2683"/>
      <c r="J57" s="2682"/>
      <c r="K57" s="2682"/>
      <c r="L57" s="2683"/>
      <c r="M57" s="2682"/>
      <c r="N57" s="2682"/>
      <c r="O57" s="2683"/>
      <c r="P57" s="2682"/>
      <c r="Q57" s="2682"/>
      <c r="R57" s="2684"/>
    </row>
    <row r="58" spans="2:18" s="905" customFormat="1">
      <c r="B58" s="2682"/>
      <c r="C58" s="2682"/>
      <c r="D58" s="2682"/>
      <c r="E58" s="2682"/>
      <c r="F58" s="2682"/>
      <c r="G58" s="2683"/>
      <c r="H58" s="2682"/>
      <c r="I58" s="2683"/>
      <c r="J58" s="2682"/>
      <c r="K58" s="2682"/>
      <c r="L58" s="2683"/>
      <c r="M58" s="2682"/>
      <c r="N58" s="2682"/>
      <c r="O58" s="2683"/>
      <c r="P58" s="2682"/>
      <c r="Q58" s="2682"/>
      <c r="R58" s="2684"/>
    </row>
    <row r="59" spans="2:18" s="905" customFormat="1">
      <c r="B59" s="2682"/>
      <c r="C59" s="2682"/>
      <c r="D59" s="2682"/>
      <c r="E59" s="2682"/>
      <c r="F59" s="2682"/>
      <c r="G59" s="2683"/>
      <c r="H59" s="2682"/>
      <c r="I59" s="2683"/>
      <c r="J59" s="2682"/>
      <c r="K59" s="2682"/>
      <c r="L59" s="2683"/>
      <c r="M59" s="2682"/>
      <c r="N59" s="2682"/>
      <c r="O59" s="2683"/>
      <c r="P59" s="2682"/>
      <c r="Q59" s="2682"/>
      <c r="R59" s="2684"/>
    </row>
    <row r="60" spans="2:18" s="905" customFormat="1">
      <c r="B60" s="2682"/>
      <c r="C60" s="2682"/>
      <c r="D60" s="2682"/>
      <c r="E60" s="2682"/>
      <c r="F60" s="2682"/>
      <c r="G60" s="2683"/>
      <c r="H60" s="2682"/>
      <c r="I60" s="2683"/>
      <c r="J60" s="2682"/>
      <c r="K60" s="2682"/>
      <c r="L60" s="2683"/>
      <c r="M60" s="2682"/>
      <c r="N60" s="2682"/>
      <c r="O60" s="2683"/>
      <c r="P60" s="2682"/>
      <c r="Q60" s="2682"/>
      <c r="R60" s="2684"/>
    </row>
    <row r="61" spans="2:18" s="905" customFormat="1">
      <c r="B61" s="2682"/>
      <c r="C61" s="2682"/>
      <c r="D61" s="2682"/>
      <c r="E61" s="2682"/>
      <c r="F61" s="2682"/>
      <c r="G61" s="2683"/>
      <c r="H61" s="2682"/>
      <c r="I61" s="2683"/>
      <c r="J61" s="2682"/>
      <c r="K61" s="2682"/>
      <c r="L61" s="2683"/>
      <c r="M61" s="2682"/>
      <c r="N61" s="2682"/>
      <c r="O61" s="2683"/>
      <c r="P61" s="2682"/>
      <c r="Q61" s="2682"/>
      <c r="R61" s="2684"/>
    </row>
    <row r="62" spans="2:18" s="905" customFormat="1">
      <c r="B62" s="2682"/>
      <c r="C62" s="2682"/>
      <c r="D62" s="2682"/>
      <c r="E62" s="2682"/>
      <c r="F62" s="2682"/>
      <c r="G62" s="2683"/>
      <c r="H62" s="2682"/>
      <c r="I62" s="2683"/>
      <c r="J62" s="2682"/>
      <c r="K62" s="2682"/>
      <c r="L62" s="2683"/>
      <c r="M62" s="2682"/>
      <c r="N62" s="2682"/>
      <c r="O62" s="2683"/>
      <c r="P62" s="2682"/>
      <c r="Q62" s="2682"/>
      <c r="R62" s="2684"/>
    </row>
    <row r="63" spans="2:18" s="905" customFormat="1">
      <c r="B63" s="2682"/>
      <c r="C63" s="2682"/>
      <c r="D63" s="2682"/>
      <c r="E63" s="2682"/>
      <c r="F63" s="2682"/>
      <c r="G63" s="2683"/>
      <c r="H63" s="2682"/>
      <c r="I63" s="2683"/>
      <c r="J63" s="2682"/>
      <c r="K63" s="2682"/>
      <c r="L63" s="2683"/>
      <c r="M63" s="2682"/>
      <c r="N63" s="2682"/>
      <c r="O63" s="2683"/>
      <c r="P63" s="2682"/>
      <c r="Q63" s="2682"/>
      <c r="R63" s="2684"/>
    </row>
    <row r="64" spans="2:18" s="905" customFormat="1">
      <c r="B64" s="2682"/>
      <c r="C64" s="2682"/>
      <c r="D64" s="2682"/>
      <c r="E64" s="2682"/>
      <c r="F64" s="2682"/>
      <c r="G64" s="2683"/>
      <c r="H64" s="2682"/>
      <c r="I64" s="2683"/>
      <c r="J64" s="2682"/>
      <c r="K64" s="2682"/>
      <c r="L64" s="2683"/>
      <c r="M64" s="2682"/>
      <c r="N64" s="2682"/>
      <c r="O64" s="2683"/>
      <c r="P64" s="2682"/>
      <c r="Q64" s="2682"/>
      <c r="R64" s="2684"/>
    </row>
    <row r="65" spans="2:18" s="905" customFormat="1">
      <c r="B65" s="2682"/>
      <c r="C65" s="2682"/>
      <c r="D65" s="2682"/>
      <c r="E65" s="2682"/>
      <c r="F65" s="2682"/>
      <c r="G65" s="2683"/>
      <c r="H65" s="2682"/>
      <c r="I65" s="2683"/>
      <c r="J65" s="2682"/>
      <c r="K65" s="2682"/>
      <c r="L65" s="2683"/>
      <c r="M65" s="2682"/>
      <c r="N65" s="2682"/>
      <c r="O65" s="2683"/>
      <c r="P65" s="2682"/>
      <c r="Q65" s="2682"/>
      <c r="R65" s="2684"/>
    </row>
    <row r="66" spans="2:18" s="905" customFormat="1">
      <c r="B66" s="2682"/>
      <c r="C66" s="2682"/>
      <c r="D66" s="2682"/>
      <c r="E66" s="2682"/>
      <c r="F66" s="2682"/>
      <c r="G66" s="2683"/>
      <c r="H66" s="2682"/>
      <c r="I66" s="2683"/>
      <c r="J66" s="2682"/>
      <c r="K66" s="2682"/>
      <c r="L66" s="2683"/>
      <c r="M66" s="2682"/>
      <c r="N66" s="2682"/>
      <c r="O66" s="2683"/>
      <c r="P66" s="2682"/>
      <c r="Q66" s="2682"/>
      <c r="R66" s="2684"/>
    </row>
    <row r="67" spans="2:18" s="905" customFormat="1">
      <c r="B67" s="2682"/>
      <c r="C67" s="2682"/>
      <c r="D67" s="2682"/>
      <c r="E67" s="2682"/>
      <c r="F67" s="2682"/>
      <c r="G67" s="2683"/>
      <c r="H67" s="2682"/>
      <c r="I67" s="2683"/>
      <c r="J67" s="2682"/>
      <c r="K67" s="2682"/>
      <c r="L67" s="2683"/>
      <c r="M67" s="2682"/>
      <c r="N67" s="2682"/>
      <c r="O67" s="2683"/>
      <c r="P67" s="2682"/>
      <c r="Q67" s="2682"/>
      <c r="R67" s="2684"/>
    </row>
    <row r="68" spans="2:18" s="905" customFormat="1">
      <c r="B68" s="2682"/>
      <c r="C68" s="2682"/>
      <c r="D68" s="2682"/>
      <c r="E68" s="2682"/>
      <c r="F68" s="2682"/>
      <c r="G68" s="2683"/>
      <c r="H68" s="2682"/>
      <c r="I68" s="2683"/>
      <c r="J68" s="2682"/>
      <c r="K68" s="2682"/>
      <c r="L68" s="2683"/>
      <c r="M68" s="2682"/>
      <c r="N68" s="2682"/>
      <c r="O68" s="2683"/>
      <c r="P68" s="2682"/>
      <c r="Q68" s="2682"/>
      <c r="R68" s="2684"/>
    </row>
    <row r="69" spans="2:18" s="905" customFormat="1">
      <c r="B69" s="2682"/>
      <c r="C69" s="2682"/>
      <c r="D69" s="2682"/>
      <c r="E69" s="2682"/>
      <c r="F69" s="2682"/>
      <c r="G69" s="2683"/>
      <c r="H69" s="2682"/>
      <c r="I69" s="2683"/>
      <c r="J69" s="2682"/>
      <c r="K69" s="2682"/>
      <c r="L69" s="2683"/>
      <c r="M69" s="2682"/>
      <c r="N69" s="2682"/>
      <c r="O69" s="2683"/>
      <c r="P69" s="2682"/>
      <c r="Q69" s="2682"/>
      <c r="R69" s="2684"/>
    </row>
    <row r="70" spans="2:18" s="905" customFormat="1">
      <c r="B70" s="2682"/>
      <c r="C70" s="2682"/>
      <c r="D70" s="2682"/>
      <c r="E70" s="2682"/>
      <c r="F70" s="2682"/>
      <c r="G70" s="2683"/>
      <c r="H70" s="2682"/>
      <c r="I70" s="2683"/>
      <c r="J70" s="2682"/>
      <c r="K70" s="2682"/>
      <c r="L70" s="2683"/>
      <c r="M70" s="2682"/>
      <c r="N70" s="2682"/>
      <c r="O70" s="2683"/>
      <c r="P70" s="2682"/>
      <c r="Q70" s="2682"/>
      <c r="R70" s="2684"/>
    </row>
    <row r="71" spans="2:18" s="905" customFormat="1">
      <c r="B71" s="2682"/>
      <c r="C71" s="2682"/>
      <c r="D71" s="2682"/>
      <c r="E71" s="2682"/>
      <c r="F71" s="2682"/>
      <c r="G71" s="2683"/>
      <c r="H71" s="2682"/>
      <c r="I71" s="2683"/>
      <c r="J71" s="2682"/>
      <c r="K71" s="2682"/>
      <c r="L71" s="2683"/>
      <c r="M71" s="2682"/>
      <c r="N71" s="2682"/>
      <c r="O71" s="2683"/>
      <c r="P71" s="2682"/>
      <c r="Q71" s="2682"/>
      <c r="R71" s="2684"/>
    </row>
    <row r="72" spans="2:18" s="905" customFormat="1">
      <c r="B72" s="2682"/>
      <c r="C72" s="2682"/>
      <c r="D72" s="2682"/>
      <c r="E72" s="2682"/>
      <c r="F72" s="2682"/>
      <c r="G72" s="2683"/>
      <c r="H72" s="2682"/>
      <c r="I72" s="2683"/>
      <c r="J72" s="2682"/>
      <c r="K72" s="2682"/>
      <c r="L72" s="2683"/>
      <c r="M72" s="2682"/>
      <c r="N72" s="2682"/>
      <c r="O72" s="2683"/>
      <c r="P72" s="2682"/>
      <c r="Q72" s="2682"/>
      <c r="R72" s="2684"/>
    </row>
    <row r="73" spans="2:18" s="905" customFormat="1">
      <c r="B73" s="2682"/>
      <c r="C73" s="2682"/>
      <c r="D73" s="2682"/>
      <c r="E73" s="2682"/>
      <c r="F73" s="2682"/>
      <c r="G73" s="2683"/>
      <c r="H73" s="2682"/>
      <c r="I73" s="2683"/>
      <c r="J73" s="2682"/>
      <c r="K73" s="2682"/>
      <c r="L73" s="2683"/>
      <c r="M73" s="2682"/>
      <c r="N73" s="2682"/>
      <c r="O73" s="2683"/>
      <c r="P73" s="2682"/>
      <c r="Q73" s="2682"/>
      <c r="R73" s="2684"/>
    </row>
    <row r="74" spans="2:18" s="905" customFormat="1">
      <c r="B74" s="2682"/>
      <c r="C74" s="2682"/>
      <c r="D74" s="2682"/>
      <c r="E74" s="2682"/>
      <c r="F74" s="2682"/>
      <c r="G74" s="2683"/>
      <c r="H74" s="2682"/>
      <c r="I74" s="2683"/>
      <c r="J74" s="2682"/>
      <c r="K74" s="2682"/>
      <c r="L74" s="2683"/>
      <c r="M74" s="2682"/>
      <c r="N74" s="2682"/>
      <c r="O74" s="2683"/>
      <c r="P74" s="2682"/>
      <c r="Q74" s="2682"/>
      <c r="R74" s="2684"/>
    </row>
    <row r="75" spans="2:18" s="905" customFormat="1">
      <c r="B75" s="2682"/>
      <c r="C75" s="2682"/>
      <c r="D75" s="2682"/>
      <c r="E75" s="2682"/>
      <c r="F75" s="2682"/>
      <c r="G75" s="2683"/>
      <c r="H75" s="2682"/>
      <c r="I75" s="2683"/>
      <c r="J75" s="2682"/>
      <c r="K75" s="2682"/>
      <c r="L75" s="2683"/>
      <c r="M75" s="2682"/>
      <c r="N75" s="2682"/>
      <c r="O75" s="2683"/>
      <c r="P75" s="2682"/>
      <c r="Q75" s="2682"/>
      <c r="R75" s="2684"/>
    </row>
    <row r="76" spans="2:18" s="905" customFormat="1">
      <c r="B76" s="2682"/>
      <c r="C76" s="2682"/>
      <c r="D76" s="2682"/>
      <c r="E76" s="2682"/>
      <c r="F76" s="2682"/>
      <c r="G76" s="2683"/>
      <c r="H76" s="2682"/>
      <c r="I76" s="2683"/>
      <c r="J76" s="2682"/>
      <c r="K76" s="2682"/>
      <c r="L76" s="2683"/>
      <c r="M76" s="2682"/>
      <c r="N76" s="2682"/>
      <c r="O76" s="2683"/>
      <c r="P76" s="2682"/>
      <c r="Q76" s="2682"/>
      <c r="R76" s="2684"/>
    </row>
    <row r="77" spans="2:18" s="905" customFormat="1">
      <c r="B77" s="2682"/>
      <c r="C77" s="2682"/>
      <c r="D77" s="2682"/>
      <c r="E77" s="2682"/>
      <c r="F77" s="2682"/>
      <c r="G77" s="2683"/>
      <c r="H77" s="2682"/>
      <c r="I77" s="2683"/>
      <c r="J77" s="2682"/>
      <c r="K77" s="2682"/>
      <c r="L77" s="2683"/>
      <c r="M77" s="2682"/>
      <c r="N77" s="2682"/>
      <c r="O77" s="2683"/>
      <c r="P77" s="2682"/>
      <c r="Q77" s="2682"/>
      <c r="R77" s="2684"/>
    </row>
    <row r="78" spans="2:18" s="905" customFormat="1">
      <c r="B78" s="2682"/>
      <c r="C78" s="2682"/>
      <c r="D78" s="2682"/>
      <c r="E78" s="2682"/>
      <c r="F78" s="2682"/>
      <c r="G78" s="2683"/>
      <c r="H78" s="2682"/>
      <c r="I78" s="2683"/>
      <c r="J78" s="2682"/>
      <c r="K78" s="2682"/>
      <c r="L78" s="2683"/>
      <c r="M78" s="2682"/>
      <c r="N78" s="2682"/>
      <c r="O78" s="2683"/>
      <c r="P78" s="2682"/>
      <c r="Q78" s="2682"/>
      <c r="R78" s="2684"/>
    </row>
    <row r="79" spans="2:18" s="905" customFormat="1">
      <c r="B79" s="2682"/>
      <c r="C79" s="2682"/>
      <c r="D79" s="2682"/>
      <c r="E79" s="2682"/>
      <c r="F79" s="2682"/>
      <c r="G79" s="2683"/>
      <c r="H79" s="2682"/>
      <c r="I79" s="2683"/>
      <c r="J79" s="2682"/>
      <c r="K79" s="2682"/>
      <c r="L79" s="2683"/>
      <c r="M79" s="2682"/>
      <c r="N79" s="2682"/>
      <c r="O79" s="2683"/>
      <c r="P79" s="2682"/>
      <c r="Q79" s="2682"/>
      <c r="R79" s="2684"/>
    </row>
    <row r="80" spans="2:18" s="905" customFormat="1">
      <c r="B80" s="2682"/>
      <c r="C80" s="2682"/>
      <c r="D80" s="2682"/>
      <c r="E80" s="2682"/>
      <c r="F80" s="2682"/>
      <c r="G80" s="2683"/>
      <c r="H80" s="2682"/>
      <c r="I80" s="2683"/>
      <c r="J80" s="2682"/>
      <c r="K80" s="2682"/>
      <c r="L80" s="2683"/>
      <c r="M80" s="2682"/>
      <c r="N80" s="2682"/>
      <c r="O80" s="2683"/>
      <c r="P80" s="2682"/>
      <c r="Q80" s="2682"/>
      <c r="R80" s="2684"/>
    </row>
    <row r="81" spans="2:18" s="905" customFormat="1">
      <c r="B81" s="2682"/>
      <c r="C81" s="2682"/>
      <c r="D81" s="2682"/>
      <c r="E81" s="2682"/>
      <c r="F81" s="2682"/>
      <c r="G81" s="2683"/>
      <c r="H81" s="2682"/>
      <c r="I81" s="2683"/>
      <c r="J81" s="2682"/>
      <c r="K81" s="2682"/>
      <c r="L81" s="2683"/>
      <c r="M81" s="2682"/>
      <c r="N81" s="2682"/>
      <c r="O81" s="2683"/>
      <c r="P81" s="2682"/>
      <c r="Q81" s="2682"/>
      <c r="R81" s="2684"/>
    </row>
    <row r="82" spans="2:18" s="905" customFormat="1">
      <c r="B82" s="2682"/>
      <c r="C82" s="2682"/>
      <c r="D82" s="2682"/>
      <c r="E82" s="2682"/>
      <c r="F82" s="2682"/>
      <c r="G82" s="2683"/>
      <c r="H82" s="2682"/>
      <c r="I82" s="2683"/>
      <c r="J82" s="2682"/>
      <c r="K82" s="2682"/>
      <c r="L82" s="2683"/>
      <c r="M82" s="2682"/>
      <c r="N82" s="2682"/>
      <c r="O82" s="2683"/>
      <c r="P82" s="2682"/>
      <c r="Q82" s="2682"/>
      <c r="R82" s="2684"/>
    </row>
    <row r="83" spans="2:18" s="905" customFormat="1">
      <c r="B83" s="2682"/>
      <c r="C83" s="2682"/>
      <c r="D83" s="2682"/>
      <c r="E83" s="2682"/>
      <c r="F83" s="2682"/>
      <c r="G83" s="2683"/>
      <c r="H83" s="2682"/>
      <c r="I83" s="2683"/>
      <c r="J83" s="2682"/>
      <c r="K83" s="2682"/>
      <c r="L83" s="2683"/>
      <c r="M83" s="2682"/>
      <c r="N83" s="2682"/>
      <c r="O83" s="2683"/>
      <c r="P83" s="2682"/>
      <c r="Q83" s="2682"/>
      <c r="R83" s="2684"/>
    </row>
    <row r="84" spans="2:18" s="905" customFormat="1">
      <c r="B84" s="2682"/>
      <c r="C84" s="2682"/>
      <c r="D84" s="2682"/>
      <c r="E84" s="2682"/>
      <c r="F84" s="2682"/>
      <c r="G84" s="2683"/>
      <c r="H84" s="2682"/>
      <c r="I84" s="2683"/>
      <c r="J84" s="2682"/>
      <c r="K84" s="2682"/>
      <c r="L84" s="2683"/>
      <c r="M84" s="2682"/>
      <c r="N84" s="2682"/>
      <c r="O84" s="2683"/>
      <c r="P84" s="2682"/>
      <c r="Q84" s="2682"/>
      <c r="R84" s="2684"/>
    </row>
    <row r="85" spans="2:18" s="905" customFormat="1">
      <c r="B85" s="2682"/>
      <c r="C85" s="2682"/>
      <c r="D85" s="2682"/>
      <c r="E85" s="2682"/>
      <c r="F85" s="2682"/>
      <c r="G85" s="2683"/>
      <c r="H85" s="2682"/>
      <c r="I85" s="2683"/>
      <c r="J85" s="2682"/>
      <c r="K85" s="2682"/>
      <c r="L85" s="2683"/>
      <c r="M85" s="2682"/>
      <c r="N85" s="2682"/>
      <c r="O85" s="2683"/>
      <c r="P85" s="2682"/>
      <c r="Q85" s="2682"/>
      <c r="R85" s="2684"/>
    </row>
    <row r="86" spans="2:18" s="905" customFormat="1">
      <c r="B86" s="2682"/>
      <c r="C86" s="2682"/>
      <c r="D86" s="2682"/>
      <c r="E86" s="2682"/>
      <c r="F86" s="2682"/>
      <c r="G86" s="2683"/>
      <c r="H86" s="2682"/>
      <c r="I86" s="2683"/>
      <c r="J86" s="2682"/>
      <c r="K86" s="2682"/>
      <c r="L86" s="2683"/>
      <c r="M86" s="2682"/>
      <c r="N86" s="2682"/>
      <c r="O86" s="2683"/>
      <c r="P86" s="2682"/>
      <c r="Q86" s="2682"/>
      <c r="R86" s="2684"/>
    </row>
    <row r="87" spans="2:18" s="905" customFormat="1">
      <c r="B87" s="2682"/>
      <c r="C87" s="2682"/>
      <c r="D87" s="2682"/>
      <c r="E87" s="2682"/>
      <c r="F87" s="2682"/>
      <c r="G87" s="2683"/>
      <c r="H87" s="2682"/>
      <c r="I87" s="2683"/>
      <c r="J87" s="2682"/>
      <c r="K87" s="2682"/>
      <c r="L87" s="2683"/>
      <c r="M87" s="2682"/>
      <c r="N87" s="2682"/>
      <c r="O87" s="2683"/>
      <c r="P87" s="2682"/>
      <c r="Q87" s="2682"/>
      <c r="R87" s="2684"/>
    </row>
    <row r="88" spans="2:18" s="905" customFormat="1">
      <c r="B88" s="2682"/>
      <c r="C88" s="2682"/>
      <c r="D88" s="2682"/>
      <c r="E88" s="2682"/>
      <c r="F88" s="2682"/>
      <c r="G88" s="2683"/>
      <c r="H88" s="2682"/>
      <c r="I88" s="2683"/>
      <c r="J88" s="2682"/>
      <c r="K88" s="2682"/>
      <c r="L88" s="2683"/>
      <c r="M88" s="2682"/>
      <c r="N88" s="2682"/>
      <c r="O88" s="2683"/>
      <c r="P88" s="2682"/>
      <c r="Q88" s="2682"/>
      <c r="R88" s="2684"/>
    </row>
    <row r="89" spans="2:18" s="905" customFormat="1">
      <c r="B89" s="2682"/>
      <c r="C89" s="2682"/>
      <c r="D89" s="2682"/>
      <c r="E89" s="2682"/>
      <c r="F89" s="2682"/>
      <c r="G89" s="2683"/>
      <c r="H89" s="2682"/>
      <c r="I89" s="2683"/>
      <c r="J89" s="2682"/>
      <c r="K89" s="2682"/>
      <c r="L89" s="2683"/>
      <c r="M89" s="2682"/>
      <c r="N89" s="2682"/>
      <c r="O89" s="2683"/>
      <c r="P89" s="2682"/>
      <c r="Q89" s="2682"/>
      <c r="R89" s="2684"/>
    </row>
    <row r="90" spans="2:18" s="905" customFormat="1">
      <c r="B90" s="2682"/>
      <c r="C90" s="2682"/>
      <c r="D90" s="2682"/>
      <c r="E90" s="2682"/>
      <c r="F90" s="2682"/>
      <c r="G90" s="2683"/>
      <c r="H90" s="2682"/>
      <c r="I90" s="2683"/>
      <c r="J90" s="2682"/>
      <c r="K90" s="2682"/>
      <c r="L90" s="2683"/>
      <c r="M90" s="2682"/>
      <c r="N90" s="2682"/>
      <c r="O90" s="2683"/>
      <c r="P90" s="2682"/>
      <c r="Q90" s="2682"/>
      <c r="R90" s="2684"/>
    </row>
    <row r="91" spans="2:18" s="905" customFormat="1">
      <c r="B91" s="2682"/>
      <c r="C91" s="2682"/>
      <c r="D91" s="2682"/>
      <c r="E91" s="2682"/>
      <c r="F91" s="2682"/>
      <c r="G91" s="2683"/>
      <c r="H91" s="2682"/>
      <c r="I91" s="2683"/>
      <c r="J91" s="2682"/>
      <c r="K91" s="2682"/>
      <c r="L91" s="2683"/>
      <c r="M91" s="2682"/>
      <c r="N91" s="2682"/>
      <c r="O91" s="2683"/>
      <c r="P91" s="2682"/>
      <c r="Q91" s="2682"/>
      <c r="R91" s="2684"/>
    </row>
    <row r="92" spans="2:18" s="905" customFormat="1">
      <c r="B92" s="2682"/>
      <c r="C92" s="2682"/>
      <c r="D92" s="2682"/>
      <c r="E92" s="2682"/>
      <c r="F92" s="2682"/>
      <c r="G92" s="2683"/>
      <c r="H92" s="2682"/>
      <c r="I92" s="2683"/>
      <c r="J92" s="2682"/>
      <c r="K92" s="2682"/>
      <c r="L92" s="2683"/>
      <c r="M92" s="2682"/>
      <c r="N92" s="2682"/>
      <c r="O92" s="2683"/>
      <c r="P92" s="2682"/>
      <c r="Q92" s="2682"/>
      <c r="R92" s="2684"/>
    </row>
    <row r="93" spans="2:18" s="905" customFormat="1">
      <c r="B93" s="2682"/>
      <c r="C93" s="2682"/>
      <c r="D93" s="2682"/>
      <c r="E93" s="2682"/>
      <c r="F93" s="2682"/>
      <c r="G93" s="2683"/>
      <c r="H93" s="2682"/>
      <c r="I93" s="2683"/>
      <c r="J93" s="2682"/>
      <c r="K93" s="2682"/>
      <c r="L93" s="2683"/>
      <c r="M93" s="2682"/>
      <c r="N93" s="2682"/>
      <c r="O93" s="2683"/>
      <c r="P93" s="2682"/>
      <c r="Q93" s="2682"/>
      <c r="R93" s="2684"/>
    </row>
    <row r="94" spans="2:18" s="905" customFormat="1">
      <c r="B94" s="2682"/>
      <c r="C94" s="2682"/>
      <c r="D94" s="2682"/>
      <c r="E94" s="2682"/>
      <c r="F94" s="2682"/>
      <c r="G94" s="2683"/>
      <c r="H94" s="2682"/>
      <c r="I94" s="2683"/>
      <c r="J94" s="2682"/>
      <c r="K94" s="2682"/>
      <c r="L94" s="2683"/>
      <c r="M94" s="2682"/>
      <c r="N94" s="2682"/>
      <c r="O94" s="2683"/>
      <c r="P94" s="2682"/>
      <c r="Q94" s="2682"/>
      <c r="R94" s="2684"/>
    </row>
    <row r="95" spans="2:18" s="905" customFormat="1">
      <c r="B95" s="2682"/>
      <c r="C95" s="2682"/>
      <c r="D95" s="2682"/>
      <c r="E95" s="2682"/>
      <c r="F95" s="2682"/>
      <c r="G95" s="2683"/>
      <c r="H95" s="2682"/>
      <c r="I95" s="2683"/>
      <c r="J95" s="2682"/>
      <c r="K95" s="2682"/>
      <c r="L95" s="2683"/>
      <c r="M95" s="2682"/>
      <c r="N95" s="2682"/>
      <c r="O95" s="2683"/>
      <c r="P95" s="2682"/>
      <c r="Q95" s="2682"/>
      <c r="R95" s="2684"/>
    </row>
    <row r="96" spans="2:18" s="905" customFormat="1">
      <c r="B96" s="2682"/>
      <c r="C96" s="2682"/>
      <c r="D96" s="2682"/>
      <c r="E96" s="2682"/>
      <c r="F96" s="2682"/>
      <c r="G96" s="2683"/>
      <c r="H96" s="2682"/>
      <c r="I96" s="2683"/>
      <c r="J96" s="2682"/>
      <c r="K96" s="2682"/>
      <c r="L96" s="2683"/>
      <c r="M96" s="2682"/>
      <c r="N96" s="2682"/>
      <c r="O96" s="2683"/>
      <c r="P96" s="2682"/>
      <c r="Q96" s="2682"/>
      <c r="R96" s="2684"/>
    </row>
    <row r="97" spans="2:18" s="905" customFormat="1">
      <c r="B97" s="2682"/>
      <c r="C97" s="2682"/>
      <c r="D97" s="2682"/>
      <c r="E97" s="2682"/>
      <c r="F97" s="2682"/>
      <c r="G97" s="2683"/>
      <c r="H97" s="2682"/>
      <c r="I97" s="2683"/>
      <c r="J97" s="2682"/>
      <c r="K97" s="2682"/>
      <c r="L97" s="2683"/>
      <c r="M97" s="2682"/>
      <c r="N97" s="2682"/>
      <c r="O97" s="2683"/>
      <c r="P97" s="2682"/>
      <c r="Q97" s="2682"/>
      <c r="R97" s="2684"/>
    </row>
    <row r="98" spans="2:18" s="905" customFormat="1">
      <c r="B98" s="2682"/>
      <c r="C98" s="2682"/>
      <c r="D98" s="2682"/>
      <c r="E98" s="2682"/>
      <c r="F98" s="2682"/>
      <c r="G98" s="2683"/>
      <c r="H98" s="2682"/>
      <c r="I98" s="2683"/>
      <c r="J98" s="2682"/>
      <c r="K98" s="2682"/>
      <c r="L98" s="2683"/>
      <c r="M98" s="2682"/>
      <c r="N98" s="2682"/>
      <c r="O98" s="2683"/>
      <c r="P98" s="2682"/>
      <c r="Q98" s="2682"/>
      <c r="R98" s="2684"/>
    </row>
    <row r="99" spans="2:18" s="905" customFormat="1">
      <c r="B99" s="2682"/>
      <c r="C99" s="2682"/>
      <c r="D99" s="2682"/>
      <c r="E99" s="2682"/>
      <c r="F99" s="2682"/>
      <c r="G99" s="2683"/>
      <c r="H99" s="2682"/>
      <c r="I99" s="2683"/>
      <c r="J99" s="2682"/>
      <c r="K99" s="2682"/>
      <c r="L99" s="2683"/>
      <c r="M99" s="2682"/>
      <c r="N99" s="2682"/>
      <c r="O99" s="2683"/>
      <c r="P99" s="2682"/>
      <c r="Q99" s="2682"/>
      <c r="R99" s="2684"/>
    </row>
    <row r="100" spans="2:18" s="905" customFormat="1">
      <c r="B100" s="2682"/>
      <c r="C100" s="2682"/>
      <c r="D100" s="2682"/>
      <c r="E100" s="2682"/>
      <c r="F100" s="2682"/>
      <c r="G100" s="2683"/>
      <c r="H100" s="2682"/>
      <c r="I100" s="2683"/>
      <c r="J100" s="2682"/>
      <c r="K100" s="2682"/>
      <c r="L100" s="2683"/>
      <c r="M100" s="2682"/>
      <c r="N100" s="2682"/>
      <c r="O100" s="2683"/>
      <c r="P100" s="2682"/>
      <c r="Q100" s="2682"/>
      <c r="R100" s="2684"/>
    </row>
    <row r="101" spans="2:18" s="905" customFormat="1">
      <c r="B101" s="2682"/>
      <c r="C101" s="2682"/>
      <c r="D101" s="2682"/>
      <c r="E101" s="2682"/>
      <c r="F101" s="2682"/>
      <c r="G101" s="2683"/>
      <c r="H101" s="2682"/>
      <c r="I101" s="2683"/>
      <c r="J101" s="2682"/>
      <c r="K101" s="2682"/>
      <c r="L101" s="2683"/>
      <c r="M101" s="2682"/>
      <c r="N101" s="2682"/>
      <c r="O101" s="2683"/>
      <c r="P101" s="2682"/>
      <c r="Q101" s="2682"/>
      <c r="R101" s="2684"/>
    </row>
    <row r="102" spans="2:18" s="905" customFormat="1">
      <c r="B102" s="2682"/>
      <c r="C102" s="2682"/>
      <c r="D102" s="2682"/>
      <c r="E102" s="2682"/>
      <c r="F102" s="2682"/>
      <c r="G102" s="2683"/>
      <c r="H102" s="2682"/>
      <c r="I102" s="2683"/>
      <c r="J102" s="2682"/>
      <c r="K102" s="2682"/>
      <c r="L102" s="2683"/>
      <c r="M102" s="2682"/>
      <c r="N102" s="2682"/>
      <c r="O102" s="2683"/>
      <c r="P102" s="2682"/>
      <c r="Q102" s="2682"/>
      <c r="R102" s="2684"/>
    </row>
    <row r="103" spans="2:18" s="905" customFormat="1">
      <c r="B103" s="2682"/>
      <c r="C103" s="2682"/>
      <c r="D103" s="2682"/>
      <c r="E103" s="2682"/>
      <c r="F103" s="2682"/>
      <c r="G103" s="2683"/>
      <c r="H103" s="2682"/>
      <c r="I103" s="2683"/>
      <c r="J103" s="2682"/>
      <c r="K103" s="2682"/>
      <c r="L103" s="2683"/>
      <c r="M103" s="2682"/>
      <c r="N103" s="2682"/>
      <c r="O103" s="2683"/>
      <c r="P103" s="2682"/>
      <c r="Q103" s="2682"/>
      <c r="R103" s="2684"/>
    </row>
    <row r="104" spans="2:18" s="905" customFormat="1">
      <c r="B104" s="2682"/>
      <c r="C104" s="2682"/>
      <c r="D104" s="2682"/>
      <c r="E104" s="2682"/>
      <c r="F104" s="2682"/>
      <c r="G104" s="2683"/>
      <c r="H104" s="2682"/>
      <c r="I104" s="2683"/>
      <c r="J104" s="2682"/>
      <c r="K104" s="2682"/>
      <c r="L104" s="2683"/>
      <c r="M104" s="2682"/>
      <c r="N104" s="2682"/>
      <c r="O104" s="2683"/>
      <c r="P104" s="2682"/>
      <c r="Q104" s="2682"/>
      <c r="R104" s="2684"/>
    </row>
    <row r="105" spans="2:18" s="905" customFormat="1">
      <c r="B105" s="2682"/>
      <c r="C105" s="2682"/>
      <c r="D105" s="2682"/>
      <c r="E105" s="2682"/>
      <c r="F105" s="2682"/>
      <c r="G105" s="2683"/>
      <c r="H105" s="2682"/>
      <c r="I105" s="2683"/>
      <c r="J105" s="2682"/>
      <c r="K105" s="2682"/>
      <c r="L105" s="2683"/>
      <c r="M105" s="2682"/>
      <c r="N105" s="2682"/>
      <c r="O105" s="2683"/>
      <c r="P105" s="2682"/>
      <c r="Q105" s="2682"/>
      <c r="R105" s="2684"/>
    </row>
    <row r="106" spans="2:18" s="905" customFormat="1">
      <c r="B106" s="2682"/>
      <c r="C106" s="2682"/>
      <c r="D106" s="2682"/>
      <c r="E106" s="2682"/>
      <c r="F106" s="2682"/>
      <c r="G106" s="2683"/>
      <c r="H106" s="2682"/>
      <c r="I106" s="2683"/>
      <c r="J106" s="2682"/>
      <c r="K106" s="2682"/>
      <c r="L106" s="2683"/>
      <c r="M106" s="2682"/>
      <c r="N106" s="2682"/>
      <c r="O106" s="2683"/>
      <c r="P106" s="2682"/>
      <c r="Q106" s="2682"/>
      <c r="R106" s="2684"/>
    </row>
    <row r="107" spans="2:18" s="905" customFormat="1">
      <c r="B107" s="2682"/>
      <c r="C107" s="2682"/>
      <c r="D107" s="2682"/>
      <c r="E107" s="2682"/>
      <c r="F107" s="2682"/>
      <c r="G107" s="2683"/>
      <c r="H107" s="2682"/>
      <c r="I107" s="2683"/>
      <c r="J107" s="2682"/>
      <c r="K107" s="2682"/>
      <c r="L107" s="2683"/>
      <c r="M107" s="2682"/>
      <c r="N107" s="2682"/>
      <c r="O107" s="2683"/>
      <c r="P107" s="2682"/>
      <c r="Q107" s="2682"/>
      <c r="R107" s="2684"/>
    </row>
    <row r="108" spans="2:18" s="905" customFormat="1">
      <c r="B108" s="2682"/>
      <c r="C108" s="2682"/>
      <c r="D108" s="2682"/>
      <c r="E108" s="2682"/>
      <c r="F108" s="2682"/>
      <c r="G108" s="2683"/>
      <c r="H108" s="2682"/>
      <c r="I108" s="2683"/>
      <c r="J108" s="2682"/>
      <c r="K108" s="2682"/>
      <c r="L108" s="2683"/>
      <c r="M108" s="2682"/>
      <c r="N108" s="2682"/>
      <c r="O108" s="2683"/>
      <c r="P108" s="2682"/>
      <c r="Q108" s="2682"/>
      <c r="R108" s="2684"/>
    </row>
    <row r="109" spans="2:18" s="905" customFormat="1">
      <c r="B109" s="2682"/>
      <c r="C109" s="2682"/>
      <c r="D109" s="2682"/>
      <c r="E109" s="2682"/>
      <c r="F109" s="2682"/>
      <c r="G109" s="2683"/>
      <c r="H109" s="2682"/>
      <c r="I109" s="2683"/>
      <c r="J109" s="2682"/>
      <c r="K109" s="2682"/>
      <c r="L109" s="2683"/>
      <c r="M109" s="2682"/>
      <c r="N109" s="2682"/>
      <c r="O109" s="2683"/>
      <c r="P109" s="2682"/>
      <c r="Q109" s="2682"/>
      <c r="R109" s="2684"/>
    </row>
    <row r="110" spans="2:18" s="905" customFormat="1">
      <c r="B110" s="2682"/>
      <c r="C110" s="2682"/>
      <c r="D110" s="2682"/>
      <c r="E110" s="2682"/>
      <c r="F110" s="2682"/>
      <c r="G110" s="2683"/>
      <c r="H110" s="2682"/>
      <c r="I110" s="2683"/>
      <c r="J110" s="2682"/>
      <c r="K110" s="2682"/>
      <c r="L110" s="2683"/>
      <c r="M110" s="2682"/>
      <c r="N110" s="2682"/>
      <c r="O110" s="2683"/>
      <c r="P110" s="2682"/>
      <c r="Q110" s="2682"/>
      <c r="R110" s="2684"/>
    </row>
    <row r="111" spans="2:18" s="905" customFormat="1">
      <c r="B111" s="2682"/>
      <c r="C111" s="2682"/>
      <c r="D111" s="2682"/>
      <c r="E111" s="2682"/>
      <c r="F111" s="2682"/>
      <c r="G111" s="2683"/>
      <c r="H111" s="2682"/>
      <c r="I111" s="2683"/>
      <c r="J111" s="2682"/>
      <c r="K111" s="2682"/>
      <c r="L111" s="2683"/>
      <c r="M111" s="2682"/>
      <c r="N111" s="2682"/>
      <c r="O111" s="2683"/>
      <c r="P111" s="2682"/>
      <c r="Q111" s="2682"/>
      <c r="R111" s="2684"/>
    </row>
    <row r="112" spans="2:18" s="905" customFormat="1">
      <c r="B112" s="2682"/>
      <c r="C112" s="2682"/>
      <c r="D112" s="2682"/>
      <c r="E112" s="2682"/>
      <c r="F112" s="2682"/>
      <c r="G112" s="2683"/>
      <c r="H112" s="2682"/>
      <c r="I112" s="2683"/>
      <c r="J112" s="2682"/>
      <c r="K112" s="2682"/>
      <c r="L112" s="2683"/>
      <c r="M112" s="2682"/>
      <c r="N112" s="2682"/>
      <c r="O112" s="2683"/>
      <c r="P112" s="2682"/>
      <c r="Q112" s="2682"/>
      <c r="R112" s="2684"/>
    </row>
    <row r="113" spans="2:18" s="905" customFormat="1">
      <c r="B113" s="2682"/>
      <c r="C113" s="2682"/>
      <c r="D113" s="2682"/>
      <c r="E113" s="2682"/>
      <c r="F113" s="2682"/>
      <c r="G113" s="2683"/>
      <c r="H113" s="2682"/>
      <c r="I113" s="2683"/>
      <c r="J113" s="2682"/>
      <c r="K113" s="2682"/>
      <c r="L113" s="2683"/>
      <c r="M113" s="2682"/>
      <c r="N113" s="2682"/>
      <c r="O113" s="2683"/>
      <c r="P113" s="2682"/>
      <c r="Q113" s="2682"/>
      <c r="R113" s="2684"/>
    </row>
    <row r="114" spans="2:18" s="905" customFormat="1">
      <c r="B114" s="2682"/>
      <c r="C114" s="2682"/>
      <c r="D114" s="2682"/>
      <c r="E114" s="2682"/>
      <c r="F114" s="2682"/>
      <c r="G114" s="2683"/>
      <c r="H114" s="2682"/>
      <c r="I114" s="2683"/>
      <c r="J114" s="2682"/>
      <c r="K114" s="2682"/>
      <c r="L114" s="2683"/>
      <c r="M114" s="2682"/>
      <c r="N114" s="2682"/>
      <c r="O114" s="2683"/>
      <c r="P114" s="2682"/>
      <c r="Q114" s="2682"/>
      <c r="R114" s="2684"/>
    </row>
    <row r="115" spans="2:18" s="905" customFormat="1">
      <c r="B115" s="2682"/>
      <c r="C115" s="2682"/>
      <c r="D115" s="2682"/>
      <c r="E115" s="2682"/>
      <c r="F115" s="2682"/>
      <c r="G115" s="2683"/>
      <c r="H115" s="2682"/>
      <c r="I115" s="2683"/>
      <c r="J115" s="2682"/>
      <c r="K115" s="2682"/>
      <c r="L115" s="2683"/>
      <c r="M115" s="2682"/>
      <c r="N115" s="2682"/>
      <c r="O115" s="2683"/>
      <c r="P115" s="2682"/>
      <c r="Q115" s="2682"/>
      <c r="R115" s="2684"/>
    </row>
    <row r="116" spans="2:18" s="905" customFormat="1">
      <c r="B116" s="2682"/>
      <c r="C116" s="2682"/>
      <c r="D116" s="2682"/>
      <c r="E116" s="2682"/>
      <c r="F116" s="2682"/>
      <c r="G116" s="2683"/>
      <c r="H116" s="2682"/>
      <c r="I116" s="2683"/>
      <c r="J116" s="2682"/>
      <c r="K116" s="2682"/>
      <c r="L116" s="2683"/>
      <c r="M116" s="2682"/>
      <c r="N116" s="2682"/>
      <c r="O116" s="2683"/>
      <c r="P116" s="2682"/>
      <c r="Q116" s="2682"/>
      <c r="R116" s="2684"/>
    </row>
    <row r="117" spans="2:18" s="905" customFormat="1">
      <c r="B117" s="2682"/>
      <c r="C117" s="2682"/>
      <c r="D117" s="2682"/>
      <c r="E117" s="2682"/>
      <c r="F117" s="2682"/>
      <c r="G117" s="2683"/>
      <c r="H117" s="2682"/>
      <c r="I117" s="2683"/>
      <c r="J117" s="2682"/>
      <c r="K117" s="2682"/>
      <c r="L117" s="2683"/>
      <c r="M117" s="2682"/>
      <c r="N117" s="2682"/>
      <c r="O117" s="2683"/>
      <c r="P117" s="2682"/>
      <c r="Q117" s="2682"/>
      <c r="R117" s="2684"/>
    </row>
    <row r="118" spans="2:18" s="905" customFormat="1">
      <c r="B118" s="2682"/>
      <c r="C118" s="2682"/>
      <c r="D118" s="2682"/>
      <c r="E118" s="2682"/>
      <c r="F118" s="2682"/>
      <c r="G118" s="2683"/>
      <c r="H118" s="2682"/>
      <c r="I118" s="2683"/>
      <c r="J118" s="2682"/>
      <c r="K118" s="2682"/>
      <c r="L118" s="2683"/>
      <c r="M118" s="2682"/>
      <c r="N118" s="2682"/>
      <c r="O118" s="2683"/>
      <c r="P118" s="2682"/>
      <c r="Q118" s="2682"/>
      <c r="R118" s="2684"/>
    </row>
    <row r="119" spans="2:18" s="905" customFormat="1">
      <c r="B119" s="2682"/>
      <c r="C119" s="2682"/>
      <c r="D119" s="2682"/>
      <c r="E119" s="2682"/>
      <c r="F119" s="2682"/>
      <c r="G119" s="2683"/>
      <c r="H119" s="2682"/>
      <c r="I119" s="2683"/>
      <c r="J119" s="2682"/>
      <c r="K119" s="2682"/>
      <c r="L119" s="2683"/>
      <c r="M119" s="2682"/>
      <c r="N119" s="2682"/>
      <c r="O119" s="2683"/>
      <c r="P119" s="2682"/>
      <c r="Q119" s="2682"/>
      <c r="R119" s="2684"/>
    </row>
    <row r="120" spans="2:18" s="905" customFormat="1">
      <c r="B120" s="2682"/>
      <c r="C120" s="2682"/>
      <c r="D120" s="2682"/>
      <c r="E120" s="2682"/>
      <c r="F120" s="2682"/>
      <c r="G120" s="2683"/>
      <c r="H120" s="2682"/>
      <c r="I120" s="2683"/>
      <c r="J120" s="2682"/>
      <c r="K120" s="2682"/>
      <c r="L120" s="2683"/>
      <c r="M120" s="2682"/>
      <c r="N120" s="2682"/>
      <c r="O120" s="2683"/>
      <c r="P120" s="2682"/>
      <c r="Q120" s="2682"/>
      <c r="R120" s="2684"/>
    </row>
    <row r="121" spans="2:18" s="905" customFormat="1">
      <c r="B121" s="2682"/>
      <c r="C121" s="2682"/>
      <c r="D121" s="2682"/>
      <c r="E121" s="2682"/>
      <c r="F121" s="2682"/>
      <c r="G121" s="2683"/>
      <c r="H121" s="2682"/>
      <c r="I121" s="2683"/>
      <c r="J121" s="2682"/>
      <c r="K121" s="2682"/>
      <c r="L121" s="2683"/>
      <c r="M121" s="2682"/>
      <c r="N121" s="2682"/>
      <c r="O121" s="2683"/>
      <c r="P121" s="2682"/>
      <c r="Q121" s="2682"/>
      <c r="R121" s="2684"/>
    </row>
    <row r="122" spans="2:18" s="905" customFormat="1">
      <c r="B122" s="2682"/>
      <c r="C122" s="2682"/>
      <c r="D122" s="2682"/>
      <c r="E122" s="2682"/>
      <c r="F122" s="2682"/>
      <c r="G122" s="2683"/>
      <c r="H122" s="2682"/>
      <c r="I122" s="2683"/>
      <c r="J122" s="2682"/>
      <c r="K122" s="2682"/>
      <c r="L122" s="2683"/>
      <c r="M122" s="2682"/>
      <c r="N122" s="2682"/>
      <c r="O122" s="2683"/>
      <c r="P122" s="2682"/>
      <c r="Q122" s="2682"/>
      <c r="R122" s="2684"/>
    </row>
    <row r="123" spans="2:18" s="905" customFormat="1">
      <c r="B123" s="2682"/>
      <c r="C123" s="2682"/>
      <c r="D123" s="2682"/>
      <c r="E123" s="2682"/>
      <c r="F123" s="2682"/>
      <c r="G123" s="2683"/>
      <c r="H123" s="2682"/>
      <c r="I123" s="2683"/>
      <c r="J123" s="2682"/>
      <c r="K123" s="2682"/>
      <c r="L123" s="2683"/>
      <c r="M123" s="2682"/>
      <c r="N123" s="2682"/>
      <c r="O123" s="2683"/>
      <c r="P123" s="2682"/>
      <c r="Q123" s="2682"/>
      <c r="R123" s="2684"/>
    </row>
    <row r="124" spans="2:18" s="905" customFormat="1">
      <c r="B124" s="2682"/>
      <c r="C124" s="2682"/>
      <c r="D124" s="2682"/>
      <c r="E124" s="2682"/>
      <c r="F124" s="2682"/>
      <c r="G124" s="2683"/>
      <c r="H124" s="2682"/>
      <c r="I124" s="2683"/>
      <c r="J124" s="2682"/>
      <c r="K124" s="2682"/>
      <c r="L124" s="2683"/>
      <c r="M124" s="2682"/>
      <c r="N124" s="2682"/>
      <c r="O124" s="2683"/>
      <c r="P124" s="2682"/>
      <c r="Q124" s="2682"/>
      <c r="R124" s="2684"/>
    </row>
    <row r="125" spans="2:18" s="905" customFormat="1">
      <c r="B125" s="2682"/>
      <c r="C125" s="2682"/>
      <c r="D125" s="2682"/>
      <c r="E125" s="2682"/>
      <c r="F125" s="2682"/>
      <c r="G125" s="2683"/>
      <c r="H125" s="2682"/>
      <c r="I125" s="2683"/>
      <c r="J125" s="2682"/>
      <c r="K125" s="2682"/>
      <c r="L125" s="2683"/>
      <c r="M125" s="2682"/>
      <c r="N125" s="2682"/>
      <c r="O125" s="2683"/>
      <c r="P125" s="2682"/>
      <c r="Q125" s="2682"/>
      <c r="R125" s="2684"/>
    </row>
    <row r="126" spans="2:18" s="905" customFormat="1">
      <c r="B126" s="2682"/>
      <c r="C126" s="2682"/>
      <c r="D126" s="2682"/>
      <c r="E126" s="2682"/>
      <c r="F126" s="2682"/>
      <c r="G126" s="2683"/>
      <c r="H126" s="2682"/>
      <c r="I126" s="2683"/>
      <c r="J126" s="2682"/>
      <c r="K126" s="2682"/>
      <c r="L126" s="2683"/>
      <c r="M126" s="2682"/>
      <c r="N126" s="2682"/>
      <c r="O126" s="2683"/>
      <c r="P126" s="2682"/>
      <c r="Q126" s="2682"/>
      <c r="R126" s="2684"/>
    </row>
    <row r="127" spans="2:18" s="905" customFormat="1">
      <c r="B127" s="2682"/>
      <c r="C127" s="2682"/>
      <c r="D127" s="2682"/>
      <c r="E127" s="2682"/>
      <c r="F127" s="2682"/>
      <c r="G127" s="2683"/>
      <c r="H127" s="2682"/>
      <c r="I127" s="2683"/>
      <c r="J127" s="2682"/>
      <c r="K127" s="2682"/>
      <c r="L127" s="2683"/>
      <c r="M127" s="2682"/>
      <c r="N127" s="2682"/>
      <c r="O127" s="2683"/>
      <c r="P127" s="2682"/>
      <c r="Q127" s="2682"/>
      <c r="R127" s="2684"/>
    </row>
    <row r="128" spans="2:18" s="905" customFormat="1">
      <c r="B128" s="2682"/>
      <c r="C128" s="2682"/>
      <c r="D128" s="2682"/>
      <c r="E128" s="2682"/>
      <c r="F128" s="2682"/>
      <c r="G128" s="2683"/>
      <c r="H128" s="2682"/>
      <c r="I128" s="2683"/>
      <c r="J128" s="2682"/>
      <c r="K128" s="2682"/>
      <c r="L128" s="2683"/>
      <c r="M128" s="2682"/>
      <c r="N128" s="2682"/>
      <c r="O128" s="2683"/>
      <c r="P128" s="2682"/>
      <c r="Q128" s="2682"/>
      <c r="R128" s="2684"/>
    </row>
    <row r="129" spans="2:18" s="905" customFormat="1">
      <c r="B129" s="2682"/>
      <c r="C129" s="2682"/>
      <c r="D129" s="2682"/>
      <c r="E129" s="2682"/>
      <c r="F129" s="2682"/>
      <c r="G129" s="2683"/>
      <c r="H129" s="2682"/>
      <c r="I129" s="2683"/>
      <c r="J129" s="2682"/>
      <c r="K129" s="2682"/>
      <c r="L129" s="2683"/>
      <c r="M129" s="2682"/>
      <c r="N129" s="2682"/>
      <c r="O129" s="2683"/>
      <c r="P129" s="2682"/>
      <c r="Q129" s="2682"/>
      <c r="R129" s="2684"/>
    </row>
    <row r="130" spans="2:18" s="905" customFormat="1">
      <c r="B130" s="2682"/>
      <c r="C130" s="2682"/>
      <c r="D130" s="2682"/>
      <c r="E130" s="2682"/>
      <c r="F130" s="2682"/>
      <c r="G130" s="2683"/>
      <c r="H130" s="2682"/>
      <c r="I130" s="2683"/>
      <c r="J130" s="2682"/>
      <c r="K130" s="2682"/>
      <c r="L130" s="2683"/>
      <c r="M130" s="2682"/>
      <c r="N130" s="2682"/>
      <c r="O130" s="2683"/>
      <c r="P130" s="2682"/>
      <c r="Q130" s="2682"/>
      <c r="R130" s="2684"/>
    </row>
    <row r="131" spans="2:18" s="905" customFormat="1">
      <c r="B131" s="2682"/>
      <c r="C131" s="2682"/>
      <c r="D131" s="2682"/>
      <c r="E131" s="2682"/>
      <c r="F131" s="2682"/>
      <c r="G131" s="2683"/>
      <c r="H131" s="2682"/>
      <c r="I131" s="2683"/>
      <c r="J131" s="2682"/>
      <c r="K131" s="2682"/>
      <c r="L131" s="2683"/>
      <c r="M131" s="2682"/>
      <c r="N131" s="2682"/>
      <c r="O131" s="2683"/>
      <c r="P131" s="2682"/>
      <c r="Q131" s="2682"/>
      <c r="R131" s="2684"/>
    </row>
    <row r="132" spans="2:18" s="905" customFormat="1">
      <c r="B132" s="2682"/>
      <c r="C132" s="2682"/>
      <c r="D132" s="2682"/>
      <c r="E132" s="2682"/>
      <c r="F132" s="2682"/>
      <c r="G132" s="2683"/>
      <c r="H132" s="2682"/>
      <c r="I132" s="2683"/>
      <c r="J132" s="2682"/>
      <c r="K132" s="2682"/>
      <c r="L132" s="2683"/>
      <c r="M132" s="2682"/>
      <c r="N132" s="2682"/>
      <c r="O132" s="2683"/>
      <c r="P132" s="2682"/>
      <c r="Q132" s="2682"/>
      <c r="R132" s="2684"/>
    </row>
    <row r="133" spans="2:18" s="905" customFormat="1">
      <c r="B133" s="2682"/>
      <c r="C133" s="2682"/>
      <c r="D133" s="2682"/>
      <c r="E133" s="2682"/>
      <c r="F133" s="2682"/>
      <c r="G133" s="2683"/>
      <c r="H133" s="2682"/>
      <c r="I133" s="2683"/>
      <c r="J133" s="2682"/>
      <c r="K133" s="2682"/>
      <c r="L133" s="2683"/>
      <c r="M133" s="2682"/>
      <c r="N133" s="2682"/>
      <c r="O133" s="2683"/>
      <c r="P133" s="2682"/>
      <c r="Q133" s="2682"/>
      <c r="R133" s="2684"/>
    </row>
    <row r="134" spans="2:18" s="905" customFormat="1">
      <c r="B134" s="2682"/>
      <c r="C134" s="2682"/>
      <c r="D134" s="2682"/>
      <c r="E134" s="2682"/>
      <c r="F134" s="2682"/>
      <c r="G134" s="2683"/>
      <c r="H134" s="2682"/>
      <c r="I134" s="2683"/>
      <c r="J134" s="2682"/>
      <c r="K134" s="2682"/>
      <c r="L134" s="2683"/>
      <c r="M134" s="2682"/>
      <c r="N134" s="2682"/>
      <c r="O134" s="2683"/>
      <c r="P134" s="2682"/>
      <c r="Q134" s="2682"/>
      <c r="R134" s="2684"/>
    </row>
    <row r="135" spans="2:18" s="905" customFormat="1">
      <c r="B135" s="2682"/>
      <c r="C135" s="2682"/>
      <c r="D135" s="2682"/>
      <c r="E135" s="2682"/>
      <c r="F135" s="2682"/>
      <c r="G135" s="2683"/>
      <c r="H135" s="2682"/>
      <c r="I135" s="2683"/>
      <c r="J135" s="2682"/>
      <c r="K135" s="2682"/>
      <c r="L135" s="2683"/>
      <c r="M135" s="2682"/>
      <c r="N135" s="2682"/>
      <c r="O135" s="2683"/>
      <c r="P135" s="2682"/>
      <c r="Q135" s="2682"/>
      <c r="R135" s="2684"/>
    </row>
    <row r="136" spans="2:18" s="905" customFormat="1">
      <c r="B136" s="2682"/>
      <c r="C136" s="2682"/>
      <c r="D136" s="2682"/>
      <c r="E136" s="2682"/>
      <c r="F136" s="2682"/>
      <c r="G136" s="2683"/>
      <c r="H136" s="2682"/>
      <c r="I136" s="2683"/>
      <c r="J136" s="2682"/>
      <c r="K136" s="2682"/>
      <c r="L136" s="2683"/>
      <c r="M136" s="2682"/>
      <c r="N136" s="2682"/>
      <c r="O136" s="2683"/>
      <c r="P136" s="2682"/>
      <c r="Q136" s="2682"/>
      <c r="R136" s="2684"/>
    </row>
    <row r="137" spans="2:18" s="905" customFormat="1">
      <c r="B137" s="2682"/>
      <c r="C137" s="2682"/>
      <c r="D137" s="2682"/>
      <c r="E137" s="2682"/>
      <c r="F137" s="2682"/>
      <c r="G137" s="2683"/>
      <c r="H137" s="2682"/>
      <c r="I137" s="2683"/>
      <c r="J137" s="2682"/>
      <c r="K137" s="2682"/>
      <c r="L137" s="2683"/>
      <c r="M137" s="2682"/>
      <c r="N137" s="2682"/>
      <c r="O137" s="2683"/>
      <c r="P137" s="2682"/>
      <c r="Q137" s="2682"/>
      <c r="R137" s="2684"/>
    </row>
    <row r="138" spans="2:18" s="905" customFormat="1">
      <c r="B138" s="2682"/>
      <c r="C138" s="2682"/>
      <c r="D138" s="2682"/>
      <c r="E138" s="2682"/>
      <c r="F138" s="2682"/>
      <c r="G138" s="2683"/>
      <c r="H138" s="2682"/>
      <c r="I138" s="2683"/>
      <c r="J138" s="2682"/>
      <c r="K138" s="2682"/>
      <c r="L138" s="2683"/>
      <c r="M138" s="2682"/>
      <c r="N138" s="2682"/>
      <c r="O138" s="2683"/>
      <c r="P138" s="2682"/>
      <c r="Q138" s="2682"/>
      <c r="R138" s="2684"/>
    </row>
    <row r="139" spans="2:18" s="905" customFormat="1">
      <c r="B139" s="2682"/>
      <c r="C139" s="2682"/>
      <c r="D139" s="2682"/>
      <c r="E139" s="2682"/>
      <c r="F139" s="2682"/>
      <c r="G139" s="2683"/>
      <c r="H139" s="2682"/>
      <c r="I139" s="2683"/>
      <c r="J139" s="2682"/>
      <c r="K139" s="2682"/>
      <c r="L139" s="2683"/>
      <c r="M139" s="2682"/>
      <c r="N139" s="2682"/>
      <c r="O139" s="2683"/>
      <c r="P139" s="2682"/>
      <c r="Q139" s="2682"/>
      <c r="R139" s="2684"/>
    </row>
    <row r="140" spans="2:18" s="905" customFormat="1">
      <c r="B140" s="2682"/>
      <c r="C140" s="2682"/>
      <c r="D140" s="2682"/>
      <c r="E140" s="2682"/>
      <c r="F140" s="2682"/>
      <c r="G140" s="2683"/>
      <c r="H140" s="2682"/>
      <c r="I140" s="2683"/>
      <c r="J140" s="2682"/>
      <c r="K140" s="2682"/>
      <c r="L140" s="2683"/>
      <c r="M140" s="2682"/>
      <c r="N140" s="2682"/>
      <c r="O140" s="2683"/>
      <c r="P140" s="2682"/>
      <c r="Q140" s="2682"/>
      <c r="R140" s="2684"/>
    </row>
    <row r="141" spans="2:18" s="905" customFormat="1">
      <c r="B141" s="2682"/>
      <c r="C141" s="2682"/>
      <c r="D141" s="2682"/>
      <c r="E141" s="2682"/>
      <c r="F141" s="2682"/>
      <c r="G141" s="2683"/>
      <c r="H141" s="2682"/>
      <c r="I141" s="2683"/>
      <c r="J141" s="2682"/>
      <c r="K141" s="2682"/>
      <c r="L141" s="2683"/>
      <c r="M141" s="2682"/>
      <c r="N141" s="2682"/>
      <c r="O141" s="2683"/>
      <c r="P141" s="2682"/>
      <c r="Q141" s="2682"/>
      <c r="R141" s="2684"/>
    </row>
    <row r="142" spans="2:18" s="905" customFormat="1">
      <c r="B142" s="2682"/>
      <c r="C142" s="2682"/>
      <c r="D142" s="2682"/>
      <c r="E142" s="2682"/>
      <c r="F142" s="2682"/>
      <c r="G142" s="2683"/>
      <c r="H142" s="2682"/>
      <c r="I142" s="2683"/>
      <c r="J142" s="2682"/>
      <c r="K142" s="2682"/>
      <c r="L142" s="2683"/>
      <c r="M142" s="2682"/>
      <c r="N142" s="2682"/>
      <c r="O142" s="2683"/>
      <c r="P142" s="2682"/>
      <c r="Q142" s="2682"/>
      <c r="R142" s="2684"/>
    </row>
    <row r="143" spans="2:18" s="905" customFormat="1">
      <c r="B143" s="2682"/>
      <c r="C143" s="2682"/>
      <c r="D143" s="2682"/>
      <c r="E143" s="2682"/>
      <c r="F143" s="2682"/>
      <c r="G143" s="2683"/>
      <c r="H143" s="2682"/>
      <c r="I143" s="2683"/>
      <c r="J143" s="2682"/>
      <c r="K143" s="2682"/>
      <c r="L143" s="2683"/>
      <c r="M143" s="2682"/>
      <c r="N143" s="2682"/>
      <c r="O143" s="2683"/>
      <c r="P143" s="2682"/>
      <c r="Q143" s="2682"/>
      <c r="R143" s="2684"/>
    </row>
    <row r="144" spans="2:18" s="905" customFormat="1">
      <c r="B144" s="2682"/>
      <c r="C144" s="2682"/>
      <c r="D144" s="2682"/>
      <c r="E144" s="2682"/>
      <c r="F144" s="2682"/>
      <c r="G144" s="2683"/>
      <c r="H144" s="2682"/>
      <c r="I144" s="2683"/>
      <c r="J144" s="2682"/>
      <c r="K144" s="2682"/>
      <c r="L144" s="2683"/>
      <c r="M144" s="2682"/>
      <c r="N144" s="2682"/>
      <c r="O144" s="2683"/>
      <c r="P144" s="2682"/>
      <c r="Q144" s="2682"/>
      <c r="R144" s="2684"/>
    </row>
    <row r="145" spans="2:18" s="905" customFormat="1">
      <c r="B145" s="2682"/>
      <c r="C145" s="2682"/>
      <c r="D145" s="2682"/>
      <c r="E145" s="2682"/>
      <c r="F145" s="2682"/>
      <c r="G145" s="2683"/>
      <c r="H145" s="2682"/>
      <c r="I145" s="2683"/>
      <c r="J145" s="2682"/>
      <c r="K145" s="2682"/>
      <c r="L145" s="2683"/>
      <c r="M145" s="2682"/>
      <c r="N145" s="2682"/>
      <c r="O145" s="2683"/>
      <c r="P145" s="2682"/>
      <c r="Q145" s="2682"/>
      <c r="R145" s="2684"/>
    </row>
    <row r="146" spans="2:18" s="905" customFormat="1">
      <c r="B146" s="2682"/>
      <c r="C146" s="2682"/>
      <c r="D146" s="2682"/>
      <c r="E146" s="2682"/>
      <c r="F146" s="2682"/>
      <c r="G146" s="2683"/>
      <c r="H146" s="2682"/>
      <c r="I146" s="2683"/>
      <c r="J146" s="2682"/>
      <c r="K146" s="2682"/>
      <c r="L146" s="2683"/>
      <c r="M146" s="2682"/>
      <c r="N146" s="2682"/>
      <c r="O146" s="2683"/>
      <c r="P146" s="2682"/>
      <c r="Q146" s="2682"/>
      <c r="R146" s="2684"/>
    </row>
    <row r="147" spans="2:18" s="905" customFormat="1">
      <c r="B147" s="2682"/>
      <c r="C147" s="2682"/>
      <c r="D147" s="2682"/>
      <c r="E147" s="2682"/>
      <c r="F147" s="2682"/>
      <c r="G147" s="2683"/>
      <c r="H147" s="2682"/>
      <c r="I147" s="2683"/>
      <c r="J147" s="2682"/>
      <c r="K147" s="2682"/>
      <c r="L147" s="2683"/>
      <c r="M147" s="2682"/>
      <c r="N147" s="2682"/>
      <c r="O147" s="2683"/>
      <c r="P147" s="2682"/>
      <c r="Q147" s="2682"/>
      <c r="R147" s="2684"/>
    </row>
    <row r="148" spans="2:18" s="905" customFormat="1">
      <c r="B148" s="2682"/>
      <c r="C148" s="2682"/>
      <c r="D148" s="2682"/>
      <c r="E148" s="2682"/>
      <c r="F148" s="2682"/>
      <c r="G148" s="2683"/>
      <c r="H148" s="2682"/>
      <c r="I148" s="2683"/>
      <c r="J148" s="2682"/>
      <c r="K148" s="2682"/>
      <c r="L148" s="2683"/>
      <c r="M148" s="2682"/>
      <c r="N148" s="2682"/>
      <c r="O148" s="2683"/>
      <c r="P148" s="2682"/>
      <c r="Q148" s="2682"/>
      <c r="R148" s="2684"/>
    </row>
    <row r="149" spans="2:18" s="905" customFormat="1">
      <c r="B149" s="2682"/>
      <c r="C149" s="2682"/>
      <c r="D149" s="2682"/>
      <c r="E149" s="2682"/>
      <c r="F149" s="2682"/>
      <c r="G149" s="2683"/>
      <c r="H149" s="2682"/>
      <c r="I149" s="2683"/>
      <c r="J149" s="2682"/>
      <c r="K149" s="2682"/>
      <c r="L149" s="2683"/>
      <c r="M149" s="2682"/>
      <c r="N149" s="2682"/>
      <c r="O149" s="2683"/>
      <c r="P149" s="2682"/>
      <c r="Q149" s="2682"/>
      <c r="R149" s="2684"/>
    </row>
    <row r="150" spans="2:18" s="905" customFormat="1">
      <c r="B150" s="2682"/>
      <c r="C150" s="2682"/>
      <c r="D150" s="2682"/>
      <c r="E150" s="2682"/>
      <c r="F150" s="2682"/>
      <c r="G150" s="2683"/>
      <c r="H150" s="2682"/>
      <c r="I150" s="2683"/>
      <c r="J150" s="2682"/>
      <c r="K150" s="2682"/>
      <c r="L150" s="2683"/>
      <c r="M150" s="2682"/>
      <c r="N150" s="2682"/>
      <c r="O150" s="2683"/>
      <c r="P150" s="2682"/>
      <c r="Q150" s="2682"/>
      <c r="R150" s="2684"/>
    </row>
    <row r="151" spans="2:18" s="905" customFormat="1">
      <c r="B151" s="2682"/>
      <c r="C151" s="2682"/>
      <c r="D151" s="2682"/>
      <c r="E151" s="2682"/>
      <c r="F151" s="2682"/>
      <c r="G151" s="2683"/>
      <c r="H151" s="2682"/>
      <c r="I151" s="2683"/>
      <c r="J151" s="2682"/>
      <c r="K151" s="2682"/>
      <c r="L151" s="2683"/>
      <c r="M151" s="2682"/>
      <c r="N151" s="2682"/>
      <c r="O151" s="2683"/>
      <c r="P151" s="2682"/>
      <c r="Q151" s="2682"/>
      <c r="R151" s="2684"/>
    </row>
    <row r="152" spans="2:18" s="905" customFormat="1">
      <c r="B152" s="2682"/>
      <c r="C152" s="2682"/>
      <c r="D152" s="2682"/>
      <c r="E152" s="2682"/>
      <c r="F152" s="2682"/>
      <c r="G152" s="2683"/>
      <c r="H152" s="2682"/>
      <c r="I152" s="2683"/>
      <c r="J152" s="2682"/>
      <c r="K152" s="2682"/>
      <c r="L152" s="2683"/>
      <c r="M152" s="2682"/>
      <c r="N152" s="2682"/>
      <c r="O152" s="2683"/>
      <c r="P152" s="2682"/>
      <c r="Q152" s="2682"/>
      <c r="R152" s="2684"/>
    </row>
    <row r="153" spans="2:18" s="905" customFormat="1">
      <c r="B153" s="2682"/>
      <c r="C153" s="2682"/>
      <c r="D153" s="2682"/>
      <c r="E153" s="2682"/>
      <c r="F153" s="2682"/>
      <c r="G153" s="2683"/>
      <c r="H153" s="2682"/>
      <c r="I153" s="2683"/>
      <c r="J153" s="2682"/>
      <c r="K153" s="2682"/>
      <c r="L153" s="2683"/>
      <c r="M153" s="2682"/>
      <c r="N153" s="2682"/>
      <c r="O153" s="2683"/>
      <c r="P153" s="2682"/>
      <c r="Q153" s="2682"/>
      <c r="R153" s="2684"/>
    </row>
    <row r="154" spans="2:18" s="905" customFormat="1">
      <c r="B154" s="2682"/>
      <c r="C154" s="2682"/>
      <c r="D154" s="2682"/>
      <c r="E154" s="2682"/>
      <c r="F154" s="2682"/>
      <c r="G154" s="2683"/>
      <c r="H154" s="2682"/>
      <c r="I154" s="2683"/>
      <c r="J154" s="2682"/>
      <c r="K154" s="2682"/>
      <c r="L154" s="2683"/>
      <c r="M154" s="2682"/>
      <c r="N154" s="2682"/>
      <c r="O154" s="2683"/>
      <c r="P154" s="2682"/>
      <c r="Q154" s="2682"/>
      <c r="R154" s="2684"/>
    </row>
    <row r="155" spans="2:18" s="905" customFormat="1">
      <c r="B155" s="2682"/>
      <c r="C155" s="2682"/>
      <c r="D155" s="2682"/>
      <c r="E155" s="2682"/>
      <c r="F155" s="2682"/>
      <c r="G155" s="2683"/>
      <c r="H155" s="2682"/>
      <c r="I155" s="2683"/>
      <c r="J155" s="2682"/>
      <c r="K155" s="2682"/>
      <c r="L155" s="2683"/>
      <c r="M155" s="2682"/>
      <c r="N155" s="2682"/>
      <c r="O155" s="2683"/>
      <c r="P155" s="2682"/>
      <c r="Q155" s="2682"/>
      <c r="R155" s="2684"/>
    </row>
    <row r="156" spans="2:18" s="905" customFormat="1">
      <c r="B156" s="2682"/>
      <c r="C156" s="2682"/>
      <c r="D156" s="2682"/>
      <c r="E156" s="2682"/>
      <c r="F156" s="2682"/>
      <c r="G156" s="2683"/>
      <c r="H156" s="2682"/>
      <c r="I156" s="2683"/>
      <c r="J156" s="2682"/>
      <c r="K156" s="2682"/>
      <c r="L156" s="2683"/>
      <c r="M156" s="2682"/>
      <c r="N156" s="2682"/>
      <c r="O156" s="2683"/>
      <c r="P156" s="2682"/>
      <c r="Q156" s="2682"/>
      <c r="R156" s="2684"/>
    </row>
    <row r="157" spans="2:18" s="905" customFormat="1">
      <c r="B157" s="2682"/>
      <c r="C157" s="2682"/>
      <c r="D157" s="2682"/>
      <c r="E157" s="2682"/>
      <c r="F157" s="2682"/>
      <c r="G157" s="2683"/>
      <c r="H157" s="2682"/>
      <c r="I157" s="2683"/>
      <c r="J157" s="2682"/>
      <c r="K157" s="2682"/>
      <c r="L157" s="2683"/>
      <c r="M157" s="2682"/>
      <c r="N157" s="2682"/>
      <c r="O157" s="2683"/>
      <c r="P157" s="2682"/>
      <c r="Q157" s="2682"/>
      <c r="R157" s="2684"/>
    </row>
    <row r="158" spans="2:18" s="905" customFormat="1">
      <c r="B158" s="2682"/>
      <c r="C158" s="2682"/>
      <c r="D158" s="2682"/>
      <c r="E158" s="2682"/>
      <c r="F158" s="2682"/>
      <c r="G158" s="2683"/>
      <c r="H158" s="2682"/>
      <c r="I158" s="2683"/>
      <c r="J158" s="2682"/>
      <c r="K158" s="2682"/>
      <c r="L158" s="2683"/>
      <c r="M158" s="2682"/>
      <c r="N158" s="2682"/>
      <c r="O158" s="2683"/>
      <c r="P158" s="2682"/>
      <c r="Q158" s="2682"/>
      <c r="R158" s="2684"/>
    </row>
    <row r="159" spans="2:18" s="905" customFormat="1">
      <c r="B159" s="2682"/>
      <c r="C159" s="2682"/>
      <c r="D159" s="2682"/>
      <c r="E159" s="2682"/>
      <c r="F159" s="2682"/>
      <c r="G159" s="2683"/>
      <c r="H159" s="2682"/>
      <c r="I159" s="2683"/>
      <c r="J159" s="2682"/>
      <c r="K159" s="2682"/>
      <c r="L159" s="2683"/>
      <c r="M159" s="2682"/>
      <c r="N159" s="2682"/>
      <c r="O159" s="2683"/>
      <c r="P159" s="2682"/>
      <c r="Q159" s="2682"/>
      <c r="R159" s="2684"/>
    </row>
    <row r="160" spans="2:18" s="905" customFormat="1">
      <c r="B160" s="2682"/>
      <c r="C160" s="2682"/>
      <c r="D160" s="2682"/>
      <c r="E160" s="2682"/>
      <c r="F160" s="2682"/>
      <c r="G160" s="2683"/>
      <c r="H160" s="2682"/>
      <c r="I160" s="2683"/>
      <c r="J160" s="2682"/>
      <c r="K160" s="2682"/>
      <c r="L160" s="2683"/>
      <c r="M160" s="2682"/>
      <c r="N160" s="2682"/>
      <c r="O160" s="2683"/>
      <c r="P160" s="2682"/>
      <c r="Q160" s="2682"/>
      <c r="R160" s="2684"/>
    </row>
    <row r="161" spans="2:18" s="905" customFormat="1">
      <c r="B161" s="2682"/>
      <c r="C161" s="2682"/>
      <c r="D161" s="2682"/>
      <c r="E161" s="2682"/>
      <c r="F161" s="2682"/>
      <c r="G161" s="2683"/>
      <c r="H161" s="2682"/>
      <c r="I161" s="2683"/>
      <c r="J161" s="2682"/>
      <c r="K161" s="2682"/>
      <c r="L161" s="2683"/>
      <c r="M161" s="2682"/>
      <c r="N161" s="2682"/>
      <c r="O161" s="2683"/>
      <c r="P161" s="2682"/>
      <c r="Q161" s="2682"/>
      <c r="R161" s="2684"/>
    </row>
    <row r="162" spans="2:18" s="905" customFormat="1">
      <c r="B162" s="2682"/>
      <c r="C162" s="2682"/>
      <c r="D162" s="2682"/>
      <c r="E162" s="2682"/>
      <c r="F162" s="2682"/>
      <c r="G162" s="2683"/>
      <c r="H162" s="2682"/>
      <c r="I162" s="2683"/>
      <c r="J162" s="2682"/>
      <c r="K162" s="2682"/>
      <c r="L162" s="2683"/>
      <c r="M162" s="2682"/>
      <c r="N162" s="2682"/>
      <c r="O162" s="2683"/>
      <c r="P162" s="2682"/>
      <c r="Q162" s="2682"/>
      <c r="R162" s="2684"/>
    </row>
    <row r="163" spans="2:18" s="905" customFormat="1">
      <c r="B163" s="2682"/>
      <c r="C163" s="2682"/>
      <c r="D163" s="2682"/>
      <c r="E163" s="2682"/>
      <c r="F163" s="2682"/>
      <c r="G163" s="2683"/>
      <c r="H163" s="2682"/>
      <c r="I163" s="2683"/>
      <c r="J163" s="2682"/>
      <c r="K163" s="2682"/>
      <c r="L163" s="2683"/>
      <c r="M163" s="2682"/>
      <c r="N163" s="2682"/>
      <c r="O163" s="2683"/>
      <c r="P163" s="2682"/>
      <c r="Q163" s="2682"/>
      <c r="R163" s="2684"/>
    </row>
    <row r="164" spans="2:18" s="905" customFormat="1">
      <c r="B164" s="2682"/>
      <c r="C164" s="2682"/>
      <c r="D164" s="2682"/>
      <c r="E164" s="2682"/>
      <c r="F164" s="2682"/>
      <c r="G164" s="2683"/>
      <c r="H164" s="2682"/>
      <c r="I164" s="2683"/>
      <c r="J164" s="2682"/>
      <c r="K164" s="2682"/>
      <c r="L164" s="2683"/>
      <c r="M164" s="2682"/>
      <c r="N164" s="2682"/>
      <c r="O164" s="2683"/>
      <c r="P164" s="2682"/>
      <c r="Q164" s="2682"/>
      <c r="R164" s="2684"/>
    </row>
    <row r="165" spans="2:18" s="905" customFormat="1">
      <c r="B165" s="2682"/>
      <c r="C165" s="2682"/>
      <c r="D165" s="2682"/>
      <c r="E165" s="2682"/>
      <c r="F165" s="2682"/>
      <c r="G165" s="2683"/>
      <c r="H165" s="2682"/>
      <c r="I165" s="2683"/>
      <c r="J165" s="2682"/>
      <c r="K165" s="2682"/>
      <c r="L165" s="2683"/>
      <c r="M165" s="2682"/>
      <c r="N165" s="2682"/>
      <c r="O165" s="2683"/>
      <c r="P165" s="2682"/>
      <c r="Q165" s="2682"/>
      <c r="R165" s="2684"/>
    </row>
    <row r="166" spans="2:18" s="905" customFormat="1">
      <c r="B166" s="2682"/>
      <c r="C166" s="2682"/>
      <c r="D166" s="2682"/>
      <c r="E166" s="2682"/>
      <c r="F166" s="2682"/>
      <c r="G166" s="2683"/>
      <c r="H166" s="2682"/>
      <c r="I166" s="2683"/>
      <c r="J166" s="2682"/>
      <c r="K166" s="2682"/>
      <c r="L166" s="2683"/>
      <c r="M166" s="2682"/>
      <c r="N166" s="2682"/>
      <c r="O166" s="2683"/>
      <c r="P166" s="2682"/>
      <c r="Q166" s="2682"/>
      <c r="R166" s="2684"/>
    </row>
    <row r="167" spans="2:18" s="905" customFormat="1">
      <c r="B167" s="2682"/>
      <c r="C167" s="2682"/>
      <c r="D167" s="2682"/>
      <c r="E167" s="2682"/>
      <c r="F167" s="2682"/>
      <c r="G167" s="2683"/>
      <c r="H167" s="2682"/>
      <c r="I167" s="2683"/>
      <c r="J167" s="2682"/>
      <c r="K167" s="2682"/>
      <c r="L167" s="2683"/>
      <c r="M167" s="2682"/>
      <c r="N167" s="2682"/>
      <c r="O167" s="2683"/>
      <c r="P167" s="2682"/>
      <c r="Q167" s="2682"/>
      <c r="R167" s="2684"/>
    </row>
    <row r="168" spans="2:18" s="905" customFormat="1">
      <c r="B168" s="2682"/>
      <c r="C168" s="2682"/>
      <c r="D168" s="2682"/>
      <c r="E168" s="2682"/>
      <c r="F168" s="2682"/>
      <c r="G168" s="2683"/>
      <c r="H168" s="2682"/>
      <c r="I168" s="2683"/>
      <c r="J168" s="2682"/>
      <c r="K168" s="2682"/>
      <c r="L168" s="2683"/>
      <c r="M168" s="2682"/>
      <c r="N168" s="2682"/>
      <c r="O168" s="2683"/>
      <c r="P168" s="2682"/>
      <c r="Q168" s="2682"/>
      <c r="R168" s="2684"/>
    </row>
    <row r="169" spans="2:18" s="905" customFormat="1">
      <c r="B169" s="2682"/>
      <c r="C169" s="2682"/>
      <c r="D169" s="2682"/>
      <c r="E169" s="2682"/>
      <c r="F169" s="2682"/>
      <c r="G169" s="2683"/>
      <c r="H169" s="2682"/>
      <c r="I169" s="2683"/>
      <c r="J169" s="2682"/>
      <c r="K169" s="2682"/>
      <c r="L169" s="2683"/>
      <c r="M169" s="2682"/>
      <c r="N169" s="2682"/>
      <c r="O169" s="2683"/>
      <c r="P169" s="2682"/>
      <c r="Q169" s="2682"/>
      <c r="R169" s="2684"/>
    </row>
    <row r="170" spans="2:18" s="905" customFormat="1">
      <c r="B170" s="2682"/>
      <c r="C170" s="2682"/>
      <c r="D170" s="2682"/>
      <c r="E170" s="2682"/>
      <c r="F170" s="2682"/>
      <c r="G170" s="2683"/>
      <c r="H170" s="2682"/>
      <c r="I170" s="2683"/>
      <c r="J170" s="2682"/>
      <c r="K170" s="2682"/>
      <c r="L170" s="2683"/>
      <c r="M170" s="2682"/>
      <c r="N170" s="2682"/>
      <c r="O170" s="2683"/>
      <c r="P170" s="2682"/>
      <c r="Q170" s="2682"/>
      <c r="R170" s="2684"/>
    </row>
    <row r="171" spans="2:18" s="905" customFormat="1">
      <c r="B171" s="2682"/>
      <c r="C171" s="2682"/>
      <c r="D171" s="2682"/>
      <c r="E171" s="2682"/>
      <c r="F171" s="2682"/>
      <c r="G171" s="2683"/>
      <c r="H171" s="2682"/>
      <c r="I171" s="2683"/>
      <c r="J171" s="2682"/>
      <c r="K171" s="2682"/>
      <c r="L171" s="2683"/>
      <c r="M171" s="2682"/>
      <c r="N171" s="2682"/>
      <c r="O171" s="2683"/>
      <c r="P171" s="2682"/>
      <c r="Q171" s="2682"/>
      <c r="R171" s="2684"/>
    </row>
    <row r="172" spans="2:18" s="905" customFormat="1">
      <c r="B172" s="2682"/>
      <c r="C172" s="2682"/>
      <c r="D172" s="2682"/>
      <c r="E172" s="2682"/>
      <c r="F172" s="2682"/>
      <c r="G172" s="2683"/>
      <c r="H172" s="2682"/>
      <c r="I172" s="2683"/>
      <c r="J172" s="2682"/>
      <c r="K172" s="2682"/>
      <c r="L172" s="2683"/>
      <c r="M172" s="2682"/>
      <c r="N172" s="2682"/>
      <c r="O172" s="2683"/>
      <c r="P172" s="2682"/>
      <c r="Q172" s="2682"/>
      <c r="R172" s="2684"/>
    </row>
    <row r="173" spans="2:18" s="905" customFormat="1">
      <c r="B173" s="2682"/>
      <c r="C173" s="2682"/>
      <c r="D173" s="2682"/>
      <c r="E173" s="2682"/>
      <c r="F173" s="2682"/>
      <c r="G173" s="2683"/>
      <c r="H173" s="2682"/>
      <c r="I173" s="2683"/>
      <c r="J173" s="2682"/>
      <c r="K173" s="2682"/>
      <c r="L173" s="2683"/>
      <c r="M173" s="2682"/>
      <c r="N173" s="2682"/>
      <c r="O173" s="2683"/>
      <c r="P173" s="2682"/>
      <c r="Q173" s="2682"/>
      <c r="R173" s="2684"/>
    </row>
    <row r="174" spans="2:18" s="905" customFormat="1">
      <c r="B174" s="2682"/>
      <c r="C174" s="2682"/>
      <c r="D174" s="2682"/>
      <c r="E174" s="2682"/>
      <c r="F174" s="2682"/>
      <c r="G174" s="2683"/>
      <c r="H174" s="2682"/>
      <c r="I174" s="2683"/>
      <c r="J174" s="2682"/>
      <c r="K174" s="2682"/>
      <c r="L174" s="2683"/>
      <c r="M174" s="2682"/>
      <c r="N174" s="2682"/>
      <c r="O174" s="2683"/>
      <c r="P174" s="2682"/>
      <c r="Q174" s="2682"/>
      <c r="R174" s="2684"/>
    </row>
    <row r="175" spans="2:18" s="905" customFormat="1">
      <c r="B175" s="2682"/>
      <c r="C175" s="2682"/>
      <c r="D175" s="2682"/>
      <c r="E175" s="2682"/>
      <c r="F175" s="2682"/>
      <c r="G175" s="2683"/>
      <c r="H175" s="2682"/>
      <c r="I175" s="2683"/>
      <c r="J175" s="2682"/>
      <c r="K175" s="2682"/>
      <c r="L175" s="2683"/>
      <c r="M175" s="2682"/>
      <c r="N175" s="2682"/>
      <c r="O175" s="2683"/>
      <c r="P175" s="2682"/>
      <c r="Q175" s="2682"/>
      <c r="R175" s="2684"/>
    </row>
    <row r="176" spans="2:18" s="905" customFormat="1">
      <c r="B176" s="2682"/>
      <c r="C176" s="2682"/>
      <c r="D176" s="2682"/>
      <c r="E176" s="2682"/>
      <c r="F176" s="2682"/>
      <c r="G176" s="2683"/>
      <c r="H176" s="2682"/>
      <c r="I176" s="2683"/>
      <c r="J176" s="2682"/>
      <c r="K176" s="2682"/>
      <c r="L176" s="2683"/>
      <c r="M176" s="2682"/>
      <c r="N176" s="2682"/>
      <c r="O176" s="2683"/>
      <c r="P176" s="2682"/>
      <c r="Q176" s="2682"/>
      <c r="R176" s="2684"/>
    </row>
    <row r="177" spans="1:18" s="905" customFormat="1">
      <c r="B177" s="2682"/>
      <c r="C177" s="2682"/>
      <c r="D177" s="2682"/>
      <c r="E177" s="2682"/>
      <c r="F177" s="2682"/>
      <c r="G177" s="2683"/>
      <c r="H177" s="2682"/>
      <c r="I177" s="2683"/>
      <c r="J177" s="2682"/>
      <c r="K177" s="2682"/>
      <c r="L177" s="2683"/>
      <c r="M177" s="2682"/>
      <c r="N177" s="2682"/>
      <c r="O177" s="2683"/>
      <c r="P177" s="2682"/>
      <c r="Q177" s="2682"/>
      <c r="R177" s="2684"/>
    </row>
    <row r="178" spans="1:18" s="905" customFormat="1">
      <c r="B178" s="2682"/>
      <c r="C178" s="2682"/>
      <c r="D178" s="2682"/>
      <c r="E178" s="2682"/>
      <c r="F178" s="2682"/>
      <c r="G178" s="2683"/>
      <c r="H178" s="2682"/>
      <c r="I178" s="2683"/>
      <c r="J178" s="2682"/>
      <c r="K178" s="2682"/>
      <c r="L178" s="2683"/>
      <c r="M178" s="2682"/>
      <c r="N178" s="2682"/>
      <c r="O178" s="2683"/>
      <c r="P178" s="2682"/>
      <c r="Q178" s="2682"/>
      <c r="R178" s="2684"/>
    </row>
    <row r="179" spans="1:18" s="905" customFormat="1">
      <c r="B179" s="2682"/>
      <c r="C179" s="2682"/>
      <c r="D179" s="2682"/>
      <c r="E179" s="2682"/>
      <c r="F179" s="2682"/>
      <c r="G179" s="2683"/>
      <c r="H179" s="2682"/>
      <c r="I179" s="2683"/>
      <c r="J179" s="2682"/>
      <c r="K179" s="2682"/>
      <c r="L179" s="2683"/>
      <c r="M179" s="2682"/>
      <c r="N179" s="2682"/>
      <c r="O179" s="2683"/>
      <c r="P179" s="2682"/>
      <c r="Q179" s="2682"/>
      <c r="R179" s="2684"/>
    </row>
    <row r="180" spans="1:18" s="905" customFormat="1">
      <c r="B180" s="2682"/>
      <c r="C180" s="2682"/>
      <c r="D180" s="2682"/>
      <c r="E180" s="2682"/>
      <c r="F180" s="2682"/>
      <c r="G180" s="2683"/>
      <c r="H180" s="2682"/>
      <c r="I180" s="2683"/>
      <c r="J180" s="2682"/>
      <c r="K180" s="2682"/>
      <c r="L180" s="2683"/>
      <c r="M180" s="2682"/>
      <c r="N180" s="2682"/>
      <c r="O180" s="2683"/>
      <c r="P180" s="2682"/>
      <c r="Q180" s="2682"/>
      <c r="R180" s="2684"/>
    </row>
    <row r="181" spans="1:18" s="905" customFormat="1">
      <c r="B181" s="2682"/>
      <c r="C181" s="2682"/>
      <c r="D181" s="2682"/>
      <c r="E181" s="2682"/>
      <c r="F181" s="2682"/>
      <c r="G181" s="2683"/>
      <c r="H181" s="2682"/>
      <c r="I181" s="2683"/>
      <c r="J181" s="2682"/>
      <c r="K181" s="2682"/>
      <c r="L181" s="2683"/>
      <c r="M181" s="2682"/>
      <c r="N181" s="2682"/>
      <c r="O181" s="2683"/>
      <c r="P181" s="2682"/>
      <c r="Q181" s="2682"/>
      <c r="R181" s="2684"/>
    </row>
    <row r="182" spans="1:18" s="905" customFormat="1">
      <c r="B182" s="2682"/>
      <c r="C182" s="2682"/>
      <c r="D182" s="2682"/>
      <c r="E182" s="2682"/>
      <c r="F182" s="2682"/>
      <c r="G182" s="2683"/>
      <c r="H182" s="2682"/>
      <c r="I182" s="2683"/>
      <c r="J182" s="2682"/>
      <c r="K182" s="2682"/>
      <c r="L182" s="2683"/>
      <c r="M182" s="2682"/>
      <c r="N182" s="2682"/>
      <c r="O182" s="2683"/>
      <c r="P182" s="2682"/>
      <c r="Q182" s="2682"/>
      <c r="R182" s="2684"/>
    </row>
    <row r="183" spans="1:18" s="905" customFormat="1">
      <c r="B183" s="2682"/>
      <c r="C183" s="2682"/>
      <c r="D183" s="2682"/>
      <c r="E183" s="2682"/>
      <c r="F183" s="2682"/>
      <c r="G183" s="2683"/>
      <c r="H183" s="2682"/>
      <c r="I183" s="2683"/>
      <c r="J183" s="2682"/>
      <c r="K183" s="2682"/>
      <c r="L183" s="2683"/>
      <c r="M183" s="2682"/>
      <c r="N183" s="2682"/>
      <c r="O183" s="2683"/>
      <c r="P183" s="2682"/>
      <c r="Q183" s="2682"/>
      <c r="R183" s="2684"/>
    </row>
    <row r="184" spans="1:18" s="905" customFormat="1">
      <c r="B184" s="2682"/>
      <c r="C184" s="2682"/>
      <c r="D184" s="2682"/>
      <c r="E184" s="2682"/>
      <c r="F184" s="2682"/>
      <c r="G184" s="2683"/>
      <c r="H184" s="2682"/>
      <c r="I184" s="2683"/>
      <c r="J184" s="2682"/>
      <c r="K184" s="2682"/>
      <c r="L184" s="2683"/>
      <c r="M184" s="2682"/>
      <c r="N184" s="2682"/>
      <c r="O184" s="2683"/>
      <c r="P184" s="2682"/>
      <c r="Q184" s="2682"/>
      <c r="R184" s="2684"/>
    </row>
    <row r="185" spans="1:18" s="905"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5"/>
      <c r="B186" s="2682"/>
      <c r="C186" s="2682"/>
      <c r="E186" s="2682"/>
      <c r="F186" s="2682"/>
      <c r="G186" s="2683"/>
    </row>
    <row r="187" spans="1:18">
      <c r="A187" s="905"/>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CD5D-4F49-4F1F-A6D2-6CDC971D831F}">
  <sheetPr>
    <tabColor theme="5" tint="0.39997558519241921"/>
  </sheetPr>
  <dimension ref="A1:S20"/>
  <sheetViews>
    <sheetView topLeftCell="A3" zoomScale="90" zoomScaleNormal="90" workbookViewId="0">
      <selection activeCell="B21" sqref="B21"/>
    </sheetView>
  </sheetViews>
  <sheetFormatPr defaultColWidth="11.875" defaultRowHeight="16.5"/>
  <cols>
    <col min="1" max="1" width="15.625" style="3202" customWidth="1"/>
    <col min="2" max="2" width="10.5" style="3202" customWidth="1"/>
    <col min="3" max="3" width="9.875" style="3202" customWidth="1"/>
    <col min="4" max="4" width="11.5" style="3202" customWidth="1"/>
    <col min="5" max="5" width="9.375" style="3202" customWidth="1"/>
    <col min="6" max="6" width="10.75" style="3202" customWidth="1"/>
    <col min="7" max="7" width="10.25" style="3202" customWidth="1"/>
    <col min="8" max="8" width="10.125" style="3202" customWidth="1"/>
    <col min="9" max="9" width="11.75" style="3202" customWidth="1"/>
    <col min="10" max="10" width="10.5" style="3202" customWidth="1"/>
    <col min="11" max="11" width="9" style="3202" customWidth="1"/>
    <col min="12" max="12" width="8.75" style="3202" customWidth="1"/>
    <col min="13" max="13" width="9.375" style="3202" customWidth="1"/>
    <col min="14" max="14" width="10" style="3202" customWidth="1"/>
    <col min="15" max="15" width="9.25" style="3202" customWidth="1"/>
    <col min="16" max="16" width="4.375" style="3202" customWidth="1"/>
    <col min="17" max="17" width="9.625" style="3202" customWidth="1"/>
    <col min="18" max="18" width="21.875" style="3202" customWidth="1"/>
    <col min="19" max="19" width="9.75" style="3202" customWidth="1"/>
    <col min="20" max="16384" width="11.875" style="3202"/>
  </cols>
  <sheetData>
    <row r="1" spans="1:19">
      <c r="A1" s="3203" t="s">
        <v>3167</v>
      </c>
      <c r="B1" s="3203">
        <v>25000</v>
      </c>
      <c r="C1" s="3203" t="s">
        <v>3421</v>
      </c>
      <c r="D1" s="3203">
        <v>6265.27</v>
      </c>
      <c r="E1" s="3203" t="s">
        <v>3422</v>
      </c>
      <c r="F1" s="3203">
        <v>18734.726999999999</v>
      </c>
      <c r="N1" s="3203" t="s">
        <v>3185</v>
      </c>
      <c r="O1" s="3203">
        <f>C19/B1</f>
        <v>1.9288400000000001</v>
      </c>
    </row>
    <row r="2" spans="1:19" ht="14.25" customHeight="1">
      <c r="A2" s="3453" t="s">
        <v>3147</v>
      </c>
      <c r="B2" s="3453" t="s">
        <v>3168</v>
      </c>
      <c r="C2" s="3453" t="s">
        <v>3169</v>
      </c>
      <c r="D2" s="3453" t="s">
        <v>3148</v>
      </c>
      <c r="E2" s="3453"/>
      <c r="F2" s="3453"/>
      <c r="G2" s="3453" t="s">
        <v>3170</v>
      </c>
      <c r="H2" s="3453" t="s">
        <v>3148</v>
      </c>
      <c r="I2" s="3453"/>
      <c r="J2" s="3453"/>
      <c r="K2" s="3453"/>
      <c r="L2" s="3453"/>
      <c r="M2" s="3453"/>
      <c r="N2" s="3451" t="s">
        <v>3156</v>
      </c>
      <c r="O2" s="3452"/>
      <c r="Q2" s="3202" t="s">
        <v>3173</v>
      </c>
      <c r="R2" s="3202">
        <v>21322.98</v>
      </c>
    </row>
    <row r="3" spans="1:19" ht="27.75" customHeight="1">
      <c r="A3" s="3453"/>
      <c r="B3" s="3453"/>
      <c r="C3" s="3453"/>
      <c r="D3" s="3205" t="s">
        <v>3132</v>
      </c>
      <c r="E3" s="3205" t="s">
        <v>3136</v>
      </c>
      <c r="F3" s="3205" t="s">
        <v>3137</v>
      </c>
      <c r="G3" s="3453"/>
      <c r="H3" s="3205" t="s">
        <v>3149</v>
      </c>
      <c r="I3" s="3205" t="s">
        <v>3157</v>
      </c>
      <c r="J3" s="3205" t="s">
        <v>3133</v>
      </c>
      <c r="K3" s="3205" t="s">
        <v>3136</v>
      </c>
      <c r="L3" s="3205" t="s">
        <v>3134</v>
      </c>
      <c r="M3" s="3205" t="s">
        <v>3135</v>
      </c>
      <c r="N3" s="3358" t="s">
        <v>3150</v>
      </c>
      <c r="O3" s="3358" t="s">
        <v>3151</v>
      </c>
      <c r="Q3" s="3202" t="s">
        <v>3174</v>
      </c>
      <c r="R3" s="3202" t="s">
        <v>3175</v>
      </c>
      <c r="S3" s="3202">
        <v>20</v>
      </c>
    </row>
    <row r="4" spans="1:19" ht="16.5" customHeight="1">
      <c r="A4" s="3205" t="s">
        <v>3144</v>
      </c>
      <c r="B4" s="3206">
        <v>4637.1099999999997</v>
      </c>
      <c r="C4" s="3207">
        <v>3238.3</v>
      </c>
      <c r="D4" s="3208">
        <v>3238.3</v>
      </c>
      <c r="E4" s="3208" t="s">
        <v>3158</v>
      </c>
      <c r="F4" s="3208" t="s">
        <v>3158</v>
      </c>
      <c r="G4" s="3207">
        <v>1398.81</v>
      </c>
      <c r="H4" s="3208" t="s">
        <v>3158</v>
      </c>
      <c r="I4" s="3208" t="s">
        <v>3158</v>
      </c>
      <c r="J4" s="3209">
        <v>606.71</v>
      </c>
      <c r="K4" s="3208" t="s">
        <v>3158</v>
      </c>
      <c r="L4" s="3208">
        <v>491</v>
      </c>
      <c r="M4" s="3208">
        <v>301.10000000000002</v>
      </c>
      <c r="N4" s="3208" t="s">
        <v>3158</v>
      </c>
      <c r="O4" s="3208" t="s">
        <v>3158</v>
      </c>
      <c r="R4" s="3202" t="s">
        <v>3176</v>
      </c>
      <c r="S4" s="3202">
        <v>437.8</v>
      </c>
    </row>
    <row r="5" spans="1:19" ht="16.5" customHeight="1">
      <c r="A5" s="3205" t="s">
        <v>3128</v>
      </c>
      <c r="B5" s="3206">
        <v>4527.5600000000004</v>
      </c>
      <c r="C5" s="3207">
        <v>3190.8</v>
      </c>
      <c r="D5" s="3208">
        <v>3190.8</v>
      </c>
      <c r="E5" s="3208" t="s">
        <v>3158</v>
      </c>
      <c r="F5" s="3208" t="s">
        <v>3158</v>
      </c>
      <c r="G5" s="3207">
        <v>1336.76</v>
      </c>
      <c r="H5" s="3208" t="s">
        <v>3158</v>
      </c>
      <c r="I5" s="3208" t="s">
        <v>3158</v>
      </c>
      <c r="J5" s="3209">
        <v>1146.69</v>
      </c>
      <c r="K5" s="3208" t="s">
        <v>3158</v>
      </c>
      <c r="L5" s="3208" t="s">
        <v>3158</v>
      </c>
      <c r="M5" s="3208">
        <v>190.07</v>
      </c>
      <c r="N5" s="3208" t="s">
        <v>3158</v>
      </c>
      <c r="O5" s="3208" t="s">
        <v>3158</v>
      </c>
      <c r="Q5" s="3202" t="s">
        <v>3182</v>
      </c>
      <c r="S5" s="3202">
        <f>S3+S4</f>
        <v>457.8</v>
      </c>
    </row>
    <row r="6" spans="1:19" ht="16.5" customHeight="1">
      <c r="A6" s="3205" t="s">
        <v>3153</v>
      </c>
      <c r="B6" s="3206">
        <v>6905.88</v>
      </c>
      <c r="C6" s="3207">
        <v>4841.55</v>
      </c>
      <c r="D6" s="3208">
        <v>4841.55</v>
      </c>
      <c r="E6" s="3208" t="s">
        <v>3158</v>
      </c>
      <c r="F6" s="3208" t="s">
        <v>3158</v>
      </c>
      <c r="G6" s="3207">
        <v>2064.33</v>
      </c>
      <c r="H6" s="3208" t="s">
        <v>3158</v>
      </c>
      <c r="I6" s="3208" t="s">
        <v>3158</v>
      </c>
      <c r="J6" s="3209">
        <v>915.12</v>
      </c>
      <c r="K6" s="3208" t="s">
        <v>3158</v>
      </c>
      <c r="L6" s="3208">
        <v>769</v>
      </c>
      <c r="M6" s="3208">
        <v>380.21</v>
      </c>
      <c r="N6" s="3208" t="s">
        <v>3158</v>
      </c>
      <c r="O6" s="3208" t="s">
        <v>3158</v>
      </c>
      <c r="Q6" s="3202" t="s">
        <v>3178</v>
      </c>
      <c r="R6" s="3202" t="s">
        <v>3179</v>
      </c>
      <c r="S6" s="3202">
        <v>50</v>
      </c>
    </row>
    <row r="7" spans="1:19" ht="16.5" customHeight="1">
      <c r="A7" s="3205" t="s">
        <v>3129</v>
      </c>
      <c r="B7" s="3206">
        <v>6614.99</v>
      </c>
      <c r="C7" s="3207">
        <v>5030.88</v>
      </c>
      <c r="D7" s="3208">
        <v>5030.88</v>
      </c>
      <c r="E7" s="3208" t="s">
        <v>3158</v>
      </c>
      <c r="F7" s="3208" t="s">
        <v>3158</v>
      </c>
      <c r="G7" s="3207">
        <v>1584.11</v>
      </c>
      <c r="H7" s="3208" t="s">
        <v>3158</v>
      </c>
      <c r="I7" s="3208" t="s">
        <v>3158</v>
      </c>
      <c r="J7" s="3209">
        <v>1285.22</v>
      </c>
      <c r="K7" s="3209">
        <v>86</v>
      </c>
      <c r="L7" s="3208" t="s">
        <v>3158</v>
      </c>
      <c r="M7" s="3208">
        <v>212.89</v>
      </c>
      <c r="N7" s="3208" t="s">
        <v>3158</v>
      </c>
      <c r="O7" s="3208" t="s">
        <v>3158</v>
      </c>
      <c r="R7" s="3202" t="s">
        <v>3180</v>
      </c>
      <c r="S7" s="3202">
        <v>9034.9699999999993</v>
      </c>
    </row>
    <row r="8" spans="1:19" ht="16.5" customHeight="1">
      <c r="A8" s="3205" t="s">
        <v>3154</v>
      </c>
      <c r="B8" s="3206">
        <v>13855.56</v>
      </c>
      <c r="C8" s="3207">
        <v>11302.98</v>
      </c>
      <c r="D8" s="3208">
        <v>11302.98</v>
      </c>
      <c r="E8" s="3208" t="s">
        <v>3158</v>
      </c>
      <c r="F8" s="3208" t="s">
        <v>3158</v>
      </c>
      <c r="G8" s="3207">
        <v>2552.58</v>
      </c>
      <c r="H8" s="3208" t="s">
        <v>3158</v>
      </c>
      <c r="I8" s="3208" t="s">
        <v>3158</v>
      </c>
      <c r="J8" s="3209">
        <v>2092.15</v>
      </c>
      <c r="K8" s="3208" t="s">
        <v>3158</v>
      </c>
      <c r="L8" s="3208" t="s">
        <v>3158</v>
      </c>
      <c r="M8" s="3208">
        <v>460.43</v>
      </c>
      <c r="N8" s="3208" t="s">
        <v>3158</v>
      </c>
      <c r="O8" s="3208" t="s">
        <v>3158</v>
      </c>
      <c r="R8" s="3202" t="s">
        <v>3181</v>
      </c>
      <c r="S8" s="3202">
        <v>11780.21</v>
      </c>
    </row>
    <row r="9" spans="1:19" ht="16.5" customHeight="1">
      <c r="A9" s="3205" t="s">
        <v>3130</v>
      </c>
      <c r="B9" s="3206">
        <v>11756.09</v>
      </c>
      <c r="C9" s="3207">
        <v>9939.19</v>
      </c>
      <c r="D9" s="3208">
        <v>9939.19</v>
      </c>
      <c r="E9" s="3208" t="s">
        <v>3158</v>
      </c>
      <c r="F9" s="3208" t="s">
        <v>3158</v>
      </c>
      <c r="G9" s="3207">
        <v>1816.9</v>
      </c>
      <c r="H9" s="3208" t="s">
        <v>3158</v>
      </c>
      <c r="I9" s="3208" t="s">
        <v>3158</v>
      </c>
      <c r="J9" s="3209">
        <v>1494.54</v>
      </c>
      <c r="K9" s="3208" t="s">
        <v>3158</v>
      </c>
      <c r="L9" s="3208" t="s">
        <v>3158</v>
      </c>
      <c r="M9" s="3208">
        <v>322.36</v>
      </c>
      <c r="N9" s="3208" t="s">
        <v>3158</v>
      </c>
      <c r="O9" s="3208" t="s">
        <v>3158</v>
      </c>
      <c r="Q9" s="3202" t="s">
        <v>3182</v>
      </c>
      <c r="S9" s="3202">
        <f>S6+S7+S8</f>
        <v>20865.18</v>
      </c>
    </row>
    <row r="10" spans="1:19" ht="16.5" customHeight="1">
      <c r="A10" s="3205" t="s">
        <v>3155</v>
      </c>
      <c r="B10" s="3206">
        <v>11750.98</v>
      </c>
      <c r="C10" s="3207">
        <v>9933.65</v>
      </c>
      <c r="D10" s="3208">
        <v>9918.15</v>
      </c>
      <c r="E10" s="3208" t="s">
        <v>3158</v>
      </c>
      <c r="F10" s="3208">
        <v>15.5</v>
      </c>
      <c r="G10" s="3207">
        <v>1817.33</v>
      </c>
      <c r="H10" s="3208" t="s">
        <v>3158</v>
      </c>
      <c r="I10" s="3208" t="s">
        <v>3158</v>
      </c>
      <c r="J10" s="3209">
        <v>1494.54</v>
      </c>
      <c r="K10" s="3208" t="s">
        <v>3158</v>
      </c>
      <c r="L10" s="3208" t="s">
        <v>3158</v>
      </c>
      <c r="M10" s="3208">
        <v>322.79000000000002</v>
      </c>
      <c r="N10" s="3208" t="s">
        <v>3158</v>
      </c>
      <c r="O10" s="3208" t="s">
        <v>3158</v>
      </c>
    </row>
    <row r="11" spans="1:19" ht="16.5" customHeight="1">
      <c r="A11" s="3205" t="s">
        <v>3138</v>
      </c>
      <c r="B11" s="3206">
        <v>120</v>
      </c>
      <c r="C11" s="3207">
        <v>120</v>
      </c>
      <c r="D11" s="3208" t="s">
        <v>3158</v>
      </c>
      <c r="E11" s="3209">
        <v>120</v>
      </c>
      <c r="F11" s="3208" t="s">
        <v>3158</v>
      </c>
      <c r="G11" s="3207">
        <v>0</v>
      </c>
      <c r="H11" s="3208" t="s">
        <v>3158</v>
      </c>
      <c r="I11" s="3208" t="s">
        <v>3158</v>
      </c>
      <c r="J11" s="3208" t="s">
        <v>3158</v>
      </c>
      <c r="K11" s="3208" t="s">
        <v>3158</v>
      </c>
      <c r="L11" s="3208" t="s">
        <v>3158</v>
      </c>
      <c r="M11" s="3208" t="s">
        <v>3158</v>
      </c>
      <c r="N11" s="3208" t="s">
        <v>3158</v>
      </c>
      <c r="O11" s="3208" t="s">
        <v>3158</v>
      </c>
    </row>
    <row r="12" spans="1:19" ht="16.5" customHeight="1">
      <c r="A12" s="3205" t="s">
        <v>3139</v>
      </c>
      <c r="B12" s="3206">
        <v>40</v>
      </c>
      <c r="C12" s="3207">
        <v>40</v>
      </c>
      <c r="D12" s="3208" t="s">
        <v>3158</v>
      </c>
      <c r="E12" s="3208" t="s">
        <v>3158</v>
      </c>
      <c r="F12" s="3208">
        <v>40</v>
      </c>
      <c r="G12" s="3207">
        <v>0</v>
      </c>
      <c r="H12" s="3208" t="s">
        <v>3158</v>
      </c>
      <c r="I12" s="3208" t="s">
        <v>3158</v>
      </c>
      <c r="J12" s="3208" t="s">
        <v>3158</v>
      </c>
      <c r="K12" s="3208" t="s">
        <v>3158</v>
      </c>
      <c r="L12" s="3208" t="s">
        <v>3158</v>
      </c>
      <c r="M12" s="3208" t="s">
        <v>3158</v>
      </c>
      <c r="N12" s="3208" t="s">
        <v>3158</v>
      </c>
      <c r="O12" s="3208" t="s">
        <v>3158</v>
      </c>
    </row>
    <row r="13" spans="1:19" ht="16.5" customHeight="1">
      <c r="A13" s="3205" t="s">
        <v>3140</v>
      </c>
      <c r="B13" s="3206">
        <v>40</v>
      </c>
      <c r="C13" s="3207">
        <v>40</v>
      </c>
      <c r="D13" s="3208" t="s">
        <v>3158</v>
      </c>
      <c r="E13" s="3208" t="s">
        <v>3158</v>
      </c>
      <c r="F13" s="3208">
        <v>40</v>
      </c>
      <c r="G13" s="3207">
        <v>0</v>
      </c>
      <c r="H13" s="3208" t="s">
        <v>3158</v>
      </c>
      <c r="I13" s="3208" t="s">
        <v>3158</v>
      </c>
      <c r="J13" s="3208" t="s">
        <v>3158</v>
      </c>
      <c r="K13" s="3208" t="s">
        <v>3158</v>
      </c>
      <c r="L13" s="3208" t="s">
        <v>3158</v>
      </c>
      <c r="M13" s="3208" t="s">
        <v>3158</v>
      </c>
      <c r="N13" s="3208" t="s">
        <v>3158</v>
      </c>
      <c r="O13" s="3208" t="s">
        <v>3158</v>
      </c>
    </row>
    <row r="14" spans="1:19" ht="16.5" customHeight="1">
      <c r="A14" s="3205" t="s">
        <v>3141</v>
      </c>
      <c r="B14" s="3206">
        <v>40</v>
      </c>
      <c r="C14" s="3207">
        <v>40</v>
      </c>
      <c r="D14" s="3208" t="s">
        <v>3158</v>
      </c>
      <c r="E14" s="3208" t="s">
        <v>3158</v>
      </c>
      <c r="F14" s="3208">
        <v>40</v>
      </c>
      <c r="G14" s="3207">
        <v>0</v>
      </c>
      <c r="H14" s="3208" t="s">
        <v>3158</v>
      </c>
      <c r="I14" s="3208" t="s">
        <v>3158</v>
      </c>
      <c r="J14" s="3208" t="s">
        <v>3158</v>
      </c>
      <c r="K14" s="3208" t="s">
        <v>3158</v>
      </c>
      <c r="L14" s="3208" t="s">
        <v>3158</v>
      </c>
      <c r="M14" s="3208" t="s">
        <v>3158</v>
      </c>
      <c r="N14" s="3208" t="s">
        <v>3158</v>
      </c>
      <c r="O14" s="3208" t="s">
        <v>3158</v>
      </c>
    </row>
    <row r="15" spans="1:19" ht="19.5" customHeight="1">
      <c r="A15" s="3205" t="s">
        <v>3142</v>
      </c>
      <c r="B15" s="3206">
        <v>24629.98</v>
      </c>
      <c r="C15" s="3207">
        <v>337.8</v>
      </c>
      <c r="D15" s="3208" t="s">
        <v>3158</v>
      </c>
      <c r="E15" s="3208" t="s">
        <v>3158</v>
      </c>
      <c r="F15" s="3209">
        <v>337.8</v>
      </c>
      <c r="G15" s="3207">
        <v>24292.18</v>
      </c>
      <c r="H15" s="3209">
        <v>11780.21</v>
      </c>
      <c r="I15" s="3208">
        <v>11891.97</v>
      </c>
      <c r="J15" s="3208" t="s">
        <v>3158</v>
      </c>
      <c r="K15" s="3208">
        <v>620</v>
      </c>
      <c r="L15" s="3208" t="s">
        <v>3158</v>
      </c>
      <c r="M15" s="3208" t="s">
        <v>3158</v>
      </c>
      <c r="N15" s="3208">
        <v>12073.32</v>
      </c>
      <c r="O15" s="3208">
        <v>181.35</v>
      </c>
      <c r="Q15" s="3202">
        <f>L19+M19+K19-50+F19-F15</f>
        <v>4407.2</v>
      </c>
    </row>
    <row r="16" spans="1:19" ht="30.75" customHeight="1">
      <c r="A16" s="3205" t="s">
        <v>3143</v>
      </c>
      <c r="B16" s="3206">
        <v>65.45</v>
      </c>
      <c r="C16" s="3207">
        <v>65.45</v>
      </c>
      <c r="D16" s="3208" t="s">
        <v>3158</v>
      </c>
      <c r="E16" s="3208" t="s">
        <v>3158</v>
      </c>
      <c r="F16" s="3208">
        <v>65.45</v>
      </c>
      <c r="G16" s="3207" t="s">
        <v>3158</v>
      </c>
      <c r="H16" s="3208" t="s">
        <v>3158</v>
      </c>
      <c r="I16" s="3208" t="s">
        <v>3158</v>
      </c>
      <c r="J16" s="3208" t="s">
        <v>3158</v>
      </c>
      <c r="K16" s="3208" t="s">
        <v>3158</v>
      </c>
      <c r="L16" s="3208" t="s">
        <v>3158</v>
      </c>
      <c r="M16" s="3208" t="s">
        <v>3158</v>
      </c>
      <c r="N16" s="3208" t="s">
        <v>3158</v>
      </c>
      <c r="O16" s="3208" t="s">
        <v>3158</v>
      </c>
    </row>
    <row r="17" spans="1:15" ht="33.75" customHeight="1">
      <c r="A17" s="3205" t="s">
        <v>3145</v>
      </c>
      <c r="B17" s="3206">
        <v>65.45</v>
      </c>
      <c r="C17" s="3207">
        <v>65.45</v>
      </c>
      <c r="D17" s="3208" t="s">
        <v>3158</v>
      </c>
      <c r="E17" s="3208" t="s">
        <v>3158</v>
      </c>
      <c r="F17" s="3208">
        <v>65.45</v>
      </c>
      <c r="G17" s="3207" t="s">
        <v>3158</v>
      </c>
      <c r="H17" s="3208" t="s">
        <v>3158</v>
      </c>
      <c r="I17" s="3208" t="s">
        <v>3158</v>
      </c>
      <c r="J17" s="3208" t="s">
        <v>3158</v>
      </c>
      <c r="K17" s="3208" t="s">
        <v>3158</v>
      </c>
      <c r="L17" s="3208" t="s">
        <v>3158</v>
      </c>
      <c r="M17" s="3208" t="s">
        <v>3158</v>
      </c>
      <c r="N17" s="3208" t="s">
        <v>3158</v>
      </c>
      <c r="O17" s="3208" t="s">
        <v>3158</v>
      </c>
    </row>
    <row r="18" spans="1:15" ht="32.25" customHeight="1">
      <c r="A18" s="3205" t="s">
        <v>3146</v>
      </c>
      <c r="B18" s="3206">
        <v>34.950000000000003</v>
      </c>
      <c r="C18" s="3207">
        <v>34.950000000000003</v>
      </c>
      <c r="D18" s="3208" t="s">
        <v>3158</v>
      </c>
      <c r="E18" s="3208" t="s">
        <v>3158</v>
      </c>
      <c r="F18" s="3208">
        <v>34.950000000000003</v>
      </c>
      <c r="G18" s="3207" t="s">
        <v>3158</v>
      </c>
      <c r="H18" s="3208" t="s">
        <v>3158</v>
      </c>
      <c r="I18" s="3208" t="s">
        <v>3158</v>
      </c>
      <c r="J18" s="3208" t="s">
        <v>3158</v>
      </c>
      <c r="K18" s="3208" t="s">
        <v>3158</v>
      </c>
      <c r="L18" s="3208" t="s">
        <v>3158</v>
      </c>
      <c r="M18" s="3208" t="s">
        <v>3158</v>
      </c>
      <c r="N18" s="3208" t="s">
        <v>3158</v>
      </c>
      <c r="O18" s="3208" t="s">
        <v>3158</v>
      </c>
    </row>
    <row r="19" spans="1:15">
      <c r="A19" s="3205" t="s">
        <v>3152</v>
      </c>
      <c r="B19" s="3358">
        <f>SUM(B4:B18)</f>
        <v>85083.999999999985</v>
      </c>
      <c r="C19" s="3205">
        <f>SUM(C4:C18)</f>
        <v>48221</v>
      </c>
      <c r="D19" s="3205">
        <f t="shared" ref="D19:G19" si="0">SUM(D4:D18)</f>
        <v>47461.850000000006</v>
      </c>
      <c r="E19" s="3205">
        <f t="shared" si="0"/>
        <v>120</v>
      </c>
      <c r="F19" s="3205">
        <f t="shared" si="0"/>
        <v>639.15000000000009</v>
      </c>
      <c r="G19" s="3205">
        <f t="shared" si="0"/>
        <v>36863</v>
      </c>
      <c r="H19" s="3205">
        <f t="shared" ref="H19" si="1">SUM(H4:H18)</f>
        <v>11780.21</v>
      </c>
      <c r="I19" s="3205">
        <f t="shared" ref="I19" si="2">SUM(I4:I18)</f>
        <v>11891.97</v>
      </c>
      <c r="J19" s="3205">
        <f t="shared" ref="J19:K19" si="3">SUM(J4:J18)</f>
        <v>9034.9699999999993</v>
      </c>
      <c r="K19" s="3205">
        <f t="shared" si="3"/>
        <v>706</v>
      </c>
      <c r="L19" s="3205">
        <f t="shared" ref="L19" si="4">SUM(L4:L18)</f>
        <v>1260</v>
      </c>
      <c r="M19" s="3205">
        <f t="shared" ref="M19" si="5">SUM(M4:M18)</f>
        <v>2189.85</v>
      </c>
      <c r="N19" s="3358">
        <f t="shared" ref="N19:O19" si="6">SUM(N4:N18)</f>
        <v>12073.32</v>
      </c>
      <c r="O19" s="3358">
        <f t="shared" si="6"/>
        <v>181.35</v>
      </c>
    </row>
    <row r="20" spans="1:15">
      <c r="B20" s="3202">
        <f>B19-S5-S9</f>
        <v>63761.019999999982</v>
      </c>
      <c r="N20" s="3202">
        <f>N19-O19</f>
        <v>11891.97</v>
      </c>
    </row>
  </sheetData>
  <mergeCells count="7">
    <mergeCell ref="N2:O2"/>
    <mergeCell ref="D2:F2"/>
    <mergeCell ref="A2:A3"/>
    <mergeCell ref="B2:B3"/>
    <mergeCell ref="C2:C3"/>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89CC-188B-448A-81C9-9D1A8A1C4645}">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454" t="s">
        <v>3342</v>
      </c>
      <c r="B1" s="3456" t="s">
        <v>3344</v>
      </c>
      <c r="C1" s="3457"/>
      <c r="D1" s="3458"/>
      <c r="E1" s="3462" t="s">
        <v>3345</v>
      </c>
      <c r="F1" s="3464" t="s">
        <v>3346</v>
      </c>
      <c r="G1" s="3462" t="s">
        <v>3347</v>
      </c>
      <c r="H1" s="3462" t="s">
        <v>3348</v>
      </c>
      <c r="I1" s="3469" t="s">
        <v>3349</v>
      </c>
      <c r="J1" s="3470"/>
      <c r="K1" s="3473" t="s">
        <v>3350</v>
      </c>
      <c r="L1" s="3474"/>
      <c r="M1" s="3464" t="s">
        <v>3351</v>
      </c>
      <c r="N1" s="3469" t="s">
        <v>3352</v>
      </c>
      <c r="O1" s="3470"/>
    </row>
    <row r="2" spans="1:15" ht="14.25" thickBot="1">
      <c r="A2" s="3455"/>
      <c r="B2" s="3459"/>
      <c r="C2" s="3460"/>
      <c r="D2" s="3461"/>
      <c r="E2" s="3463"/>
      <c r="F2" s="3465"/>
      <c r="G2" s="3463"/>
      <c r="H2" s="3463"/>
      <c r="I2" s="3471"/>
      <c r="J2" s="3472"/>
      <c r="K2" s="3475"/>
      <c r="L2" s="3476"/>
      <c r="M2" s="3465"/>
      <c r="N2" s="3471"/>
      <c r="O2" s="3472"/>
    </row>
    <row r="3" spans="1:15" ht="14.25" thickBot="1">
      <c r="A3" s="3491">
        <v>1</v>
      </c>
      <c r="B3" s="3477" t="s">
        <v>3353</v>
      </c>
      <c r="C3" s="3478"/>
      <c r="D3" s="3479"/>
      <c r="E3" s="3258" t="e">
        <f>SUM(E4:E8)</f>
        <v>#REF!</v>
      </c>
      <c r="F3" s="3258" t="e">
        <f>ROUND(E3/#REF!*#REF!,4)</f>
        <v>#REF!</v>
      </c>
      <c r="G3" s="3258" t="e">
        <f>SUM(G4:G8)</f>
        <v>#REF!</v>
      </c>
      <c r="H3" s="3258">
        <v>0</v>
      </c>
      <c r="I3" s="3480" t="e">
        <f>ROUND(F3*100000000/#REF!,0)</f>
        <v>#REF!</v>
      </c>
      <c r="J3" s="3481"/>
      <c r="K3" s="3482"/>
      <c r="L3" s="3483"/>
      <c r="M3" s="3259">
        <v>0</v>
      </c>
      <c r="N3" s="3480" t="e">
        <f>ROUND(M3*100000000/#REF!,0)</f>
        <v>#REF!</v>
      </c>
      <c r="O3" s="3481"/>
    </row>
    <row r="4" spans="1:15" ht="14.25" thickBot="1">
      <c r="A4" s="3484"/>
      <c r="B4" s="3454" t="s">
        <v>3354</v>
      </c>
      <c r="C4" s="3466" t="s">
        <v>3355</v>
      </c>
      <c r="D4" s="3467"/>
      <c r="E4" s="3260">
        <v>0</v>
      </c>
      <c r="F4" s="3260">
        <v>0</v>
      </c>
      <c r="G4" s="3260">
        <v>0</v>
      </c>
      <c r="H4" s="3260">
        <v>0</v>
      </c>
      <c r="I4" s="3466"/>
      <c r="J4" s="3467"/>
      <c r="K4" s="3468"/>
      <c r="L4" s="3467"/>
      <c r="M4" s="3261">
        <f t="shared" ref="M4:M24" si="0">F4</f>
        <v>0</v>
      </c>
      <c r="N4" s="3466"/>
      <c r="O4" s="3467"/>
    </row>
    <row r="5" spans="1:15" ht="14.25" thickBot="1">
      <c r="A5" s="3484"/>
      <c r="B5" s="3484"/>
      <c r="C5" s="3466" t="s">
        <v>3356</v>
      </c>
      <c r="D5" s="3467"/>
      <c r="E5" s="3260" t="e">
        <f>ROUND((D34+D36+D38)/10000-#REF!,4)</f>
        <v>#REF!</v>
      </c>
      <c r="F5" s="3260" t="e">
        <f>ROUND(E5/#REF!*#REF!,4)</f>
        <v>#REF!</v>
      </c>
      <c r="G5" s="3260" t="e">
        <f>ROUND(E5/#REF!*#REF!,4)</f>
        <v>#REF!</v>
      </c>
      <c r="H5" s="3260">
        <v>0</v>
      </c>
      <c r="I5" s="3466"/>
      <c r="J5" s="3467"/>
      <c r="K5" s="3468" t="s">
        <v>3357</v>
      </c>
      <c r="L5" s="3467"/>
      <c r="M5" s="3261" t="e">
        <f t="shared" si="0"/>
        <v>#REF!</v>
      </c>
      <c r="N5" s="3466"/>
      <c r="O5" s="3467"/>
    </row>
    <row r="6" spans="1:15" ht="14.25" thickBot="1">
      <c r="A6" s="3484"/>
      <c r="B6" s="3484"/>
      <c r="C6" s="3466" t="s">
        <v>3358</v>
      </c>
      <c r="D6" s="3467"/>
      <c r="E6" s="3260">
        <f>ROUND(D35/10000,4)</f>
        <v>0</v>
      </c>
      <c r="F6" s="3260" t="e">
        <f>ROUND(E6/#REF!*#REF!,4)</f>
        <v>#REF!</v>
      </c>
      <c r="G6" s="3260" t="e">
        <f>ROUND(E6/#REF!*#REF!,4)</f>
        <v>#REF!</v>
      </c>
      <c r="H6" s="3260">
        <v>0</v>
      </c>
      <c r="I6" s="3466"/>
      <c r="J6" s="3467"/>
      <c r="K6" s="3468" t="s">
        <v>3359</v>
      </c>
      <c r="L6" s="3467"/>
      <c r="M6" s="3261" t="e">
        <f t="shared" si="0"/>
        <v>#REF!</v>
      </c>
      <c r="N6" s="3466"/>
      <c r="O6" s="3467"/>
    </row>
    <row r="7" spans="1:15" ht="14.25" thickBot="1">
      <c r="A7" s="3484"/>
      <c r="B7" s="3484"/>
      <c r="C7" s="3466" t="s">
        <v>3360</v>
      </c>
      <c r="D7" s="3467"/>
      <c r="E7" s="3260">
        <f>ROUND(D37/10000,4)</f>
        <v>0</v>
      </c>
      <c r="F7" s="3260" t="e">
        <f>ROUND(E7/#REF!*#REF!,4)</f>
        <v>#REF!</v>
      </c>
      <c r="G7" s="3260" t="e">
        <f>ROUND(E7/#REF!*#REF!,4)</f>
        <v>#REF!</v>
      </c>
      <c r="H7" s="3260">
        <v>0</v>
      </c>
      <c r="I7" s="3466"/>
      <c r="J7" s="3467"/>
      <c r="K7" s="3468" t="s">
        <v>3361</v>
      </c>
      <c r="L7" s="3467"/>
      <c r="M7" s="3261" t="e">
        <f t="shared" si="0"/>
        <v>#REF!</v>
      </c>
      <c r="N7" s="3466"/>
      <c r="O7" s="3467"/>
    </row>
    <row r="8" spans="1:15" ht="14.25" thickBot="1">
      <c r="A8" s="3485"/>
      <c r="B8" s="3485"/>
      <c r="C8" s="3466" t="s">
        <v>3362</v>
      </c>
      <c r="D8" s="3467"/>
      <c r="E8" s="3260">
        <v>0</v>
      </c>
      <c r="F8" s="3260">
        <v>0</v>
      </c>
      <c r="G8" s="3260">
        <v>0</v>
      </c>
      <c r="H8" s="3260">
        <v>0</v>
      </c>
      <c r="I8" s="3466"/>
      <c r="J8" s="3467"/>
      <c r="K8" s="3468" t="s">
        <v>3359</v>
      </c>
      <c r="L8" s="3467"/>
      <c r="M8" s="3261">
        <f t="shared" si="0"/>
        <v>0</v>
      </c>
      <c r="N8" s="3466"/>
      <c r="O8" s="3467"/>
    </row>
    <row r="9" spans="1:15" ht="14.25" thickBot="1">
      <c r="A9" s="3454">
        <v>2</v>
      </c>
      <c r="B9" s="3486" t="s">
        <v>3363</v>
      </c>
      <c r="C9" s="3487"/>
      <c r="D9" s="3488"/>
      <c r="E9" s="3258" t="e">
        <f>#REF!</f>
        <v>#REF!</v>
      </c>
      <c r="F9" s="3258" t="e">
        <f>F10</f>
        <v>#REF!</v>
      </c>
      <c r="G9" s="3258" t="e">
        <f>G10</f>
        <v>#REF!</v>
      </c>
      <c r="H9" s="3258" t="e">
        <f>#REF!</f>
        <v>#REF!</v>
      </c>
      <c r="I9" s="3480" t="e">
        <f>ROUND(F9*100000000/#REF!,0)</f>
        <v>#REF!</v>
      </c>
      <c r="J9" s="3489"/>
      <c r="K9" s="3466"/>
      <c r="L9" s="3490"/>
      <c r="M9" s="3258" t="e">
        <f t="shared" si="0"/>
        <v>#REF!</v>
      </c>
      <c r="N9" s="3480" t="e">
        <f>ROUND(M9*100000000/#REF!,0)</f>
        <v>#REF!</v>
      </c>
      <c r="O9" s="3489"/>
    </row>
    <row r="10" spans="1:15" ht="14.25" thickBot="1">
      <c r="A10" s="3484"/>
      <c r="B10" s="3454" t="s">
        <v>3364</v>
      </c>
      <c r="C10" s="3466" t="s">
        <v>3365</v>
      </c>
      <c r="D10" s="3467"/>
      <c r="E10" s="3260" t="e">
        <f>#REF!</f>
        <v>#REF!</v>
      </c>
      <c r="F10" s="3260" t="e">
        <f>ROUND(E10/#REF!*#REF!,4)</f>
        <v>#REF!</v>
      </c>
      <c r="G10" s="3260" t="e">
        <f>ROUND(E10/#REF!*#REF!,4)</f>
        <v>#REF!</v>
      </c>
      <c r="H10" s="3260" t="e">
        <f>#REF!</f>
        <v>#REF!</v>
      </c>
      <c r="I10" s="3466"/>
      <c r="J10" s="3467"/>
      <c r="K10" s="3468"/>
      <c r="L10" s="3467"/>
      <c r="M10" s="3261" t="e">
        <f t="shared" si="0"/>
        <v>#REF!</v>
      </c>
      <c r="N10" s="3466"/>
      <c r="O10" s="3467"/>
    </row>
    <row r="11" spans="1:15" ht="14.25" thickBot="1">
      <c r="A11" s="3455"/>
      <c r="B11" s="3455"/>
      <c r="C11" s="3466" t="s">
        <v>3366</v>
      </c>
      <c r="D11" s="3467"/>
      <c r="E11" s="3260">
        <v>0</v>
      </c>
      <c r="F11" s="3260">
        <v>0</v>
      </c>
      <c r="G11" s="3260">
        <v>0</v>
      </c>
      <c r="H11" s="3260">
        <v>0</v>
      </c>
      <c r="I11" s="3466"/>
      <c r="J11" s="3467"/>
      <c r="K11" s="3468"/>
      <c r="L11" s="3467"/>
      <c r="M11" s="3261">
        <f t="shared" si="0"/>
        <v>0</v>
      </c>
      <c r="N11" s="3466"/>
      <c r="O11" s="3467"/>
    </row>
    <row r="12" spans="1:15" ht="14.25" thickBot="1">
      <c r="A12" s="3491">
        <v>3</v>
      </c>
      <c r="B12" s="3492" t="s">
        <v>3367</v>
      </c>
      <c r="C12" s="3493"/>
      <c r="D12" s="3494"/>
      <c r="E12" s="3258" t="e">
        <f>#REF!</f>
        <v>#REF!</v>
      </c>
      <c r="F12" s="3258" t="e">
        <f>ROUND(E12/#REF!*#REF!,4)</f>
        <v>#REF!</v>
      </c>
      <c r="G12" s="3258" t="e">
        <f>ROUND(E12/#REF!*#REF!,4)</f>
        <v>#REF!</v>
      </c>
      <c r="H12" s="3258" t="e">
        <f>#REF!</f>
        <v>#REF!</v>
      </c>
      <c r="I12" s="3480" t="e">
        <f>ROUND(F12*100000000/#REF!,0)</f>
        <v>#REF!</v>
      </c>
      <c r="J12" s="3481"/>
      <c r="K12" s="3468" t="s">
        <v>3368</v>
      </c>
      <c r="L12" s="3467"/>
      <c r="M12" s="3258" t="e">
        <f t="shared" si="0"/>
        <v>#REF!</v>
      </c>
      <c r="N12" s="3480" t="e">
        <f>ROUND(M12*100000000/#REF!,0)</f>
        <v>#REF!</v>
      </c>
      <c r="O12" s="3481"/>
    </row>
    <row r="13" spans="1:15" ht="14.25" thickBot="1">
      <c r="A13" s="3484"/>
      <c r="B13" s="3454" t="s">
        <v>3364</v>
      </c>
      <c r="C13" s="3466" t="s">
        <v>3369</v>
      </c>
      <c r="D13" s="3467"/>
      <c r="E13" s="3260">
        <v>0</v>
      </c>
      <c r="F13" s="3260">
        <v>0</v>
      </c>
      <c r="G13" s="3260">
        <v>0</v>
      </c>
      <c r="H13" s="3260">
        <v>0</v>
      </c>
      <c r="I13" s="3466"/>
      <c r="J13" s="3467"/>
      <c r="K13" s="3468" t="s">
        <v>3370</v>
      </c>
      <c r="L13" s="3467"/>
      <c r="M13" s="3261">
        <f t="shared" si="0"/>
        <v>0</v>
      </c>
      <c r="N13" s="3466"/>
      <c r="O13" s="3467"/>
    </row>
    <row r="14" spans="1:15" ht="14.25" thickBot="1">
      <c r="A14" s="3455"/>
      <c r="B14" s="3455"/>
      <c r="C14" s="3466" t="s">
        <v>3371</v>
      </c>
      <c r="D14" s="3467"/>
      <c r="E14" s="3260">
        <v>0</v>
      </c>
      <c r="F14" s="3260">
        <v>0</v>
      </c>
      <c r="G14" s="3260">
        <v>0</v>
      </c>
      <c r="H14" s="3260">
        <v>0</v>
      </c>
      <c r="I14" s="3466"/>
      <c r="J14" s="3467"/>
      <c r="K14" s="3468" t="s">
        <v>3370</v>
      </c>
      <c r="L14" s="3467"/>
      <c r="M14" s="3261">
        <f t="shared" si="0"/>
        <v>0</v>
      </c>
      <c r="N14" s="3466"/>
      <c r="O14" s="3467"/>
    </row>
    <row r="15" spans="1:15" ht="14.25" thickBot="1">
      <c r="A15" s="3491">
        <v>4</v>
      </c>
      <c r="B15" s="3492" t="s">
        <v>3372</v>
      </c>
      <c r="C15" s="3493"/>
      <c r="D15" s="3494"/>
      <c r="E15" s="3258" t="e">
        <f>E16</f>
        <v>#REF!</v>
      </c>
      <c r="F15" s="3258" t="e">
        <f>F16</f>
        <v>#REF!</v>
      </c>
      <c r="G15" s="3258" t="e">
        <f>G16</f>
        <v>#REF!</v>
      </c>
      <c r="H15" s="3258" t="e">
        <f>H16</f>
        <v>#REF!</v>
      </c>
      <c r="I15" s="3480" t="e">
        <f>ROUND(F15*100000000/#REF!,0)</f>
        <v>#REF!</v>
      </c>
      <c r="J15" s="3481"/>
      <c r="K15" s="3468" t="s">
        <v>3373</v>
      </c>
      <c r="L15" s="3467"/>
      <c r="M15" s="3258" t="e">
        <f t="shared" si="0"/>
        <v>#REF!</v>
      </c>
      <c r="N15" s="3480" t="e">
        <f>ROUND(M15*100000000/#REF!,0)</f>
        <v>#REF!</v>
      </c>
      <c r="O15" s="3481"/>
    </row>
    <row r="16" spans="1:15" ht="14.25" thickBot="1">
      <c r="A16" s="3484"/>
      <c r="B16" s="3454" t="s">
        <v>3364</v>
      </c>
      <c r="C16" s="3466" t="s">
        <v>3374</v>
      </c>
      <c r="D16" s="3467"/>
      <c r="E16" s="3260" t="e">
        <f>E17+E18</f>
        <v>#REF!</v>
      </c>
      <c r="F16" s="3261" t="e">
        <f>F17+F18</f>
        <v>#REF!</v>
      </c>
      <c r="G16" s="3260" t="e">
        <f>G17+G18</f>
        <v>#REF!</v>
      </c>
      <c r="H16" s="3260" t="e">
        <f>H17+H18</f>
        <v>#REF!</v>
      </c>
      <c r="I16" s="3466"/>
      <c r="J16" s="3467"/>
      <c r="K16" s="3468"/>
      <c r="L16" s="3467"/>
      <c r="M16" s="3261" t="e">
        <f t="shared" si="0"/>
        <v>#REF!</v>
      </c>
      <c r="N16" s="3466"/>
      <c r="O16" s="3467"/>
    </row>
    <row r="17" spans="1:15" ht="14.25" thickBot="1">
      <c r="A17" s="3484"/>
      <c r="B17" s="3484"/>
      <c r="C17" s="3454" t="s">
        <v>3375</v>
      </c>
      <c r="D17" s="3260" t="s">
        <v>3376</v>
      </c>
      <c r="E17" s="3260" t="e">
        <f>#REF!</f>
        <v>#REF!</v>
      </c>
      <c r="F17" s="3261" t="e">
        <f>ROUND(E17/#REF!*#REF!,4)</f>
        <v>#REF!</v>
      </c>
      <c r="G17" s="3260" t="e">
        <f>ROUND(E17/#REF!*#REF!,4)</f>
        <v>#REF!</v>
      </c>
      <c r="H17" s="3260" t="e">
        <f>#REF!</f>
        <v>#REF!</v>
      </c>
      <c r="I17" s="3466"/>
      <c r="J17" s="3467"/>
      <c r="K17" s="3468"/>
      <c r="L17" s="3467"/>
      <c r="M17" s="3261" t="e">
        <f t="shared" si="0"/>
        <v>#REF!</v>
      </c>
      <c r="N17" s="3466"/>
      <c r="O17" s="3467"/>
    </row>
    <row r="18" spans="1:15" ht="27.75" thickBot="1">
      <c r="A18" s="3455"/>
      <c r="B18" s="3455"/>
      <c r="C18" s="3455"/>
      <c r="D18" s="3262" t="s">
        <v>3377</v>
      </c>
      <c r="E18" s="3260" t="e">
        <f>#REF!</f>
        <v>#REF!</v>
      </c>
      <c r="F18" s="3261" t="e">
        <f>ROUND(E18/#REF!*#REF!,4)</f>
        <v>#REF!</v>
      </c>
      <c r="G18" s="3260" t="e">
        <f>ROUND(E18/#REF!*#REF!,4)</f>
        <v>#REF!</v>
      </c>
      <c r="H18" s="3260" t="e">
        <f>#REF!</f>
        <v>#REF!</v>
      </c>
      <c r="I18" s="3466"/>
      <c r="J18" s="3467"/>
      <c r="K18" s="3468"/>
      <c r="L18" s="3467"/>
      <c r="M18" s="3261" t="e">
        <f t="shared" si="0"/>
        <v>#REF!</v>
      </c>
      <c r="N18" s="3466"/>
      <c r="O18" s="3467"/>
    </row>
    <row r="19" spans="1:15" ht="14.25" thickBot="1">
      <c r="A19" s="3263">
        <v>5</v>
      </c>
      <c r="B19" s="3492" t="s">
        <v>3378</v>
      </c>
      <c r="C19" s="3493"/>
      <c r="D19" s="3494"/>
      <c r="E19" s="3259" t="e">
        <f>ROUND((E3+E9+E12+E15)*0.02,4)</f>
        <v>#REF!</v>
      </c>
      <c r="F19" s="3259" t="e">
        <f>ROUND(E19/#REF!*#REF!,4)</f>
        <v>#REF!</v>
      </c>
      <c r="G19" s="3259" t="e">
        <f>ROUND(E19/#REF!*#REF!,4)</f>
        <v>#REF!</v>
      </c>
      <c r="H19" s="3259" t="e">
        <f>ROUND((H3+H9+H12+H15)*0.02,4)</f>
        <v>#REF!</v>
      </c>
      <c r="I19" s="3486" t="e">
        <f>ROUND(F19*100000000/#REF!,0)</f>
        <v>#REF!</v>
      </c>
      <c r="J19" s="3503"/>
      <c r="K19" s="3504" t="s">
        <v>3379</v>
      </c>
      <c r="L19" s="3505"/>
      <c r="M19" s="3259" t="e">
        <f>ROUND((M3+M9+M12+M15)*0.02,4)</f>
        <v>#REF!</v>
      </c>
      <c r="N19" s="3486" t="e">
        <f>ROUND(M19*100000000/#REF!,0)</f>
        <v>#REF!</v>
      </c>
      <c r="O19" s="3503"/>
    </row>
    <row r="20" spans="1:15" ht="14.25" thickBot="1">
      <c r="A20" s="3495">
        <v>6</v>
      </c>
      <c r="B20" s="3497" t="s">
        <v>3380</v>
      </c>
      <c r="C20" s="3498"/>
      <c r="D20" s="3264" t="s">
        <v>3381</v>
      </c>
      <c r="E20" s="3265" t="e">
        <f>F20+G20</f>
        <v>#REF!</v>
      </c>
      <c r="F20" s="3266">
        <v>5.2285000000000004</v>
      </c>
      <c r="G20" s="3265" t="e">
        <f>ROUND(G3*(1.0475^(3/2+3)-1)+(G9+G12+G15+G19)*(1.0475^(3/2)-1),4)</f>
        <v>#REF!</v>
      </c>
      <c r="H20" s="3265" t="e">
        <f>ROUND(H3*(1.0475^(3/2+3)-1)+(H9+H12+H15+H19)*(1.0475^(3/2)-1),4)</f>
        <v>#REF!</v>
      </c>
      <c r="I20" s="3497" t="e">
        <f>ROUND(F20*100000000/#REF!,0)</f>
        <v>#REF!</v>
      </c>
      <c r="J20" s="3498"/>
      <c r="K20" s="3473" t="s">
        <v>3382</v>
      </c>
      <c r="L20" s="3474"/>
      <c r="M20" s="3265" t="e">
        <f>ROUND(M3*(1.0475^(3/2+3)-1)+(M9+M12+M15+M19)*(1.0475^(3/2)-1),4)</f>
        <v>#REF!</v>
      </c>
      <c r="N20" s="3497" t="e">
        <f>ROUND(M20*100000000/#REF!,0)</f>
        <v>#REF!</v>
      </c>
      <c r="O20" s="3498"/>
    </row>
    <row r="21" spans="1:15" ht="14.25" thickBot="1">
      <c r="A21" s="3496"/>
      <c r="B21" s="3499"/>
      <c r="C21" s="3500"/>
      <c r="D21" s="3258" t="s">
        <v>3383</v>
      </c>
      <c r="E21" s="3267">
        <v>4.7500000000000001E-2</v>
      </c>
      <c r="F21" s="3267">
        <f>E21</f>
        <v>4.7500000000000001E-2</v>
      </c>
      <c r="G21" s="3267">
        <f>F21</f>
        <v>4.7500000000000001E-2</v>
      </c>
      <c r="H21" s="3267">
        <f>E21</f>
        <v>4.7500000000000001E-2</v>
      </c>
      <c r="I21" s="3492"/>
      <c r="J21" s="3494"/>
      <c r="K21" s="3501"/>
      <c r="L21" s="3502"/>
      <c r="M21" s="3268">
        <f>E21</f>
        <v>4.7500000000000001E-2</v>
      </c>
      <c r="N21" s="3492"/>
      <c r="O21" s="3494"/>
    </row>
    <row r="22" spans="1:15" ht="14.25" thickBot="1">
      <c r="A22" s="3263">
        <v>7</v>
      </c>
      <c r="B22" s="3492" t="s">
        <v>3384</v>
      </c>
      <c r="C22" s="3493"/>
      <c r="D22" s="3494"/>
      <c r="E22" s="3259" t="e">
        <f>ROUND((E3+E9+E12+E15)*0.03,4)</f>
        <v>#REF!</v>
      </c>
      <c r="F22" s="3259" t="e">
        <f>ROUND(E22/#REF!*#REF!,4)</f>
        <v>#REF!</v>
      </c>
      <c r="G22" s="3259" t="e">
        <f>ROUND(E22/#REF!*#REF!,4)</f>
        <v>#REF!</v>
      </c>
      <c r="H22" s="3259" t="e">
        <f>ROUND((H9+H12+H15+H3)*0.03,4)</f>
        <v>#REF!</v>
      </c>
      <c r="I22" s="3486" t="e">
        <f>ROUND(F22*100000000/#REF!,0)</f>
        <v>#REF!</v>
      </c>
      <c r="J22" s="3503"/>
      <c r="K22" s="3504" t="s">
        <v>3385</v>
      </c>
      <c r="L22" s="3505"/>
      <c r="M22" s="3259" t="e">
        <f>ROUND((M3+M9+M12+M15)*0.03,4)</f>
        <v>#REF!</v>
      </c>
      <c r="N22" s="3486" t="e">
        <f>ROUND(M22*100000000/#REF!,0)</f>
        <v>#REF!</v>
      </c>
      <c r="O22" s="3503"/>
    </row>
    <row r="23" spans="1:15" ht="14.25" thickBot="1">
      <c r="A23" s="3263">
        <v>8</v>
      </c>
      <c r="B23" s="3486" t="s">
        <v>3386</v>
      </c>
      <c r="C23" s="3487"/>
      <c r="D23" s="3503"/>
      <c r="E23" s="3269" t="e">
        <f>ROUND((E3+E9+E12+E15+E19+E20+E22)*0.055,4)</f>
        <v>#REF!</v>
      </c>
      <c r="F23" s="3269" t="e">
        <f>ROUND(E23/#REF!*#REF!,4)</f>
        <v>#REF!</v>
      </c>
      <c r="G23" s="3270" t="e">
        <f>ROUND((G3+G9+G12+G15+G19+G20+G22)*0.055,4)</f>
        <v>#REF!</v>
      </c>
      <c r="H23" s="3270" t="e">
        <f>ROUND((H3+H9+H12+H15+H19+H20+H22)*0.055,4)</f>
        <v>#REF!</v>
      </c>
      <c r="I23" s="3486" t="e">
        <f>ROUND(F23*100000000/#REF!,0)</f>
        <v>#REF!</v>
      </c>
      <c r="J23" s="3487"/>
      <c r="K23" s="3506" t="s">
        <v>3387</v>
      </c>
      <c r="L23" s="3505"/>
      <c r="M23" s="3259" t="e">
        <f>ROUND((M3+M9+M12+M15+M19+M20+M22)*0.055,4)</f>
        <v>#REF!</v>
      </c>
      <c r="N23" s="3486" t="e">
        <f>ROUND(M23*100000000/#REF!,0)</f>
        <v>#REF!</v>
      </c>
      <c r="O23" s="3487"/>
    </row>
    <row r="24" spans="1:15" ht="14.25" thickBot="1">
      <c r="A24" s="3271">
        <v>9</v>
      </c>
      <c r="B24" s="3510" t="s">
        <v>3388</v>
      </c>
      <c r="C24" s="3510"/>
      <c r="D24" s="3510"/>
      <c r="E24" s="3272" t="e">
        <f>#REF!</f>
        <v>#REF!</v>
      </c>
      <c r="F24" s="3273" t="e">
        <f>ROUND(E24/#REF!*#REF!,4)</f>
        <v>#REF!</v>
      </c>
      <c r="G24" s="3274" t="e">
        <f>ROUND(E24/#REF!*#REF!,4)</f>
        <v>#REF!</v>
      </c>
      <c r="H24" s="3273" t="e">
        <f>#REF!</f>
        <v>#REF!</v>
      </c>
      <c r="I24" s="3510" t="e">
        <f>ROUND(F24*100000000/#REF!,0)</f>
        <v>#REF!</v>
      </c>
      <c r="J24" s="3510"/>
      <c r="K24" s="3511"/>
      <c r="L24" s="3467"/>
      <c r="M24" s="3259" t="e">
        <f t="shared" si="0"/>
        <v>#REF!</v>
      </c>
      <c r="N24" s="3510" t="e">
        <f>ROUND(M24*100000000/#REF!,0)</f>
        <v>#REF!</v>
      </c>
      <c r="O24" s="3510"/>
    </row>
    <row r="25" spans="1:15" ht="14.25" thickBot="1">
      <c r="A25" s="3275">
        <v>10</v>
      </c>
      <c r="B25" s="3466" t="s">
        <v>3389</v>
      </c>
      <c r="C25" s="3511"/>
      <c r="D25" s="3490"/>
      <c r="E25" s="3260" t="e">
        <f>E3+E9+E12+E15+E19+E20+E22+E23+E24</f>
        <v>#REF!</v>
      </c>
      <c r="F25" s="3276" t="e">
        <f>F3+F9+F12+F15+F19+F20+F22+F23+F24</f>
        <v>#REF!</v>
      </c>
      <c r="G25" s="3260" t="e">
        <f>G3+G9+G12+G15+G19+G20+G22+G23+G24</f>
        <v>#REF!</v>
      </c>
      <c r="H25" s="3260" t="e">
        <f>H3+H9+H12+H15+H19+H20+H22+H23+H24</f>
        <v>#REF!</v>
      </c>
      <c r="I25" s="3512" t="e">
        <f>ROUND(F25*100000000/#REF!,0)</f>
        <v>#REF!</v>
      </c>
      <c r="J25" s="3513"/>
      <c r="K25" s="3468"/>
      <c r="L25" s="3467"/>
      <c r="M25" s="3260" t="e">
        <f>M3+M9+M12+M15+M19+M20+M22+M23+M24</f>
        <v>#REF!</v>
      </c>
      <c r="N25" s="3466" t="e">
        <f>ROUND(M25*100000000/#REF!,0)</f>
        <v>#REF!</v>
      </c>
      <c r="O25" s="3467"/>
    </row>
    <row r="26" spans="1:15" ht="14.25" thickBot="1">
      <c r="A26" s="3277"/>
      <c r="B26" s="3507" t="s">
        <v>3390</v>
      </c>
      <c r="C26" s="3508"/>
      <c r="D26" s="3509"/>
      <c r="E26" s="3260" t="e">
        <f>E25+H25</f>
        <v>#REF!</v>
      </c>
      <c r="F26" s="3260" t="e">
        <f>F25+H25+G25</f>
        <v>#REF!</v>
      </c>
      <c r="G26" s="3278"/>
      <c r="H26" s="3278"/>
      <c r="I26" s="3278"/>
      <c r="J26" s="3279"/>
      <c r="K26" s="3278"/>
      <c r="L26" s="3279"/>
      <c r="M26" s="3279"/>
      <c r="N26" s="3279"/>
      <c r="O26" s="3280"/>
    </row>
  </sheetData>
  <mergeCells count="107">
    <mergeCell ref="B26:D26"/>
    <mergeCell ref="B24:D24"/>
    <mergeCell ref="I24:J24"/>
    <mergeCell ref="K24:L24"/>
    <mergeCell ref="N24:O24"/>
    <mergeCell ref="B25:D25"/>
    <mergeCell ref="I25:J25"/>
    <mergeCell ref="K25:L25"/>
    <mergeCell ref="N25:O25"/>
    <mergeCell ref="B22:D22"/>
    <mergeCell ref="I22:J22"/>
    <mergeCell ref="K22:L22"/>
    <mergeCell ref="N22:O22"/>
    <mergeCell ref="B23:D23"/>
    <mergeCell ref="I23:J23"/>
    <mergeCell ref="K23:L23"/>
    <mergeCell ref="N23:O23"/>
    <mergeCell ref="N18:O18"/>
    <mergeCell ref="B19:D19"/>
    <mergeCell ref="I19:J19"/>
    <mergeCell ref="K19:L19"/>
    <mergeCell ref="N19:O19"/>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1:A2"/>
    <mergeCell ref="B1:D2"/>
    <mergeCell ref="E1:E2"/>
    <mergeCell ref="F1:F2"/>
    <mergeCell ref="G1:G2"/>
    <mergeCell ref="H1:H2"/>
    <mergeCell ref="C4:D4"/>
    <mergeCell ref="I4:J4"/>
    <mergeCell ref="K4:L4"/>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view="pageBreakPreview" zoomScaleNormal="70" zoomScaleSheetLayoutView="100" workbookViewId="0">
      <selection activeCell="E51" sqref="E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0" t="s">
        <v>3131</v>
      </c>
      <c r="C1" s="203"/>
      <c r="D1" s="203"/>
      <c r="E1" s="203"/>
      <c r="F1" s="203"/>
      <c r="G1" s="1256">
        <f>MATCH(B1,'数据-取费表'!A6:A16,0)+5</f>
        <v>6</v>
      </c>
    </row>
    <row r="2" spans="1:9" s="205" customFormat="1" ht="18" customHeight="1">
      <c r="A2" s="206" t="s">
        <v>2088</v>
      </c>
      <c r="B2" s="207">
        <f ca="1">IF(D2="——",C52,C52-E2)</f>
        <v>63109</v>
      </c>
      <c r="C2" s="204" t="s">
        <v>2089</v>
      </c>
      <c r="D2" s="2005" t="s">
        <v>70</v>
      </c>
      <c r="E2" s="1299" t="e">
        <f ca="1">SUMIF(INDIRECT("'"&amp;G2&amp;"'"&amp;"!A:A"),"承租人权益价值",INDIRECT("'"&amp;G2&amp;"'"&amp;"!c:c"))</f>
        <v>#REF!</v>
      </c>
      <c r="F2" s="2006" t="s">
        <v>2089</v>
      </c>
      <c r="G2" s="2007"/>
    </row>
    <row r="3" spans="1:9" s="205" customFormat="1" ht="18" customHeight="1" thickBot="1">
      <c r="A3" s="208" t="s">
        <v>2090</v>
      </c>
      <c r="B3" s="209">
        <f ca="1">ROUND(B2*10000/(IF(B1="",'数据-汇总表'!E3,INDIRECT("'数据-取费表'!k"&amp;$G$1))),0)</f>
        <v>13297</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3323" t="s">
        <v>2094</v>
      </c>
      <c r="C5" s="3324">
        <f ca="1">C6+C7+C8</f>
        <v>10689.526682499998</v>
      </c>
      <c r="D5" s="3324" t="s">
        <v>2095</v>
      </c>
      <c r="E5" s="3325" t="s">
        <v>2096</v>
      </c>
      <c r="F5" s="3325" t="s">
        <v>2097</v>
      </c>
      <c r="G5" s="218"/>
    </row>
    <row r="6" spans="1:9" s="219" customFormat="1" ht="13.5" customHeight="1">
      <c r="A6" s="884" t="s">
        <v>2098</v>
      </c>
      <c r="B6" s="3307" t="s">
        <v>2099</v>
      </c>
      <c r="C6" s="3356">
        <f>'土地比较法-住宅、综合'!C47*面积表!F1/10000</f>
        <v>9320.5266824999981</v>
      </c>
      <c r="D6" s="3318"/>
      <c r="E6" s="3319"/>
      <c r="F6" s="3319"/>
      <c r="G6" s="224"/>
    </row>
    <row r="7" spans="1:9" s="219" customFormat="1" ht="13.5" customHeight="1">
      <c r="A7" s="884" t="s">
        <v>2100</v>
      </c>
      <c r="B7" s="3307" t="s">
        <v>2101</v>
      </c>
      <c r="C7" s="3320">
        <f>ROUND(C6*F7,0)</f>
        <v>284</v>
      </c>
      <c r="D7" s="3320"/>
      <c r="E7" s="3319"/>
      <c r="F7" s="3321">
        <f>IF(项目基本情况!B8="出让",0,'数据-取费表'!B48+'数据-取费表'!B49)</f>
        <v>3.0499999999999999E-2</v>
      </c>
      <c r="G7" s="224"/>
    </row>
    <row r="8" spans="1:9" s="228" customFormat="1">
      <c r="A8" s="884" t="s">
        <v>793</v>
      </c>
      <c r="B8" s="3307" t="s">
        <v>2103</v>
      </c>
      <c r="C8" s="3320">
        <f ca="1">IF(G8="已包含在土地购买价格中","0",IF(B1="",'数据-取费表'!B29,IF(G9="全部缴纳",C9+C10,H9)))</f>
        <v>1085</v>
      </c>
      <c r="D8" s="3322"/>
      <c r="E8" s="3320"/>
      <c r="F8" s="3321"/>
      <c r="G8" s="2008" t="s">
        <v>3188</v>
      </c>
    </row>
    <row r="9" spans="1:9" s="219" customFormat="1" ht="13.5" customHeight="1">
      <c r="A9" s="885" t="s">
        <v>800</v>
      </c>
      <c r="B9" s="229" t="s">
        <v>2104</v>
      </c>
      <c r="C9" s="230">
        <f ca="1">ROUND(D9*E9/10000,0)</f>
        <v>759</v>
      </c>
      <c r="D9" s="952">
        <f ca="1">IF(B1="",'数据-汇总表'!E5,IF(INDIRECT("'数据-取费表'!c"&amp;$G$1)="住宅",INDIRECT("'数据-取费表'!k"&amp;$G$1),0))</f>
        <v>47461.850000000006</v>
      </c>
      <c r="E9" s="230">
        <f>'数据-取费表'!B27</f>
        <v>160</v>
      </c>
      <c r="F9" s="226"/>
      <c r="G9" s="2009" t="s">
        <v>3190</v>
      </c>
      <c r="H9" s="1267"/>
      <c r="I9" s="2010" t="s">
        <v>2105</v>
      </c>
    </row>
    <row r="10" spans="1:9" s="219" customFormat="1" ht="13.5" customHeight="1">
      <c r="A10" s="885" t="s">
        <v>801</v>
      </c>
      <c r="B10" s="229" t="s">
        <v>2106</v>
      </c>
      <c r="C10" s="230">
        <f ca="1">ROUND(D10*E10/10000,0)</f>
        <v>326</v>
      </c>
      <c r="D10" s="952">
        <f ca="1">IF(B1="",'数据-汇总表'!E6,IF(INDIRECT("'数据-取费表'!c"&amp;$G$1)="住宅",INDIRECT("'数据-取费表'!s"&amp;$G$1),INDIRECT("'数据-取费表'!k"&amp;$G$1)+INDIRECT("'数据-取费表'!s"&amp;$G$1)))</f>
        <v>16299.17</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3323" t="s">
        <v>2118</v>
      </c>
      <c r="C19" s="3324" t="str">
        <f>IF(G19="已包含在土地取得成本中","0",ROUND(D19*E19/10000,0))</f>
        <v>0</v>
      </c>
      <c r="D19" s="3326">
        <f ca="1">D9+D10</f>
        <v>63761.020000000004</v>
      </c>
      <c r="E19" s="3324">
        <f>'数据-取费表'!B31</f>
        <v>200</v>
      </c>
      <c r="F19" s="3327"/>
      <c r="G19" s="2008" t="s">
        <v>3189</v>
      </c>
    </row>
    <row r="20" spans="1:7" s="219" customFormat="1" ht="13.5" customHeight="1">
      <c r="A20" s="260" t="s">
        <v>2119</v>
      </c>
      <c r="B20" s="3323" t="s">
        <v>2120</v>
      </c>
      <c r="C20" s="3328">
        <f ca="1">ROUND((C5+C19)*F20,0)</f>
        <v>214</v>
      </c>
      <c r="D20" s="3328"/>
      <c r="E20" s="3328"/>
      <c r="F20" s="3349">
        <f>'数据-取费表'!B37</f>
        <v>0.02</v>
      </c>
      <c r="G20" s="239" t="s">
        <v>2121</v>
      </c>
    </row>
    <row r="21" spans="1:7" s="219" customFormat="1" ht="13.5" customHeight="1">
      <c r="A21" s="260" t="s">
        <v>2122</v>
      </c>
      <c r="B21" s="215" t="s">
        <v>2123</v>
      </c>
      <c r="C21" s="240">
        <f>F21</f>
        <v>0</v>
      </c>
      <c r="D21" s="241" t="s">
        <v>2124</v>
      </c>
      <c r="E21" s="237"/>
      <c r="F21" s="238">
        <f>'数据-取费表'!B38</f>
        <v>0</v>
      </c>
      <c r="G21" s="239" t="s">
        <v>2125</v>
      </c>
    </row>
    <row r="22" spans="1:7" s="219" customFormat="1" ht="13.5" customHeight="1">
      <c r="A22" s="260" t="s">
        <v>2126</v>
      </c>
      <c r="B22" s="3323" t="s">
        <v>2127</v>
      </c>
      <c r="C22" s="3329">
        <f ca="1">ROUND(SUM(C23:C25),0)</f>
        <v>1050</v>
      </c>
      <c r="D22" s="3330">
        <f>C26</f>
        <v>0</v>
      </c>
      <c r="E22" s="3331" t="s">
        <v>2124</v>
      </c>
      <c r="F22" s="3351">
        <f>'数据-取费表'!B40</f>
        <v>4.7500000000000001E-2</v>
      </c>
      <c r="G22" s="239" t="str">
        <f>IF('数据-取费表'!B22&lt;=1,"单利计息","复利计息")</f>
        <v>复利计息</v>
      </c>
    </row>
    <row r="23" spans="1:7" s="219" customFormat="1" ht="13.5" customHeight="1">
      <c r="A23" s="886" t="s">
        <v>2128</v>
      </c>
      <c r="B23" s="220" t="s">
        <v>2129</v>
      </c>
      <c r="C23" s="1233">
        <f ca="1">ROUND(IF('数据-取费表'!B22&lt;=1,C5*F22*'数据-取费表'!B23,C5*(POWER((1+F22),'数据-取费表'!B23)-1)),0)</f>
        <v>1040</v>
      </c>
      <c r="D23" s="243"/>
      <c r="E23" s="243"/>
      <c r="F23" s="244"/>
      <c r="G23" s="245" t="s">
        <v>2130</v>
      </c>
    </row>
    <row r="24" spans="1:7" s="219" customFormat="1" ht="13.5" customHeight="1">
      <c r="A24" s="886" t="s">
        <v>2131</v>
      </c>
      <c r="B24" s="220" t="s">
        <v>2132</v>
      </c>
      <c r="C24" s="1233">
        <f>ROUND(IF('数据-取费表'!B22&lt;=1,C19*F22*('数据-取费表'!B19/2+'数据-取费表'!B21),C19*(POWER((1+F22),('数据-取费表'!B19/2+'数据-取费表'!B21))-1)),0)</f>
        <v>0</v>
      </c>
      <c r="D24" s="243"/>
      <c r="E24" s="243"/>
      <c r="F24" s="244"/>
      <c r="G24" s="245" t="s">
        <v>2133</v>
      </c>
    </row>
    <row r="25" spans="1:7" s="219" customFormat="1" ht="24">
      <c r="A25" s="886" t="s">
        <v>2134</v>
      </c>
      <c r="B25" s="220" t="s">
        <v>2135</v>
      </c>
      <c r="C25" s="1233">
        <f ca="1">ROUND(IF('数据-取费表'!B22&lt;=1,C20*F22*'数据-取费表'!B23/2,C20*(POWER((1+F22),'数据-取费表'!B23/2)-1)),0)</f>
        <v>10</v>
      </c>
      <c r="D25" s="243"/>
      <c r="E25" s="246"/>
      <c r="F25" s="244"/>
      <c r="G25" s="247" t="s">
        <v>2136</v>
      </c>
    </row>
    <row r="26" spans="1:7" s="219" customFormat="1">
      <c r="A26" s="886" t="s">
        <v>795</v>
      </c>
      <c r="B26" s="220" t="s">
        <v>2137</v>
      </c>
      <c r="C26" s="243">
        <f>ROUND(IF('数据-取费表'!B22&lt;=1,F21*F22*'数据-取费表'!B23/2,F21*(POWER((1+F22),'数据-取费表'!B23/2)-1)),4)</f>
        <v>0</v>
      </c>
      <c r="D26" s="243"/>
      <c r="E26" s="246"/>
      <c r="F26" s="244"/>
      <c r="G26" s="248"/>
    </row>
    <row r="27" spans="1:7" s="219" customFormat="1" ht="24.75">
      <c r="A27" s="260" t="s">
        <v>2138</v>
      </c>
      <c r="B27" s="3332" t="s">
        <v>2139</v>
      </c>
      <c r="C27" s="3333">
        <f ca="1">C28</f>
        <v>327</v>
      </c>
      <c r="D27" s="3330">
        <f ca="1">C29</f>
        <v>0</v>
      </c>
      <c r="E27" s="3331" t="s">
        <v>2140</v>
      </c>
      <c r="F27" s="3353">
        <f ca="1">IF(B1="",'数据-取费表'!Q16,INDIRECT("'数据-取费表'!q"&amp;$G$1))</f>
        <v>0.03</v>
      </c>
      <c r="G27" s="252" t="s">
        <v>2141</v>
      </c>
    </row>
    <row r="28" spans="1:7" s="219" customFormat="1" ht="13.5" customHeight="1">
      <c r="A28" s="886" t="s">
        <v>791</v>
      </c>
      <c r="B28" s="253" t="s">
        <v>2142</v>
      </c>
      <c r="C28" s="254">
        <f ca="1">ROUND((C5+C19+C20)*F27*'数据-取费表'!B21/'数据-取费表'!B20,0)</f>
        <v>327</v>
      </c>
      <c r="D28" s="240"/>
      <c r="E28" s="241"/>
      <c r="F28" s="251"/>
      <c r="G28" s="252"/>
    </row>
    <row r="29" spans="1:7" s="219" customFormat="1" ht="13.5" customHeight="1">
      <c r="A29" s="886" t="s">
        <v>792</v>
      </c>
      <c r="B29" s="253" t="s">
        <v>2143</v>
      </c>
      <c r="C29" s="243">
        <f ca="1">ROUND(C21*F27*'数据-取费表'!B21/'数据-取费表'!B20,4)</f>
        <v>0</v>
      </c>
      <c r="D29" s="240"/>
      <c r="E29" s="241"/>
      <c r="F29" s="251"/>
      <c r="G29" s="252"/>
    </row>
    <row r="30" spans="1:7" s="219" customFormat="1" ht="13.5" customHeight="1">
      <c r="A30" s="260" t="s">
        <v>2144</v>
      </c>
      <c r="B30" s="215" t="s">
        <v>2145</v>
      </c>
      <c r="C30" s="240">
        <f>ROUND(F30/(1+'数据-取费表'!C42),4)</f>
        <v>0</v>
      </c>
      <c r="D30" s="241" t="s">
        <v>2140</v>
      </c>
      <c r="E30" s="246"/>
      <c r="F30" s="242">
        <f>'数据-取费表'!B41</f>
        <v>0</v>
      </c>
      <c r="G30" s="239" t="s">
        <v>2146</v>
      </c>
    </row>
    <row r="31" spans="1:7" ht="16.5" customHeight="1">
      <c r="A31" s="214">
        <v>1</v>
      </c>
      <c r="B31" s="3311" t="s">
        <v>2147</v>
      </c>
      <c r="C31" s="3312">
        <f ca="1">ROUND((C5+C19+C20+C22+C27)/(1-C21-D22-D27-C30),0)</f>
        <v>12281</v>
      </c>
      <c r="D31" s="3342">
        <f ca="1">ROUND(C31*10000/'数据-汇总表'!E19,0)</f>
        <v>2588</v>
      </c>
      <c r="E31" s="3312"/>
      <c r="F31" s="3343"/>
      <c r="G31" s="239" t="s">
        <v>2148</v>
      </c>
    </row>
    <row r="32" spans="1:7" s="213" customFormat="1" ht="15.75">
      <c r="A32" s="257" t="s">
        <v>2149</v>
      </c>
      <c r="B32" s="258"/>
      <c r="C32" s="258"/>
      <c r="D32" s="258"/>
      <c r="E32" s="258"/>
      <c r="F32" s="258"/>
      <c r="G32" s="259"/>
    </row>
    <row r="33" spans="1:7" s="219" customFormat="1" ht="13.5" customHeight="1">
      <c r="A33" s="260" t="s">
        <v>782</v>
      </c>
      <c r="B33" s="3313" t="s">
        <v>2150</v>
      </c>
      <c r="C33" s="3314">
        <f ca="1">SUM(C34:C38)</f>
        <v>46772</v>
      </c>
      <c r="D33" s="3315"/>
      <c r="E33" s="3316"/>
      <c r="F33" s="3317"/>
      <c r="G33" s="239"/>
    </row>
    <row r="34" spans="1:7" s="263" customFormat="1" ht="13.5" customHeight="1">
      <c r="A34" s="886" t="s">
        <v>791</v>
      </c>
      <c r="B34" s="3308" t="s">
        <v>2151</v>
      </c>
      <c r="C34" s="3334">
        <f ca="1">IF(B1="",IF(F34=100%,'数据-取费表'!M16,'数据-取费表'!O16),IF(F34=100%,INDIRECT("'数据-取费表'!m"&amp;$G$1)+INDIRECT("'数据-取费表'!t"&amp;$G$1),INDIRECT("'数据-取费表'!o"&amp;$G$1)+INDIRECT("'数据-取费表'!aq"&amp;$G$1)))</f>
        <v>34182</v>
      </c>
      <c r="D34" s="3335"/>
      <c r="E34" s="3334"/>
      <c r="F34" s="3336">
        <f ca="1">IF('数据-取费表'!B24=0,1,IF(B1="",'数据-取费表'!N16,INDIRECT("'数据-取费表'!n"&amp;$G$1)))</f>
        <v>1</v>
      </c>
      <c r="G34" s="224" t="s">
        <v>2152</v>
      </c>
    </row>
    <row r="35" spans="1:7" ht="13.5" customHeight="1">
      <c r="A35" s="886" t="s">
        <v>796</v>
      </c>
      <c r="B35" s="3308" t="s">
        <v>2153</v>
      </c>
      <c r="C35" s="3334">
        <f ca="1">ROUND(C34*F35,0)</f>
        <v>4102</v>
      </c>
      <c r="D35" s="3334"/>
      <c r="E35" s="3334"/>
      <c r="F35" s="3348">
        <f>'数据-取费表'!B33</f>
        <v>0.12</v>
      </c>
      <c r="G35" s="224" t="s">
        <v>2154</v>
      </c>
    </row>
    <row r="36" spans="1:7" ht="24">
      <c r="A36" s="886" t="s">
        <v>797</v>
      </c>
      <c r="B36" s="3308" t="s">
        <v>2155</v>
      </c>
      <c r="C36" s="3334">
        <f ca="1">ROUND(IF(B1="",SUMIF('数据-取费表'!C:C,"住宅",IF(F34=100%,'数据-取费表'!M:M,'数据-取费表'!O:O))*F36,IF(INDIRECT("'数据-取费表'!c"&amp;$G$1)="住宅",IF(F34=100%,INDIRECT("'数据-取费表'!m"&amp;$G$1)*F36,INDIRECT("'数据-取费表'!o"&amp;$G$1)*F36),0)),0)</f>
        <v>2848</v>
      </c>
      <c r="D36" s="3334"/>
      <c r="E36" s="3334"/>
      <c r="F36" s="3348">
        <f>'数据-取费表'!B34</f>
        <v>0.1</v>
      </c>
      <c r="G36" s="265" t="s">
        <v>2156</v>
      </c>
    </row>
    <row r="37" spans="1:7" s="263" customFormat="1" ht="13.5" customHeight="1">
      <c r="A37" s="886" t="s">
        <v>798</v>
      </c>
      <c r="B37" s="3308" t="s">
        <v>2157</v>
      </c>
      <c r="C37" s="3309">
        <f ca="1">ROUND(C34*15%,0)</f>
        <v>5127</v>
      </c>
      <c r="D37" s="222">
        <f ca="1">D19</f>
        <v>63761.020000000004</v>
      </c>
      <c r="E37" s="254">
        <f>'数据-取费表'!B35</f>
        <v>200</v>
      </c>
      <c r="F37" s="264"/>
      <c r="G37" s="266" t="s">
        <v>2158</v>
      </c>
    </row>
    <row r="38" spans="1:7" ht="13.5" customHeight="1">
      <c r="A38" s="886" t="s">
        <v>799</v>
      </c>
      <c r="B38" s="3308" t="s">
        <v>2159</v>
      </c>
      <c r="C38" s="3334">
        <f ca="1">ROUND(C34*F38,0)</f>
        <v>513</v>
      </c>
      <c r="D38" s="3334"/>
      <c r="E38" s="3334"/>
      <c r="F38" s="3337">
        <f>'数据-取费表'!B36</f>
        <v>1.4999999999999999E-2</v>
      </c>
      <c r="G38" s="224" t="s">
        <v>2154</v>
      </c>
    </row>
    <row r="39" spans="1:7" s="219" customFormat="1" ht="13.5" customHeight="1">
      <c r="A39" s="260" t="s">
        <v>2160</v>
      </c>
      <c r="B39" s="3313" t="s">
        <v>2161</v>
      </c>
      <c r="C39" s="3315">
        <f ca="1">ROUND(C33*F20,0)</f>
        <v>935</v>
      </c>
      <c r="D39" s="3315"/>
      <c r="E39" s="3315"/>
      <c r="F39" s="3310">
        <f>F20</f>
        <v>0.02</v>
      </c>
      <c r="G39" s="239" t="s">
        <v>2162</v>
      </c>
    </row>
    <row r="40" spans="1:7" s="219" customFormat="1" ht="13.5" customHeight="1">
      <c r="A40" s="260" t="s">
        <v>2163</v>
      </c>
      <c r="B40" s="215" t="s">
        <v>2164</v>
      </c>
      <c r="C40" s="1463">
        <f>F21</f>
        <v>0</v>
      </c>
      <c r="D40" s="241" t="s">
        <v>2165</v>
      </c>
      <c r="E40" s="237"/>
      <c r="F40" s="264">
        <f>F21</f>
        <v>0</v>
      </c>
      <c r="G40" s="239" t="s">
        <v>2166</v>
      </c>
    </row>
    <row r="41" spans="1:7" s="219" customFormat="1" ht="13.5" customHeight="1">
      <c r="A41" s="260" t="s">
        <v>2167</v>
      </c>
      <c r="B41" s="3313" t="s">
        <v>2168</v>
      </c>
      <c r="C41" s="3315">
        <f ca="1">ROUND(SUM(C42:C43),0)</f>
        <v>1690</v>
      </c>
      <c r="D41" s="3338">
        <f>C44</f>
        <v>0</v>
      </c>
      <c r="E41" s="3339" t="s">
        <v>2165</v>
      </c>
      <c r="F41" s="3352">
        <f>F22</f>
        <v>4.7500000000000001E-2</v>
      </c>
      <c r="G41" s="239" t="str">
        <f>IF('数据-取费表'!B22&lt;=1,"单利计息","复利计息")</f>
        <v>复利计息</v>
      </c>
    </row>
    <row r="42" spans="1:7" ht="13.5" customHeight="1">
      <c r="A42" s="886" t="s">
        <v>791</v>
      </c>
      <c r="B42" s="220" t="s">
        <v>2169</v>
      </c>
      <c r="C42" s="243">
        <f ca="1">ROUND(IF('数据-取费表'!B22&lt;=1,C33*F22*'数据-取费表'!B21/2,C33*(POWER((1+F22),'数据-取费表'!B21/2)-1)),0)</f>
        <v>1657</v>
      </c>
      <c r="D42" s="243"/>
      <c r="E42" s="243"/>
      <c r="F42" s="264"/>
      <c r="G42" s="3514" t="s">
        <v>2170</v>
      </c>
    </row>
    <row r="43" spans="1:7" ht="13.5" customHeight="1">
      <c r="A43" s="886" t="s">
        <v>792</v>
      </c>
      <c r="B43" s="220" t="s">
        <v>2171</v>
      </c>
      <c r="C43" s="243">
        <f ca="1">ROUND(IF('数据-取费表'!B22&lt;=1,C39*F22*'数据-取费表'!B21/2,C39*(POWER((1+F22),'数据-取费表'!B21/2)-1)),0)</f>
        <v>33</v>
      </c>
      <c r="D43" s="243"/>
      <c r="E43" s="243"/>
      <c r="F43" s="264"/>
      <c r="G43" s="3515"/>
    </row>
    <row r="44" spans="1:7" ht="13.5" customHeight="1">
      <c r="A44" s="886" t="s">
        <v>793</v>
      </c>
      <c r="B44" s="220" t="s">
        <v>2172</v>
      </c>
      <c r="C44" s="243">
        <f>ROUND(IF('数据-取费表'!B22&lt;=1,C40*F22*'数据-取费表'!B21/2,C40*(POWER((1+F22),'数据-取费表'!B21/2)-1)),4)</f>
        <v>0</v>
      </c>
      <c r="D44" s="243"/>
      <c r="E44" s="243"/>
      <c r="F44" s="264"/>
      <c r="G44" s="3516"/>
    </row>
    <row r="45" spans="1:7" s="219" customFormat="1" ht="13.5" customHeight="1">
      <c r="A45" s="260" t="s">
        <v>2173</v>
      </c>
      <c r="B45" s="3340" t="s">
        <v>2139</v>
      </c>
      <c r="C45" s="3341">
        <f ca="1">C46</f>
        <v>1431</v>
      </c>
      <c r="D45" s="3338">
        <f ca="1">C47</f>
        <v>0</v>
      </c>
      <c r="E45" s="3339" t="s">
        <v>2165</v>
      </c>
      <c r="F45" s="3352">
        <f ca="1">F27</f>
        <v>0.03</v>
      </c>
      <c r="G45" s="252" t="s">
        <v>2174</v>
      </c>
    </row>
    <row r="46" spans="1:7" s="219" customFormat="1" ht="13.5" customHeight="1">
      <c r="A46" s="886" t="s">
        <v>791</v>
      </c>
      <c r="B46" s="253" t="s">
        <v>2175</v>
      </c>
      <c r="C46" s="254">
        <f ca="1">ROUND((C33+C39)*F27,0)</f>
        <v>1431</v>
      </c>
      <c r="D46" s="268"/>
      <c r="E46" s="241"/>
      <c r="F46" s="264"/>
      <c r="G46" s="252"/>
    </row>
    <row r="47" spans="1:7" s="219" customFormat="1" ht="13.5" customHeight="1">
      <c r="A47" s="886" t="s">
        <v>792</v>
      </c>
      <c r="B47" s="253" t="s">
        <v>2176</v>
      </c>
      <c r="C47" s="243">
        <f ca="1">ROUND(C40*F27,4)</f>
        <v>0</v>
      </c>
      <c r="D47" s="268"/>
      <c r="E47" s="241"/>
      <c r="F47" s="264"/>
      <c r="G47" s="252"/>
    </row>
    <row r="48" spans="1:7" s="219" customFormat="1" ht="13.5" customHeight="1">
      <c r="A48" s="260" t="s">
        <v>2138</v>
      </c>
      <c r="B48" s="215" t="s">
        <v>2177</v>
      </c>
      <c r="C48" s="1463">
        <f>ROUND(F30/(1+'数据-取费表'!C42),4)</f>
        <v>0</v>
      </c>
      <c r="D48" s="241" t="s">
        <v>2165</v>
      </c>
      <c r="E48" s="237"/>
      <c r="F48" s="264">
        <f>F30</f>
        <v>0</v>
      </c>
      <c r="G48" s="239" t="s">
        <v>2178</v>
      </c>
    </row>
    <row r="49" spans="1:7" ht="16.5" customHeight="1">
      <c r="A49" s="260" t="s">
        <v>2144</v>
      </c>
      <c r="B49" s="215" t="s">
        <v>2179</v>
      </c>
      <c r="C49" s="237">
        <f ca="1">ROUND((C33+C39+C41+C45)/(1-C40-D41-D45-C48),0)</f>
        <v>50828</v>
      </c>
      <c r="D49" s="237"/>
      <c r="E49" s="237"/>
      <c r="F49" s="264"/>
      <c r="G49" s="239" t="s">
        <v>2180</v>
      </c>
    </row>
    <row r="50" spans="1:7" s="263" customFormat="1" ht="24">
      <c r="A50" s="260" t="s">
        <v>2181</v>
      </c>
      <c r="B50" s="215" t="s">
        <v>2182</v>
      </c>
      <c r="C50" s="237"/>
      <c r="D50" s="237"/>
      <c r="E50" s="237"/>
      <c r="F50" s="264">
        <f>IF('数据-取费表'!B24=0,'数据-取费表'!N16,1)</f>
        <v>1</v>
      </c>
      <c r="G50" s="252" t="s">
        <v>2183</v>
      </c>
    </row>
    <row r="51" spans="1:7" ht="16.5" customHeight="1">
      <c r="A51" s="260" t="s">
        <v>2184</v>
      </c>
      <c r="B51" s="3344" t="s">
        <v>2185</v>
      </c>
      <c r="C51" s="3347">
        <f ca="1">ROUND(C49*F50,0)</f>
        <v>50828</v>
      </c>
      <c r="D51" s="3347">
        <f ca="1">ROUND(C51*10000/'数据-汇总表'!E19,0)</f>
        <v>10709</v>
      </c>
      <c r="E51" s="3344">
        <f ca="1">C51*10000/'数据-汇总表'!E3</f>
        <v>7971.6416079918426</v>
      </c>
      <c r="F51" s="3344"/>
      <c r="G51" s="239" t="s">
        <v>2186</v>
      </c>
    </row>
    <row r="52" spans="1:7" s="213" customFormat="1" ht="16.5" thickBot="1">
      <c r="A52" s="270" t="s">
        <v>2187</v>
      </c>
      <c r="B52" s="271"/>
      <c r="C52" s="272">
        <f ca="1">C31+C51</f>
        <v>63109</v>
      </c>
      <c r="D52" s="271"/>
      <c r="E52" s="271"/>
      <c r="F52" s="271"/>
      <c r="G52" s="273"/>
    </row>
    <row r="53" spans="1:7">
      <c r="D53" s="3355">
        <f ca="1">D51+D31</f>
        <v>13297</v>
      </c>
    </row>
    <row r="55" spans="1:7" ht="15">
      <c r="B55" s="275" t="s">
        <v>2188</v>
      </c>
      <c r="C55" s="276"/>
    </row>
    <row r="56" spans="1:7">
      <c r="B56" s="278" t="s">
        <v>1418</v>
      </c>
      <c r="C56" s="280">
        <f ca="1">1-C57</f>
        <v>0.19499999999999995</v>
      </c>
    </row>
    <row r="57" spans="1:7">
      <c r="B57" s="278" t="s">
        <v>1419</v>
      </c>
      <c r="C57" s="279">
        <f ca="1">ROUND(C51/C52,3)</f>
        <v>0.80500000000000005</v>
      </c>
    </row>
  </sheetData>
  <sheetProtection formatCells="0"/>
  <mergeCells count="1">
    <mergeCell ref="G42:G44"/>
  </mergeCells>
  <phoneticPr fontId="1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359" t="str">
        <f>项目基本情况!B1</f>
        <v>北京市房地产市场价值预评估</v>
      </c>
      <c r="C37" s="3359"/>
      <c r="D37" s="3359"/>
      <c r="E37" s="3359"/>
      <c r="F37" s="3359"/>
      <c r="G37" s="3359"/>
      <c r="H37" s="3359"/>
      <c r="I37" s="3359"/>
    </row>
    <row r="38" spans="1:9">
      <c r="A38" s="951"/>
      <c r="B38" s="951"/>
    </row>
    <row r="39" spans="1:9">
      <c r="A39" s="949" t="s">
        <v>818</v>
      </c>
      <c r="B39" s="949" t="s">
        <v>820</v>
      </c>
    </row>
    <row r="40" spans="1:9">
      <c r="A40" s="949"/>
      <c r="B40" s="1625" t="str">
        <f>项目基本情况!B5</f>
        <v>北京市保障房中心</v>
      </c>
    </row>
    <row r="41" spans="1:9">
      <c r="A41" s="949"/>
      <c r="B41" s="949"/>
    </row>
    <row r="42" spans="1:9">
      <c r="A42" s="949" t="s">
        <v>818</v>
      </c>
      <c r="B42" s="949" t="s">
        <v>821</v>
      </c>
    </row>
    <row r="43" spans="1:9">
      <c r="A43" s="949"/>
      <c r="B43" s="1625" t="s">
        <v>822</v>
      </c>
    </row>
    <row r="44" spans="1:9">
      <c r="A44" s="949"/>
      <c r="B44" s="949"/>
    </row>
    <row r="45" spans="1:9">
      <c r="A45" s="949" t="s">
        <v>818</v>
      </c>
      <c r="B45" s="949" t="s">
        <v>823</v>
      </c>
    </row>
    <row r="46" spans="1:9" s="949" customFormat="1" ht="12.75">
      <c r="B46" s="1625" t="str">
        <f ca="1">项目基本情况!K4</f>
        <v>陈颖（注册号：0)、叶凌（注册号：1119970111)</v>
      </c>
    </row>
    <row r="47" spans="1:9">
      <c r="A47" s="949"/>
      <c r="B47" s="949" t="str">
        <f>项目基本情况!K5</f>
        <v>（注册号：0)、（注册号：0)</v>
      </c>
    </row>
    <row r="48" spans="1:9">
      <c r="A48" s="949" t="s">
        <v>818</v>
      </c>
      <c r="B48" s="949"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0" t="s">
        <v>3131</v>
      </c>
      <c r="C1" s="2011" t="s">
        <v>2189</v>
      </c>
      <c r="D1" s="203"/>
      <c r="E1" s="203"/>
      <c r="F1" s="203"/>
      <c r="G1" s="1256">
        <f>MATCH(B1,'数据-取费表'!A6:A16,0)+5</f>
        <v>6</v>
      </c>
      <c r="H1" s="1189" t="str">
        <f>IF(ISERROR(FIND("住宅",B1)),"非住宅","住宅")</f>
        <v>住宅</v>
      </c>
    </row>
    <row r="2" spans="1:8" s="205" customFormat="1" ht="18" customHeight="1">
      <c r="A2" s="206" t="s">
        <v>2088</v>
      </c>
      <c r="B2" s="207">
        <f ca="1">ROUND(IF(D2="——",C52/10000,C52/10000-E2),0)</f>
        <v>47889</v>
      </c>
      <c r="C2" s="204" t="s">
        <v>2089</v>
      </c>
      <c r="D2" s="2005" t="s">
        <v>70</v>
      </c>
      <c r="E2" s="1299" t="e">
        <f ca="1">SUMIF(INDIRECT("'"&amp;G2&amp;"'"&amp;"!A:A"),"承租人权益价值",INDIRECT("'"&amp;G2&amp;"'"&amp;"!c:c"))</f>
        <v>#REF!</v>
      </c>
      <c r="F2" s="2006" t="s">
        <v>2089</v>
      </c>
      <c r="G2" s="2007"/>
    </row>
    <row r="3" spans="1:8" s="205" customFormat="1" ht="18" customHeight="1" thickBot="1">
      <c r="A3" s="208" t="s">
        <v>2090</v>
      </c>
      <c r="B3" s="209">
        <f ca="1">ROUND(B2*10000/(IF(B1="",'数据-汇总表'!E3,INDIRECT("'数据-取费表'!k"&amp;$G$1))),0)</f>
        <v>10090</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10857852</v>
      </c>
      <c r="D5" s="216" t="s">
        <v>2095</v>
      </c>
      <c r="E5" s="217" t="s">
        <v>2096</v>
      </c>
      <c r="F5" s="217" t="s">
        <v>2097</v>
      </c>
      <c r="G5" s="218"/>
    </row>
    <row r="6" spans="1:8" s="219" customFormat="1" ht="13.5" customHeight="1">
      <c r="A6" s="884" t="s">
        <v>2098</v>
      </c>
      <c r="B6" s="220" t="s">
        <v>2099</v>
      </c>
      <c r="C6" s="221">
        <v>4000</v>
      </c>
      <c r="D6" s="222"/>
      <c r="E6" s="223"/>
      <c r="F6" s="223"/>
      <c r="G6" s="224"/>
    </row>
    <row r="7" spans="1:8" s="219" customFormat="1" ht="13.5" customHeight="1">
      <c r="A7" s="884" t="s">
        <v>2100</v>
      </c>
      <c r="B7" s="220" t="s">
        <v>2101</v>
      </c>
      <c r="C7" s="225">
        <f>ROUND(C6*F7,0)</f>
        <v>122</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10853730</v>
      </c>
      <c r="D8" s="227"/>
      <c r="E8" s="225"/>
      <c r="F8" s="226"/>
      <c r="G8" s="2008" t="s">
        <v>3188</v>
      </c>
    </row>
    <row r="9" spans="1:8" s="219" customFormat="1" ht="13.5" customHeight="1">
      <c r="A9" s="885" t="s">
        <v>800</v>
      </c>
      <c r="B9" s="229" t="s">
        <v>2104</v>
      </c>
      <c r="C9" s="230">
        <f ca="1">ROUND(D9*E9,0)</f>
        <v>7593896</v>
      </c>
      <c r="D9" s="952">
        <f ca="1">IF(B1="",'数据-汇总表'!E5,IF(INDIRECT("'数据-取费表'!c"&amp;$G$1)="住宅",INDIRECT("'数据-取费表'!k"&amp;$G$1),0))</f>
        <v>47461.850000000006</v>
      </c>
      <c r="E9" s="230">
        <f>'数据-取费表'!B27</f>
        <v>160</v>
      </c>
      <c r="F9" s="226"/>
      <c r="G9" s="231"/>
    </row>
    <row r="10" spans="1:8" s="219" customFormat="1" ht="13.5" customHeight="1">
      <c r="A10" s="885" t="s">
        <v>801</v>
      </c>
      <c r="B10" s="229" t="s">
        <v>2106</v>
      </c>
      <c r="C10" s="230">
        <f ca="1">ROUND(D10*E10,0)</f>
        <v>3259834</v>
      </c>
      <c r="D10" s="952">
        <f ca="1">IF(B1="",'数据-汇总表'!E6,IF(INDIRECT("'数据-取费表'!c"&amp;$G$1)="住宅",INDIRECT("'数据-取费表'!s"&amp;$G$1),INDIRECT("'数据-取费表'!k"&amp;$G$1)+INDIRECT("'数据-取费表'!s"&amp;$G$1)))</f>
        <v>16299.17</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t="str">
        <f>IF(G19="已包含在土地取得成本中","0",ROUND(D19*E19,0))</f>
        <v>0</v>
      </c>
      <c r="D19" s="956">
        <f ca="1">D9+D10</f>
        <v>63761.020000000004</v>
      </c>
      <c r="E19" s="216">
        <f>'数据-取费表'!B31</f>
        <v>200</v>
      </c>
      <c r="F19" s="236"/>
      <c r="G19" s="2008" t="s">
        <v>3189</v>
      </c>
    </row>
    <row r="20" spans="1:7" s="219" customFormat="1" ht="13.5" customHeight="1">
      <c r="A20" s="260" t="s">
        <v>2200</v>
      </c>
      <c r="B20" s="215" t="s">
        <v>2201</v>
      </c>
      <c r="C20" s="237">
        <f ca="1">ROUND((C5+C19)*F20,0)</f>
        <v>217157</v>
      </c>
      <c r="D20" s="237"/>
      <c r="E20" s="237"/>
      <c r="F20" s="238">
        <f>'数据-取费表'!B37</f>
        <v>0.02</v>
      </c>
      <c r="G20" s="239" t="s">
        <v>2202</v>
      </c>
    </row>
    <row r="21" spans="1:7" s="219" customFormat="1" ht="13.5" customHeight="1">
      <c r="A21" s="260" t="s">
        <v>2203</v>
      </c>
      <c r="B21" s="215" t="s">
        <v>2204</v>
      </c>
      <c r="C21" s="240">
        <f>F21</f>
        <v>0</v>
      </c>
      <c r="D21" s="241" t="s">
        <v>2205</v>
      </c>
      <c r="E21" s="237"/>
      <c r="F21" s="238">
        <f>'数据-取费表'!B38</f>
        <v>0</v>
      </c>
      <c r="G21" s="239" t="s">
        <v>2206</v>
      </c>
    </row>
    <row r="22" spans="1:7" s="219" customFormat="1" ht="13.5" customHeight="1">
      <c r="A22" s="260" t="s">
        <v>2207</v>
      </c>
      <c r="B22" s="215" t="s">
        <v>2208</v>
      </c>
      <c r="C22" s="1257">
        <f ca="1">ROUND(SUM(C23:C25),0)</f>
        <v>1066309</v>
      </c>
      <c r="D22" s="240">
        <f>C26</f>
        <v>0</v>
      </c>
      <c r="E22" s="241" t="s">
        <v>2205</v>
      </c>
      <c r="F22" s="242">
        <f>'数据-取费表'!B40</f>
        <v>4.7500000000000001E-2</v>
      </c>
      <c r="G22" s="239" t="str">
        <f>IF('数据-取费表'!B22&lt;=1,"单利计息","复利计息")</f>
        <v>复利计息</v>
      </c>
    </row>
    <row r="23" spans="1:7" s="219" customFormat="1" ht="13.5" customHeight="1">
      <c r="A23" s="886" t="s">
        <v>2098</v>
      </c>
      <c r="B23" s="220" t="s">
        <v>2209</v>
      </c>
      <c r="C23" s="1258">
        <f ca="1">ROUND(IF('数据-取费表'!B22&lt;=1,C5*F22*'数据-取费表'!B22,C5*(POWER((1+F22),'数据-取费表'!B22)-1)),0)</f>
        <v>1055994</v>
      </c>
      <c r="D23" s="243"/>
      <c r="E23" s="243"/>
      <c r="F23" s="244"/>
      <c r="G23" s="245" t="s">
        <v>2210</v>
      </c>
    </row>
    <row r="24" spans="1:7" s="219" customFormat="1" ht="13.5" customHeight="1">
      <c r="A24" s="886" t="s">
        <v>2100</v>
      </c>
      <c r="B24" s="220" t="s">
        <v>2211</v>
      </c>
      <c r="C24" s="1258">
        <f>ROUND(IF('数据-取费表'!B22&lt;=1,C19*F22*('数据-取费表'!B19/2+'数据-取费表'!B20),C19*(POWER((1+F22),('数据-取费表'!B19/2+'数据-取费表'!B20))-1)),0)</f>
        <v>0</v>
      </c>
      <c r="D24" s="243"/>
      <c r="E24" s="243"/>
      <c r="F24" s="244"/>
      <c r="G24" s="245" t="s">
        <v>2212</v>
      </c>
    </row>
    <row r="25" spans="1:7" s="219" customFormat="1" ht="24">
      <c r="A25" s="886" t="s">
        <v>2102</v>
      </c>
      <c r="B25" s="220" t="s">
        <v>2213</v>
      </c>
      <c r="C25" s="1258">
        <f ca="1">ROUND(IF('数据-取费表'!B22&lt;=1,C20*F22*'数据-取费表'!B22/2,C20*(POWER((1+F22),'数据-取费表'!B22/2)-1)),0)</f>
        <v>10315</v>
      </c>
      <c r="D25" s="243"/>
      <c r="E25" s="246"/>
      <c r="F25" s="244"/>
      <c r="G25" s="247" t="s">
        <v>2214</v>
      </c>
    </row>
    <row r="26" spans="1:7" s="219" customFormat="1">
      <c r="A26" s="886" t="s">
        <v>795</v>
      </c>
      <c r="B26" s="220" t="s">
        <v>2137</v>
      </c>
      <c r="C26" s="243">
        <f>ROUND(IF('数据-取费表'!B22&lt;=1,F21*F22*'数据-取费表'!B22/2,F21*(POWER((1+F22),'数据-取费表'!B22/2)-1)),4)</f>
        <v>0</v>
      </c>
      <c r="D26" s="243"/>
      <c r="E26" s="246"/>
      <c r="F26" s="244"/>
      <c r="G26" s="248"/>
    </row>
    <row r="27" spans="1:7" s="219" customFormat="1" ht="24.75">
      <c r="A27" s="260" t="s">
        <v>2138</v>
      </c>
      <c r="B27" s="249" t="s">
        <v>2139</v>
      </c>
      <c r="C27" s="250">
        <f ca="1">C28</f>
        <v>332250</v>
      </c>
      <c r="D27" s="240">
        <f ca="1">C29</f>
        <v>0</v>
      </c>
      <c r="E27" s="241" t="s">
        <v>2140</v>
      </c>
      <c r="F27" s="251">
        <f ca="1">IF(B1="",'数据-取费表'!Q16,INDIRECT("'数据-取费表'!q"&amp;$G$1))</f>
        <v>0.03</v>
      </c>
      <c r="G27" s="252" t="s">
        <v>2141</v>
      </c>
    </row>
    <row r="28" spans="1:7" s="219" customFormat="1" ht="13.5" customHeight="1">
      <c r="A28" s="886" t="s">
        <v>791</v>
      </c>
      <c r="B28" s="253" t="s">
        <v>2142</v>
      </c>
      <c r="C28" s="254">
        <f ca="1">ROUND((C5+C19+C20)*F27,0)</f>
        <v>332250</v>
      </c>
      <c r="D28" s="240"/>
      <c r="E28" s="241"/>
      <c r="F28" s="251"/>
      <c r="G28" s="252"/>
    </row>
    <row r="29" spans="1:7" s="219" customFormat="1" ht="13.5" customHeight="1">
      <c r="A29" s="886" t="s">
        <v>792</v>
      </c>
      <c r="B29" s="253" t="s">
        <v>2143</v>
      </c>
      <c r="C29" s="243">
        <f ca="1">ROUND(C21*F27,4)</f>
        <v>0</v>
      </c>
      <c r="D29" s="240"/>
      <c r="E29" s="241"/>
      <c r="F29" s="251"/>
      <c r="G29" s="252"/>
    </row>
    <row r="30" spans="1:7" s="219" customFormat="1" ht="13.5" customHeight="1">
      <c r="A30" s="260" t="s">
        <v>2144</v>
      </c>
      <c r="B30" s="215" t="s">
        <v>2145</v>
      </c>
      <c r="C30" s="240">
        <f>ROUND(F30/(1+'数据-取费表'!C42),4)</f>
        <v>0</v>
      </c>
      <c r="D30" s="241" t="s">
        <v>2140</v>
      </c>
      <c r="E30" s="246"/>
      <c r="F30" s="242">
        <f>'数据-取费表'!B41</f>
        <v>0</v>
      </c>
      <c r="G30" s="239" t="s">
        <v>2146</v>
      </c>
    </row>
    <row r="31" spans="1:7" ht="16.5" customHeight="1">
      <c r="A31" s="214">
        <v>1</v>
      </c>
      <c r="B31" s="215" t="s">
        <v>2147</v>
      </c>
      <c r="C31" s="216">
        <f ca="1">ROUND((C5+C19+C20+C22+C27)/(1-C21-D22-D27-C30),0)</f>
        <v>12473568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429192965</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341818195</v>
      </c>
      <c r="D34" s="222"/>
      <c r="E34" s="225"/>
      <c r="F34" s="262"/>
      <c r="G34" s="224"/>
    </row>
    <row r="35" spans="1:7" ht="13.5" customHeight="1">
      <c r="A35" s="886" t="s">
        <v>796</v>
      </c>
      <c r="B35" s="220" t="s">
        <v>2153</v>
      </c>
      <c r="C35" s="225">
        <f ca="1">ROUND(C34*F35,0)</f>
        <v>41018183</v>
      </c>
      <c r="D35" s="225"/>
      <c r="E35" s="225"/>
      <c r="F35" s="264">
        <f>'数据-取费表'!B33</f>
        <v>0.12</v>
      </c>
      <c r="G35" s="224" t="s">
        <v>2154</v>
      </c>
    </row>
    <row r="36" spans="1:7" ht="24">
      <c r="A36" s="886" t="s">
        <v>797</v>
      </c>
      <c r="B36" s="220" t="s">
        <v>2155</v>
      </c>
      <c r="C36" s="225">
        <f ca="1">ROUND(IF(B1="",SUM('数据-取费表'!AP6:AP13)*F36,IF(INDIRECT("'数据-取费表'!c"&amp;$G$1)="住宅",INDIRECT("'数据-取费表'!k"&amp;$G$1)*INDIRECT("'数据-取费表'!l"&amp;$G$1)*F36,0)),0)</f>
        <v>28477110</v>
      </c>
      <c r="D36" s="225"/>
      <c r="E36" s="225"/>
      <c r="F36" s="264">
        <f>'数据-取费表'!B34</f>
        <v>0.1</v>
      </c>
      <c r="G36" s="265" t="s">
        <v>2156</v>
      </c>
    </row>
    <row r="37" spans="1:7" s="263" customFormat="1" ht="13.5" customHeight="1">
      <c r="A37" s="886" t="s">
        <v>798</v>
      </c>
      <c r="B37" s="220" t="s">
        <v>2157</v>
      </c>
      <c r="C37" s="254">
        <f ca="1">ROUND(E37*D37,0)</f>
        <v>12752204</v>
      </c>
      <c r="D37" s="222">
        <f ca="1">D19</f>
        <v>63761.020000000004</v>
      </c>
      <c r="E37" s="254">
        <f>'数据-取费表'!B35</f>
        <v>200</v>
      </c>
      <c r="F37" s="264"/>
      <c r="G37" s="266"/>
    </row>
    <row r="38" spans="1:7" ht="13.5" customHeight="1">
      <c r="A38" s="886" t="s">
        <v>799</v>
      </c>
      <c r="B38" s="220" t="s">
        <v>2159</v>
      </c>
      <c r="C38" s="225">
        <f ca="1">ROUND(C34*F38,0)</f>
        <v>5127273</v>
      </c>
      <c r="D38" s="225"/>
      <c r="E38" s="225"/>
      <c r="F38" s="264">
        <f>'数据-取费表'!B36</f>
        <v>1.4999999999999999E-2</v>
      </c>
      <c r="G38" s="224" t="s">
        <v>2154</v>
      </c>
    </row>
    <row r="39" spans="1:7" s="219" customFormat="1" ht="13.5" customHeight="1">
      <c r="A39" s="260" t="s">
        <v>2160</v>
      </c>
      <c r="B39" s="215" t="s">
        <v>2161</v>
      </c>
      <c r="C39" s="237">
        <f ca="1">ROUND(C33*F20,0)</f>
        <v>8583859</v>
      </c>
      <c r="D39" s="237"/>
      <c r="E39" s="237"/>
      <c r="F39" s="2501">
        <f>F20</f>
        <v>0.02</v>
      </c>
      <c r="G39" s="239" t="s">
        <v>2162</v>
      </c>
    </row>
    <row r="40" spans="1:7" s="219" customFormat="1" ht="13.5" customHeight="1">
      <c r="A40" s="260" t="s">
        <v>2163</v>
      </c>
      <c r="B40" s="215" t="s">
        <v>2164</v>
      </c>
      <c r="C40" s="1463">
        <f>F21</f>
        <v>0</v>
      </c>
      <c r="D40" s="241" t="s">
        <v>2165</v>
      </c>
      <c r="E40" s="237"/>
      <c r="F40" s="2501">
        <f>F21</f>
        <v>0</v>
      </c>
      <c r="G40" s="239" t="s">
        <v>2166</v>
      </c>
    </row>
    <row r="41" spans="1:7" s="219" customFormat="1" ht="13.5" customHeight="1">
      <c r="A41" s="260" t="s">
        <v>2167</v>
      </c>
      <c r="B41" s="215" t="s">
        <v>2168</v>
      </c>
      <c r="C41" s="237">
        <f ca="1">ROUND(SUM(C42:C43),0)</f>
        <v>15504984</v>
      </c>
      <c r="D41" s="240">
        <f>C44</f>
        <v>0</v>
      </c>
      <c r="E41" s="241" t="s">
        <v>2165</v>
      </c>
      <c r="F41" s="2502">
        <f>F22</f>
        <v>4.7500000000000001E-2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15200965</v>
      </c>
      <c r="D42" s="243"/>
      <c r="E42" s="243"/>
      <c r="F42" s="244"/>
      <c r="G42" s="3514" t="s">
        <v>2217</v>
      </c>
    </row>
    <row r="43" spans="1:7" ht="13.5" customHeight="1">
      <c r="A43" s="886" t="s">
        <v>792</v>
      </c>
      <c r="B43" s="220" t="s">
        <v>2171</v>
      </c>
      <c r="C43" s="243">
        <f ca="1">ROUND(IF('数据-取费表'!B22&lt;=1,C39*F22*'数据-取费表'!B20/2,C39*(POWER((1+F22),'数据-取费表'!B20/2)-1)),0)</f>
        <v>304019</v>
      </c>
      <c r="D43" s="243"/>
      <c r="E43" s="243"/>
      <c r="F43" s="244"/>
      <c r="G43" s="3515"/>
    </row>
    <row r="44" spans="1:7" ht="13.5" customHeight="1">
      <c r="A44" s="886" t="s">
        <v>793</v>
      </c>
      <c r="B44" s="220" t="s">
        <v>2172</v>
      </c>
      <c r="C44" s="243">
        <f>ROUND(IF('数据-取费表'!B22&lt;=1,C40*F22*'数据-取费表'!B20/2,C40*(POWER((1+F22),'数据-取费表'!B20/2)-1)),4)</f>
        <v>0</v>
      </c>
      <c r="D44" s="243"/>
      <c r="E44" s="243"/>
      <c r="F44" s="244"/>
      <c r="G44" s="3516"/>
    </row>
    <row r="45" spans="1:7" s="219" customFormat="1" ht="13.5" customHeight="1">
      <c r="A45" s="260" t="s">
        <v>2173</v>
      </c>
      <c r="B45" s="249" t="s">
        <v>2139</v>
      </c>
      <c r="C45" s="250">
        <f ca="1">C46</f>
        <v>13133305</v>
      </c>
      <c r="D45" s="240">
        <f ca="1">C47</f>
        <v>0</v>
      </c>
      <c r="E45" s="241" t="s">
        <v>2165</v>
      </c>
      <c r="F45" s="2503">
        <f ca="1">F27</f>
        <v>0.03</v>
      </c>
      <c r="G45" s="252" t="s">
        <v>2174</v>
      </c>
    </row>
    <row r="46" spans="1:7" s="219" customFormat="1" ht="13.5" customHeight="1">
      <c r="A46" s="886" t="s">
        <v>791</v>
      </c>
      <c r="B46" s="253" t="s">
        <v>2175</v>
      </c>
      <c r="C46" s="254">
        <f ca="1">ROUND((C33+C39)*F27,0)</f>
        <v>13133305</v>
      </c>
      <c r="D46" s="268"/>
      <c r="E46" s="241"/>
      <c r="F46" s="251"/>
      <c r="G46" s="252"/>
    </row>
    <row r="47" spans="1:7" s="219" customFormat="1" ht="13.5" customHeight="1">
      <c r="A47" s="886" t="s">
        <v>792</v>
      </c>
      <c r="B47" s="253" t="s">
        <v>2176</v>
      </c>
      <c r="C47" s="243">
        <f ca="1">ROUND(C40*F27,4)</f>
        <v>0</v>
      </c>
      <c r="D47" s="268"/>
      <c r="E47" s="241"/>
      <c r="F47" s="251"/>
      <c r="G47" s="252"/>
    </row>
    <row r="48" spans="1:7" s="219" customFormat="1" ht="13.5" customHeight="1">
      <c r="A48" s="260" t="s">
        <v>2138</v>
      </c>
      <c r="B48" s="215" t="s">
        <v>2177</v>
      </c>
      <c r="C48" s="267">
        <f>ROUND(F30/(1+'数据-取费表'!C42),4)</f>
        <v>0</v>
      </c>
      <c r="D48" s="241" t="s">
        <v>2165</v>
      </c>
      <c r="E48" s="237"/>
      <c r="F48" s="2502">
        <f>F30</f>
        <v>0</v>
      </c>
      <c r="G48" s="239" t="s">
        <v>2178</v>
      </c>
    </row>
    <row r="49" spans="1:7" ht="16.5" customHeight="1">
      <c r="A49" s="260" t="s">
        <v>2144</v>
      </c>
      <c r="B49" s="215" t="s">
        <v>2218</v>
      </c>
      <c r="C49" s="237">
        <f ca="1">ROUND((C33+C39+C41+C45)/(1-C40-D41-D45-C48),0)</f>
        <v>466415113</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466415113</v>
      </c>
      <c r="D51" s="237"/>
      <c r="E51" s="237"/>
      <c r="F51" s="269"/>
      <c r="G51" s="239" t="s">
        <v>2186</v>
      </c>
    </row>
    <row r="52" spans="1:7" s="213" customFormat="1" ht="16.5" thickBot="1">
      <c r="A52" s="270" t="s">
        <v>2187</v>
      </c>
      <c r="B52" s="271"/>
      <c r="C52" s="272">
        <f ca="1">C31+C51</f>
        <v>478888681</v>
      </c>
      <c r="D52" s="271"/>
      <c r="E52" s="271"/>
      <c r="F52" s="271"/>
      <c r="G52" s="273"/>
    </row>
    <row r="55" spans="1:7" ht="15">
      <c r="B55" s="275" t="s">
        <v>2188</v>
      </c>
      <c r="C55" s="276"/>
    </row>
    <row r="56" spans="1:7">
      <c r="B56" s="278" t="s">
        <v>1418</v>
      </c>
      <c r="C56" s="280">
        <f ca="1">1-C57</f>
        <v>2.6000000000000023E-2</v>
      </c>
    </row>
    <row r="57" spans="1:7">
      <c r="B57" s="278" t="s">
        <v>1419</v>
      </c>
      <c r="C57" s="279">
        <f ca="1">ROUND(C51/C52,3)</f>
        <v>0.97399999999999998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1"/>
      <c r="C1" s="1322"/>
      <c r="D1" s="1320"/>
      <c r="E1" s="3002"/>
      <c r="F1" s="3002"/>
      <c r="G1" s="2865"/>
      <c r="H1" s="3002"/>
      <c r="I1" s="3002"/>
      <c r="J1" s="3002"/>
      <c r="K1" s="3003">
        <f>MATCH(C1,'数据-取费表'!A6:A16,0)+5</f>
        <v>11</v>
      </c>
    </row>
    <row r="2" spans="1:33" ht="18" customHeight="1">
      <c r="A2" s="206" t="s">
        <v>2088</v>
      </c>
      <c r="B2" s="209">
        <f ca="1">C32</f>
        <v>-943</v>
      </c>
      <c r="C2" s="281" t="s">
        <v>2221</v>
      </c>
      <c r="D2" s="281"/>
      <c r="E2" s="3002"/>
      <c r="F2" s="3002"/>
      <c r="G2" s="3002"/>
      <c r="H2" s="3002"/>
      <c r="I2" s="3002"/>
      <c r="J2" s="3002"/>
      <c r="K2" s="3002"/>
    </row>
    <row r="3" spans="1:33" ht="18" customHeight="1" thickBot="1">
      <c r="A3" s="208" t="s">
        <v>2090</v>
      </c>
      <c r="B3" s="209">
        <f ca="1">ROUND(B2*10000/IF(C1="",'数据-汇总表'!E3,INDIRECT("'数据-取费表'!K"&amp;$K$1)),0)</f>
        <v>-148</v>
      </c>
      <c r="C3" s="281" t="s">
        <v>2222</v>
      </c>
      <c r="D3" s="281"/>
      <c r="E3" s="3002"/>
      <c r="F3" s="3002"/>
      <c r="G3" s="3002"/>
      <c r="H3" s="3002"/>
      <c r="I3" s="3002"/>
      <c r="J3" s="3002"/>
      <c r="K3" s="3002"/>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2" t="s">
        <v>2226</v>
      </c>
      <c r="D5" s="2012" t="s">
        <v>2227</v>
      </c>
      <c r="E5" s="2012" t="s">
        <v>2228</v>
      </c>
      <c r="F5" s="2012"/>
      <c r="G5" s="2012"/>
      <c r="H5" s="2012"/>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0.12</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0.1</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63761.02</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5"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5"/>
      <c r="H16" s="131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63761.02</v>
      </c>
      <c r="E17" s="24">
        <f>'数据-取费表'!B32</f>
        <v>0</v>
      </c>
      <c r="F17" s="913"/>
      <c r="G17" s="135" t="s">
        <v>2252</v>
      </c>
      <c r="H17" s="131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925</v>
      </c>
      <c r="D18" s="953"/>
      <c r="E18" s="24"/>
      <c r="F18" s="911"/>
      <c r="G18" s="2014"/>
      <c r="H18" s="1317"/>
      <c r="I18" s="2015" t="s">
        <v>2254</v>
      </c>
      <c r="J18" s="914"/>
      <c r="K18" s="915"/>
    </row>
    <row r="19" spans="1:33" s="910" customFormat="1" ht="13.5" customHeight="1">
      <c r="A19" s="906" t="s">
        <v>805</v>
      </c>
      <c r="B19" s="907" t="s">
        <v>2255</v>
      </c>
      <c r="C19" s="24">
        <f ca="1">ROUND(D19*E19/10000,0)</f>
        <v>759</v>
      </c>
      <c r="D19" s="953">
        <f ca="1">IF(C1="",'数据-汇总表'!E5,IF(INDIRECT("'数据-取费表'!c"&amp;$K$1)="住宅",INDIRECT("'数据-取费表'!k"&amp;$K$1),0))</f>
        <v>47461.850000000006</v>
      </c>
      <c r="E19" s="24">
        <f>'数据-取费表'!B27</f>
        <v>160</v>
      </c>
      <c r="F19" s="911"/>
      <c r="G19" s="15"/>
      <c r="H19" s="1319"/>
      <c r="I19" s="916"/>
      <c r="J19" s="916"/>
      <c r="K19" s="917"/>
    </row>
    <row r="20" spans="1:33" s="910" customFormat="1" ht="13.5" customHeight="1">
      <c r="A20" s="906" t="s">
        <v>806</v>
      </c>
      <c r="B20" s="907" t="s">
        <v>2256</v>
      </c>
      <c r="C20" s="24">
        <f ca="1">ROUND(D20*E20/10000,0)</f>
        <v>326</v>
      </c>
      <c r="D20" s="953">
        <f ca="1">IF(C1="",'数据-汇总表'!E6,IF(INDIRECT("'数据-取费表'!c"&amp;$K$1)="住宅",INDIRECT("'数据-取费表'!s"&amp;$K$1),INDIRECT("'数据-取费表'!k"&amp;$K$1)+INDIRECT("'数据-取费表'!s"&amp;$K$1)))</f>
        <v>16299.169999999991</v>
      </c>
      <c r="E20" s="24">
        <f>'数据-取费表'!B28</f>
        <v>200</v>
      </c>
      <c r="F20" s="911"/>
      <c r="G20" s="15"/>
      <c r="H20" s="916"/>
      <c r="I20" s="916"/>
      <c r="J20" s="916"/>
      <c r="K20" s="917"/>
    </row>
    <row r="21" spans="1:33" s="910" customFormat="1" ht="13.5" customHeight="1">
      <c r="A21" s="896" t="s">
        <v>802</v>
      </c>
      <c r="B21" s="920" t="s">
        <v>2257</v>
      </c>
      <c r="C21" s="921">
        <f ca="1">C16+C17+C18</f>
        <v>925</v>
      </c>
      <c r="D21" s="922"/>
      <c r="E21" s="286"/>
      <c r="F21" s="286"/>
      <c r="G21" s="135" t="s">
        <v>2258</v>
      </c>
      <c r="H21" s="914"/>
      <c r="I21" s="914"/>
      <c r="J21" s="914"/>
      <c r="K21" s="915"/>
    </row>
    <row r="22" spans="1:33" s="910" customFormat="1" ht="13.5" customHeight="1">
      <c r="A22" s="896" t="s">
        <v>2230</v>
      </c>
      <c r="B22" s="920" t="s">
        <v>2259</v>
      </c>
      <c r="C22" s="921">
        <f ca="1">ROUND(C21*F22,0)</f>
        <v>19</v>
      </c>
      <c r="D22" s="286"/>
      <c r="E22" s="286"/>
      <c r="F22" s="923">
        <f>'数据-取费表'!B37</f>
        <v>0.02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0</v>
      </c>
      <c r="G23" s="8" t="s">
        <v>2262</v>
      </c>
      <c r="H23" s="903"/>
      <c r="I23" s="903"/>
      <c r="J23" s="903"/>
      <c r="K23" s="904"/>
    </row>
    <row r="24" spans="1:33" s="910" customFormat="1" ht="13.5" customHeight="1">
      <c r="A24" s="896" t="s">
        <v>2263</v>
      </c>
      <c r="B24" s="920" t="s">
        <v>2264</v>
      </c>
      <c r="C24" s="285">
        <f>ROUND(F24/(1+'数据-取费表'!C42),4)</f>
        <v>3.0499999999999999E-2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4">
        <f ca="1">C27</f>
        <v>0</v>
      </c>
      <c r="D25" s="285">
        <f>C26</f>
        <v>0</v>
      </c>
      <c r="E25" s="287" t="s">
        <v>15</v>
      </c>
      <c r="F25" s="288">
        <f>'数据-取费表'!B40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5">
        <f>ROUND(IF('数据-取费表'!B22&lt;=1,(1+C24)*F25*'数据-取费表'!B24,(1+C24)*(POWER((1+F25),'数据-取费表'!B24)-1)),4)</f>
        <v>0</v>
      </c>
      <c r="D26" s="289"/>
      <c r="E26" s="290"/>
      <c r="F26" s="291"/>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6">
        <f ca="1">ROUND(IF('数据-取费表'!B22&lt;=1,(C21+C22+C23)*F25*'数据-取费表'!B24/2,(C21+C22+C23)*(POWER((1+F25),'数据-取费表'!B24/2)-1)),0)</f>
        <v>0</v>
      </c>
      <c r="D27" s="289"/>
      <c r="E27" s="290"/>
      <c r="F27" s="291"/>
      <c r="G27" s="2016" t="str">
        <f>IF('数据-取费表'!B22&lt;=1,"（1）-（3）项×年利率×建设期÷2","（1）-（3）项×((1+年利率)^(建设期÷2)-1)")</f>
        <v>（1）-（3）项×((1+年利率)^(建设期÷2)-1)</v>
      </c>
      <c r="H27" s="914"/>
      <c r="I27" s="914"/>
      <c r="J27" s="914"/>
      <c r="K27" s="915"/>
    </row>
    <row r="28" spans="1:33" s="294" customFormat="1" ht="13.5" customHeight="1">
      <c r="A28" s="896" t="s">
        <v>2270</v>
      </c>
      <c r="B28" s="2017" t="s">
        <v>2271</v>
      </c>
      <c r="C28" s="292">
        <f ca="1">C30</f>
        <v>28</v>
      </c>
      <c r="D28" s="285">
        <f ca="1">C29</f>
        <v>0</v>
      </c>
      <c r="E28" s="287" t="s">
        <v>15</v>
      </c>
      <c r="F28" s="293">
        <f ca="1">IF(C1="",'数据-取费表'!Q16,INDIRECT("'数据-取费表'!q"&amp;$K$1))</f>
        <v>0.03</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5" t="s">
        <v>2273</v>
      </c>
      <c r="H29" s="914"/>
      <c r="I29" s="914"/>
      <c r="J29" s="914"/>
      <c r="K29" s="915"/>
    </row>
    <row r="30" spans="1:33" s="296" customFormat="1" ht="13.5" customHeight="1">
      <c r="A30" s="906" t="s">
        <v>804</v>
      </c>
      <c r="B30" s="929" t="s">
        <v>2274</v>
      </c>
      <c r="C30" s="297">
        <f ca="1">ROUND((C21+C22+C23)*F28,0)</f>
        <v>28</v>
      </c>
      <c r="D30" s="289"/>
      <c r="E30" s="290"/>
      <c r="F30" s="295"/>
      <c r="G30" s="135"/>
      <c r="H30" s="914"/>
      <c r="I30" s="914"/>
      <c r="J30" s="914"/>
      <c r="K30" s="915"/>
    </row>
    <row r="31" spans="1:33" s="910" customFormat="1" ht="13.5" customHeight="1" thickBot="1">
      <c r="A31" s="2018" t="s">
        <v>2275</v>
      </c>
      <c r="B31" s="940" t="s">
        <v>2276</v>
      </c>
      <c r="C31" s="941">
        <f>ROUND(C4*F31/(1+'数据-取费表'!C42),0)</f>
        <v>0</v>
      </c>
      <c r="D31" s="942"/>
      <c r="E31" s="943"/>
      <c r="F31" s="944">
        <f>'数据-取费表'!B41</f>
        <v>0</v>
      </c>
      <c r="G31" s="945" t="s">
        <v>2277</v>
      </c>
      <c r="H31" s="946"/>
      <c r="I31" s="946"/>
      <c r="J31" s="946"/>
      <c r="K31" s="947"/>
    </row>
    <row r="32" spans="1:33" s="905" customFormat="1" ht="13.5" customHeight="1" thickBot="1">
      <c r="A32" s="935" t="s">
        <v>2278</v>
      </c>
      <c r="B32" s="936"/>
      <c r="C32" s="937">
        <f ca="1">ROUND((C4-C21-C22-C23-C25-C28-C31)/(1+C24+D25+D28),0)</f>
        <v>-943</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18" customWidth="1"/>
    <col min="12" max="12" width="16.375" style="263" customWidth="1"/>
    <col min="13" max="13" width="13" style="263"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3"/>
  </cols>
  <sheetData>
    <row r="1" spans="1:37" s="298" customFormat="1" ht="21">
      <c r="A1" s="1525" t="s">
        <v>1494</v>
      </c>
      <c r="B1" s="720"/>
      <c r="C1" s="1529"/>
      <c r="D1" s="1512"/>
      <c r="E1" s="1513" t="s">
        <v>1292</v>
      </c>
      <c r="F1" s="1190">
        <f ca="1">J53</f>
        <v>0</v>
      </c>
      <c r="G1" s="1528">
        <f>MATCH(C1,'数据-取费表'!A6:A16,0)+5</f>
        <v>11</v>
      </c>
      <c r="H1" s="2886"/>
      <c r="I1" s="2887"/>
      <c r="J1" s="2887"/>
      <c r="K1" s="2888"/>
      <c r="L1" s="2887"/>
      <c r="M1" s="288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5" t="s">
        <v>1420</v>
      </c>
      <c r="B2" s="1536" t="e">
        <f ca="1">C40+J29+L46</f>
        <v>#DIV/0!</v>
      </c>
      <c r="C2" s="1537" t="s">
        <v>1421</v>
      </c>
      <c r="D2" s="1537"/>
      <c r="E2" s="1538"/>
      <c r="F2" s="1539"/>
      <c r="G2" s="2900"/>
      <c r="H2" s="2889"/>
      <c r="I2" s="2889"/>
      <c r="J2" s="2889"/>
      <c r="K2" s="2890"/>
      <c r="L2" s="2889"/>
      <c r="M2" s="2889"/>
    </row>
    <row r="3" spans="1:37" ht="18" customHeight="1" thickBot="1">
      <c r="A3" s="1540" t="s">
        <v>1422</v>
      </c>
      <c r="B3" s="1541">
        <f ca="1">IF(ISERROR(B2*10000/F43),0,ROUND(B2*10000/F43,0))</f>
        <v>0</v>
      </c>
      <c r="C3" s="1537" t="s">
        <v>1423</v>
      </c>
      <c r="D3" s="1537"/>
      <c r="E3" s="1538"/>
      <c r="F3" s="1539"/>
      <c r="G3" s="2900"/>
      <c r="H3" s="690" t="s">
        <v>1493</v>
      </c>
      <c r="I3" s="1532"/>
      <c r="J3" s="1532"/>
      <c r="K3" s="1533"/>
      <c r="L3" s="1532"/>
      <c r="M3" s="1532"/>
    </row>
    <row r="4" spans="1:37" ht="18" customHeight="1">
      <c r="A4" s="300" t="s">
        <v>1301</v>
      </c>
      <c r="B4" s="301" t="s">
        <v>1302</v>
      </c>
      <c r="C4" s="301" t="s">
        <v>1303</v>
      </c>
      <c r="D4" s="301" t="s">
        <v>1304</v>
      </c>
      <c r="E4" s="302" t="s">
        <v>1305</v>
      </c>
      <c r="F4" s="303"/>
      <c r="G4" s="1534"/>
      <c r="H4" s="300" t="s">
        <v>1301</v>
      </c>
      <c r="I4" s="301" t="s">
        <v>1302</v>
      </c>
      <c r="J4" s="301" t="s">
        <v>1303</v>
      </c>
      <c r="K4" s="301" t="s">
        <v>1304</v>
      </c>
      <c r="L4" s="302" t="s">
        <v>1305</v>
      </c>
      <c r="M4" s="303"/>
    </row>
    <row r="5" spans="1:37" ht="18" customHeight="1">
      <c r="A5" s="304">
        <v>1</v>
      </c>
      <c r="B5" s="305" t="s">
        <v>1306</v>
      </c>
      <c r="C5" s="1199">
        <f ca="1">C6+C10+C12</f>
        <v>0</v>
      </c>
      <c r="D5" s="1514" t="s">
        <v>1307</v>
      </c>
      <c r="E5" s="1200"/>
      <c r="F5" s="1201"/>
      <c r="G5" s="1534"/>
      <c r="H5" s="304">
        <v>1</v>
      </c>
      <c r="I5" s="305" t="s">
        <v>1306</v>
      </c>
      <c r="J5" s="1199">
        <f ca="1">J6+J10+J12</f>
        <v>0</v>
      </c>
      <c r="K5" s="1514" t="s">
        <v>1307</v>
      </c>
      <c r="L5" s="1200"/>
      <c r="M5" s="1201"/>
    </row>
    <row r="6" spans="1:37" ht="18" customHeight="1">
      <c r="A6" s="1198" t="s">
        <v>1003</v>
      </c>
      <c r="B6" s="3519" t="s">
        <v>1308</v>
      </c>
      <c r="C6" s="1203">
        <f ca="1">ROUND(F6*F8*F7*(1-F9)/10000,0)</f>
        <v>0</v>
      </c>
      <c r="D6" s="159" t="s">
        <v>2789</v>
      </c>
      <c r="E6" s="307" t="s">
        <v>1310</v>
      </c>
      <c r="F6" s="308">
        <f ca="1">INDIRECT("'数据-取费表'!u"&amp;$G$1)</f>
        <v>0</v>
      </c>
      <c r="G6" s="1534"/>
      <c r="H6" s="1198" t="s">
        <v>1003</v>
      </c>
      <c r="I6" s="3519" t="s">
        <v>1308</v>
      </c>
      <c r="J6" s="306">
        <f ca="1">ROUND(M6*M8*M7*(1-M9)/10000,0)</f>
        <v>0</v>
      </c>
      <c r="K6" s="159" t="s">
        <v>2788</v>
      </c>
      <c r="L6" s="307" t="s">
        <v>1310</v>
      </c>
      <c r="M6" s="308">
        <f ca="1">INDIRECT("'数据-取费表'!z"&amp;$G$1)</f>
        <v>0</v>
      </c>
    </row>
    <row r="7" spans="1:37" ht="18" customHeight="1">
      <c r="A7" s="1202"/>
      <c r="B7" s="3520"/>
      <c r="C7" s="1204"/>
      <c r="D7" s="312"/>
      <c r="E7" s="1205" t="s">
        <v>1311</v>
      </c>
      <c r="F7" s="308">
        <f ca="1">IF(INDIRECT("'数据-取费表'!ah"&amp;$G$1)="",INDIRECT("'数据-取费表'!k"&amp;$G$1),INDIRECT("'数据-取费表'!ah"&amp;$G$1))</f>
        <v>0</v>
      </c>
      <c r="G7" s="1534"/>
      <c r="H7" s="309"/>
      <c r="I7" s="3520"/>
      <c r="J7" s="311"/>
      <c r="K7" s="312"/>
      <c r="L7" s="307" t="s">
        <v>1311</v>
      </c>
      <c r="M7" s="308">
        <f ca="1">F7</f>
        <v>0</v>
      </c>
    </row>
    <row r="8" spans="1:37" ht="18" customHeight="1">
      <c r="A8" s="309"/>
      <c r="B8" s="3520"/>
      <c r="C8" s="311"/>
      <c r="D8" s="312"/>
      <c r="E8" s="307" t="s">
        <v>1312</v>
      </c>
      <c r="F8" s="308">
        <f ca="1">INDIRECT("'数据-取费表'!ai"&amp;$G$1)</f>
        <v>0</v>
      </c>
      <c r="G8" s="1534"/>
      <c r="H8" s="309"/>
      <c r="I8" s="3520"/>
      <c r="J8" s="311"/>
      <c r="K8" s="312"/>
      <c r="L8" s="307" t="s">
        <v>1312</v>
      </c>
      <c r="M8" s="308">
        <f ca="1">INDIRECT("'数据-取费表'!ai"&amp;$G$1)</f>
        <v>0</v>
      </c>
    </row>
    <row r="9" spans="1:37" ht="18" customHeight="1">
      <c r="A9" s="309"/>
      <c r="B9" s="3521"/>
      <c r="C9" s="311"/>
      <c r="D9" s="312"/>
      <c r="E9" s="307" t="s">
        <v>1313</v>
      </c>
      <c r="F9" s="317">
        <f ca="1">INDIRECT("'数据-取费表'!w"&amp;$G$1)</f>
        <v>0</v>
      </c>
      <c r="G9" s="1534"/>
      <c r="H9" s="309"/>
      <c r="I9" s="3521"/>
      <c r="J9" s="311"/>
      <c r="K9" s="312"/>
      <c r="L9" s="318" t="s">
        <v>1313</v>
      </c>
      <c r="M9" s="319">
        <f ca="1">INDIRECT("'数据-取费表'!ab"&amp;$G$1)</f>
        <v>0</v>
      </c>
    </row>
    <row r="10" spans="1:37" ht="18" customHeight="1">
      <c r="A10" s="1198" t="s">
        <v>1007</v>
      </c>
      <c r="B10" s="1515" t="s">
        <v>1314</v>
      </c>
      <c r="C10" s="321">
        <f ca="1">ROUND(IF(F10="押一",C6/12*F11,IF(F10="押二",C6/12*2*F11,IF(F10="押三",C6/12*3*F11,C11*F11))),0)</f>
        <v>0</v>
      </c>
      <c r="D10" s="1516" t="s">
        <v>2797</v>
      </c>
      <c r="E10" s="318" t="s">
        <v>1315</v>
      </c>
      <c r="F10" s="1244"/>
      <c r="G10" s="1534"/>
      <c r="H10" s="1198" t="s">
        <v>1007</v>
      </c>
      <c r="I10" s="1515" t="s">
        <v>1314</v>
      </c>
      <c r="J10" s="306">
        <f ca="1">ROUND(IF(M10="押一",J6/12*M11,IF(M10="押二",J6/12*2*M11,IF(M10="押三",J6/12*3*M11,J11*M11))),0)</f>
        <v>0</v>
      </c>
      <c r="K10" s="1516" t="s">
        <v>2796</v>
      </c>
      <c r="L10" s="318" t="s">
        <v>1315</v>
      </c>
      <c r="M10" s="1244" t="s">
        <v>1316</v>
      </c>
    </row>
    <row r="11" spans="1:37" ht="18" customHeight="1">
      <c r="A11" s="313"/>
      <c r="B11" s="1517" t="s">
        <v>1293</v>
      </c>
      <c r="C11" s="1088"/>
      <c r="D11" s="1518"/>
      <c r="E11" s="318" t="s">
        <v>1317</v>
      </c>
      <c r="F11" s="319">
        <f ca="1">'数据-取费表'!B39</f>
        <v>1.4999999999999999E-2</v>
      </c>
      <c r="G11" s="1534"/>
      <c r="H11" s="1206"/>
      <c r="I11" s="1517" t="s">
        <v>1293</v>
      </c>
      <c r="J11" s="1088"/>
      <c r="K11" s="691"/>
      <c r="L11" s="318" t="s">
        <v>1317</v>
      </c>
      <c r="M11" s="969">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5">
        <f ca="1">ROUND(C29*F13,0)</f>
        <v>0</v>
      </c>
      <c r="D13" s="1209" t="s">
        <v>1320</v>
      </c>
      <c r="E13" s="1209" t="s">
        <v>1321</v>
      </c>
      <c r="F13" s="1210">
        <f ca="1">INDIRECT("'数据-取费表'!y"&amp;$G$1)</f>
        <v>0</v>
      </c>
      <c r="G13" s="1534"/>
      <c r="H13" s="1207">
        <v>2</v>
      </c>
      <c r="I13" s="1208" t="s">
        <v>1319</v>
      </c>
      <c r="J13" s="1197">
        <f ca="1">ROUND(J14*J15,0)</f>
        <v>0</v>
      </c>
      <c r="K13" s="1215" t="s">
        <v>1320</v>
      </c>
      <c r="L13" s="1542"/>
      <c r="M13" s="1543"/>
    </row>
    <row r="14" spans="1:37" ht="18" customHeight="1">
      <c r="A14" s="1111" t="s">
        <v>1002</v>
      </c>
      <c r="B14" s="307" t="s">
        <v>1322</v>
      </c>
      <c r="C14" s="323">
        <f ca="1">INDIRECT("'数据-取费表'!m"&amp;$G$1)+INDIRECT("'数据-取费表'!t"&amp;$G$1)</f>
        <v>0</v>
      </c>
      <c r="D14" s="1495" t="s">
        <v>1323</v>
      </c>
      <c r="E14" s="1492"/>
      <c r="F14" s="324"/>
      <c r="G14" s="1534"/>
      <c r="H14" s="1111" t="s">
        <v>1003</v>
      </c>
      <c r="I14" s="307" t="s">
        <v>1324</v>
      </c>
      <c r="J14" s="24">
        <f ca="1">C29</f>
        <v>0</v>
      </c>
      <c r="K14" s="15"/>
      <c r="L14" s="914"/>
      <c r="M14" s="915"/>
    </row>
    <row r="15" spans="1:37" s="1547" customFormat="1" ht="18" customHeight="1" thickBot="1">
      <c r="A15" s="1111" t="s">
        <v>1004</v>
      </c>
      <c r="B15" s="307" t="s">
        <v>1325</v>
      </c>
      <c r="C15" s="24">
        <f ca="1">ROUND(C14*F15,0)</f>
        <v>0</v>
      </c>
      <c r="D15" s="325" t="s">
        <v>1326</v>
      </c>
      <c r="E15" s="325" t="s">
        <v>1327</v>
      </c>
      <c r="F15" s="326">
        <f>'数据-取费表'!B33</f>
        <v>0.12</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7" t="s">
        <v>1328</v>
      </c>
      <c r="C16" s="24">
        <f ca="1">ROUND(INDIRECT("'数据-取费表'!m"&amp;$G$1)*F16,0)</f>
        <v>0</v>
      </c>
      <c r="D16" s="307" t="s">
        <v>1326</v>
      </c>
      <c r="E16" s="307" t="s">
        <v>1327</v>
      </c>
      <c r="F16" s="327">
        <f ca="1">IF(INDIRECT("'数据-取费表'!c"&amp;$G$1)="住宅",'数据-取费表'!B34,0)</f>
        <v>0</v>
      </c>
      <c r="G16" s="1534"/>
      <c r="H16" s="1207" t="s">
        <v>998</v>
      </c>
      <c r="I16" s="1208" t="s">
        <v>1329</v>
      </c>
      <c r="J16" s="315">
        <f ca="1">ROUND(J17+J22+J23+J24,0)</f>
        <v>0</v>
      </c>
      <c r="K16" s="1215" t="s">
        <v>1330</v>
      </c>
      <c r="L16" s="1216"/>
      <c r="M16" s="1201"/>
    </row>
    <row r="17" spans="1:37" s="1547" customFormat="1" ht="18" customHeight="1">
      <c r="A17" s="1111" t="s">
        <v>1295</v>
      </c>
      <c r="B17" s="307" t="s">
        <v>1331</v>
      </c>
      <c r="C17" s="24">
        <f ca="1">ROUND(F17*(F43+INDIRECT("'数据-取费表'!S"&amp;$G$1))/10000,0)</f>
        <v>0</v>
      </c>
      <c r="D17" s="307" t="s">
        <v>1332</v>
      </c>
      <c r="E17" s="307" t="s">
        <v>1333</v>
      </c>
      <c r="F17" s="26">
        <f>'数据-取费表'!B35</f>
        <v>200</v>
      </c>
      <c r="G17" s="1546"/>
      <c r="H17" s="1111" t="s">
        <v>1003</v>
      </c>
      <c r="I17" s="307" t="s">
        <v>1334</v>
      </c>
      <c r="J17" s="2500">
        <f ca="1">ROUND(IF(AND(项目基本情况!B11="自然人",项目基本情况!B10="北京市"),J6*M17/(1+'数据-取费表'!C42),J18+J19+J20),0)</f>
        <v>0</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7" t="s">
        <v>1337</v>
      </c>
      <c r="C18" s="24">
        <f ca="1">ROUND(C14*F18,0)</f>
        <v>0</v>
      </c>
      <c r="D18" s="307" t="s">
        <v>1326</v>
      </c>
      <c r="E18" s="307" t="s">
        <v>1327</v>
      </c>
      <c r="F18" s="327">
        <f>'数据-取费表'!B36</f>
        <v>1.4999999999999999E-2</v>
      </c>
      <c r="G18" s="1546"/>
      <c r="H18" s="1111" t="s">
        <v>1002</v>
      </c>
      <c r="I18" s="307" t="s">
        <v>1338</v>
      </c>
      <c r="J18" s="24">
        <f ca="1">ROUND(J6*M18/(1+'数据-取费表'!C42),2)</f>
        <v>0</v>
      </c>
      <c r="K18" s="1494" t="s">
        <v>1339</v>
      </c>
      <c r="L18" s="307" t="s">
        <v>1327</v>
      </c>
      <c r="M18" s="327">
        <f>'数据-取费表'!B41</f>
        <v>0</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7" t="s">
        <v>1340</v>
      </c>
      <c r="C19" s="24">
        <f ca="1">SUM(C14:C18)</f>
        <v>0</v>
      </c>
      <c r="D19" s="135" t="s">
        <v>1341</v>
      </c>
      <c r="E19" s="1510"/>
      <c r="F19" s="26"/>
      <c r="G19" s="1534"/>
      <c r="H19" s="1111" t="s">
        <v>1004</v>
      </c>
      <c r="I19" s="307" t="s">
        <v>1342</v>
      </c>
      <c r="J19" s="24">
        <f ca="1">IF(K19="按租金收入计税",ROUND(J6*M19/(1+'数据-取费表'!C42),2),ROUND(C29*M19*0.7,2))</f>
        <v>0</v>
      </c>
      <c r="K19" s="1520" t="s">
        <v>1343</v>
      </c>
      <c r="L19" s="307" t="s">
        <v>1327</v>
      </c>
      <c r="M19" s="327">
        <f>IF(K19="按租金收入计税",'数据-取费表'!B51,'数据-取费表'!B50)</f>
        <v>1.2E-2</v>
      </c>
    </row>
    <row r="20" spans="1:37" s="1547" customFormat="1" ht="18" customHeight="1">
      <c r="A20" s="1111" t="s">
        <v>1007</v>
      </c>
      <c r="B20" s="307" t="s">
        <v>1344</v>
      </c>
      <c r="C20" s="24">
        <f ca="1">ROUND(C19*F20,0)</f>
        <v>0</v>
      </c>
      <c r="D20" s="328" t="s">
        <v>1345</v>
      </c>
      <c r="E20" s="307" t="s">
        <v>1327</v>
      </c>
      <c r="F20" s="327">
        <f>'数据-取费表'!B37</f>
        <v>0.02</v>
      </c>
      <c r="G20" s="1546"/>
      <c r="H20" s="1111" t="s">
        <v>1294</v>
      </c>
      <c r="I20" s="159" t="s">
        <v>1346</v>
      </c>
      <c r="J20" s="25">
        <f ca="1">ROUND(M20*M21/10000,2)</f>
        <v>0</v>
      </c>
      <c r="K20" s="329" t="s">
        <v>1347</v>
      </c>
      <c r="L20" s="307" t="s">
        <v>1348</v>
      </c>
      <c r="M20" s="330">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7" t="s">
        <v>1349</v>
      </c>
      <c r="C21" s="24" t="s">
        <v>18</v>
      </c>
      <c r="D21" s="328" t="s">
        <v>1350</v>
      </c>
      <c r="E21" s="307" t="s">
        <v>1351</v>
      </c>
      <c r="F21" s="327">
        <f>'数据-取费表'!B38</f>
        <v>0</v>
      </c>
      <c r="G21" s="1546"/>
      <c r="H21" s="331"/>
      <c r="I21" s="316"/>
      <c r="J21" s="29"/>
      <c r="K21" s="332"/>
      <c r="L21" s="307" t="s">
        <v>1352</v>
      </c>
      <c r="M21" s="308">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0"/>
      <c r="F22" s="26"/>
      <c r="G22" s="1534"/>
      <c r="H22" s="1111" t="s">
        <v>1007</v>
      </c>
      <c r="I22" s="307" t="s">
        <v>1354</v>
      </c>
      <c r="J22" s="24">
        <f ca="1">ROUND(J14*M22,1)</f>
        <v>0</v>
      </c>
      <c r="K22" s="1494" t="s">
        <v>1355</v>
      </c>
      <c r="L22" s="307" t="s">
        <v>1327</v>
      </c>
      <c r="M22" s="333">
        <f ca="1">INDIRECT("'数据-取费表'!Ak"&amp;$G$1)</f>
        <v>0</v>
      </c>
    </row>
    <row r="23" spans="1:37" s="1547"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6"/>
      <c r="H23" s="1111" t="s">
        <v>1043</v>
      </c>
      <c r="I23" s="307" t="s">
        <v>1358</v>
      </c>
      <c r="J23" s="24">
        <f ca="1">ROUND(J13*M23,1)</f>
        <v>0</v>
      </c>
      <c r="K23" s="1494" t="s">
        <v>1359</v>
      </c>
      <c r="L23" s="307" t="s">
        <v>1360</v>
      </c>
      <c r="M23" s="335">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1361</v>
      </c>
      <c r="B24" s="307" t="s">
        <v>1362</v>
      </c>
      <c r="C24" s="24">
        <f>ROUND(IF('数据-取费表'!B22&lt;=1,F21*F24*F23/2,F21*(POWER((1+F24),F23/2)-1)),4)</f>
        <v>0</v>
      </c>
      <c r="D24" s="334" t="str">
        <f>IF(F23&lt;=1,"销售费用×利率×(建设周期÷2)","销售费用×((1+利率)^(建设周期÷2)-1)")</f>
        <v>销售费用×((1+利率)^(建设周期÷2)-1)</v>
      </c>
      <c r="E24" s="307" t="s">
        <v>1363</v>
      </c>
      <c r="F24" s="336">
        <f>'数据-取费表'!B40</f>
        <v>4.7500000000000001E-2</v>
      </c>
      <c r="G24" s="1546"/>
      <c r="H24" s="1217" t="s">
        <v>1298</v>
      </c>
      <c r="I24" s="1218" t="s">
        <v>1344</v>
      </c>
      <c r="J24" s="1219">
        <f ca="1">ROUND(J5*M24,1)</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11" t="s">
        <v>1365</v>
      </c>
      <c r="B25" s="307" t="s">
        <v>1366</v>
      </c>
      <c r="C25" s="24"/>
      <c r="D25" s="135" t="s">
        <v>1367</v>
      </c>
      <c r="E25" s="1510"/>
      <c r="F25" s="26"/>
      <c r="G25" s="1534"/>
      <c r="H25" s="1207" t="s">
        <v>999</v>
      </c>
      <c r="I25" s="1222" t="s">
        <v>1368</v>
      </c>
      <c r="J25" s="315">
        <f ca="1">J5-J16</f>
        <v>0</v>
      </c>
      <c r="K25" s="1223" t="s">
        <v>1369</v>
      </c>
      <c r="L25" s="1224"/>
      <c r="M25" s="1225"/>
    </row>
    <row r="26" spans="1:37">
      <c r="A26" s="1111" t="s">
        <v>1002</v>
      </c>
      <c r="B26" s="307" t="s">
        <v>1370</v>
      </c>
      <c r="C26" s="24">
        <f ca="1">ROUND((C19+C20)*F26,0)</f>
        <v>0</v>
      </c>
      <c r="D26" s="328" t="s">
        <v>1371</v>
      </c>
      <c r="E26" s="318" t="s">
        <v>1372</v>
      </c>
      <c r="F26" s="317">
        <f ca="1">INDIRECT("'数据-取费表'!q"&amp;$G$1)</f>
        <v>0</v>
      </c>
      <c r="G26" s="1534"/>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4"/>
      <c r="H27" s="309"/>
      <c r="I27" s="310"/>
      <c r="J27" s="311"/>
      <c r="K27" s="337" t="s">
        <v>1378</v>
      </c>
      <c r="L27" s="307" t="s">
        <v>1379</v>
      </c>
      <c r="M27" s="338">
        <f ca="1">INDIRECT("'数据-取费表'!ag"&amp;$G$1)</f>
        <v>0</v>
      </c>
    </row>
    <row r="28" spans="1:37" s="1547" customFormat="1" ht="18" customHeight="1">
      <c r="A28" s="1111" t="s">
        <v>1005</v>
      </c>
      <c r="B28" s="307" t="s">
        <v>1380</v>
      </c>
      <c r="C28" s="24">
        <f>ROUND(F28/(1+'数据-取费表'!C42),4)</f>
        <v>0</v>
      </c>
      <c r="D28" s="328" t="s">
        <v>1381</v>
      </c>
      <c r="E28" s="307" t="s">
        <v>1327</v>
      </c>
      <c r="F28" s="327">
        <f>'数据-取费表'!B41</f>
        <v>0</v>
      </c>
      <c r="G28" s="1546"/>
      <c r="H28" s="313"/>
      <c r="I28" s="314"/>
      <c r="J28" s="315"/>
      <c r="K28" s="332"/>
      <c r="L28" s="307" t="s">
        <v>1382</v>
      </c>
      <c r="M28" s="3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39" t="s">
        <v>1001</v>
      </c>
      <c r="I29" s="340" t="s">
        <v>1384</v>
      </c>
      <c r="J29" s="341">
        <f ca="1">ROUND(J26/(1+F40)^F41,0)</f>
        <v>0</v>
      </c>
      <c r="K29" s="342" t="s">
        <v>1385</v>
      </c>
      <c r="L29" s="343"/>
      <c r="M29" s="344">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5">
        <f ca="1">ROUND(C31+C36+C37+C38,0)</f>
        <v>0</v>
      </c>
      <c r="D30" s="1215" t="s">
        <v>1330</v>
      </c>
      <c r="E30" s="1216"/>
      <c r="F30" s="1201"/>
      <c r="G30" s="1534"/>
      <c r="H30" s="2891"/>
      <c r="I30" s="1548"/>
      <c r="J30" s="1549"/>
      <c r="K30" s="2666"/>
      <c r="L30" s="2892"/>
      <c r="M30" s="2893"/>
    </row>
    <row r="31" spans="1:37" ht="18" customHeight="1">
      <c r="A31" s="1111" t="s">
        <v>1003</v>
      </c>
      <c r="B31" s="307" t="s">
        <v>1334</v>
      </c>
      <c r="C31" s="2500">
        <f ca="1">ROUND(IF(AND(项目基本情况!B11="自然人",项目基本情况!B10="北京市"),C6*F31/(1+'数据-取费表'!C42),C32+C33+C34),0)</f>
        <v>0</v>
      </c>
      <c r="D31" s="1495" t="s">
        <v>1335</v>
      </c>
      <c r="E31" s="1494" t="s">
        <v>1386</v>
      </c>
      <c r="F31" s="2499" t="str">
        <f>IF(项目基本情况!B11="企业","——",IF('数据-取费表'!B10="住宅",IF(F6*F7*F8/12/(1+'数据-取费表'!F30)&gt;100000,4%,2.5%),IF(F6*F7*F8/12/(1+'数据-取费表'!F30)&gt;100000,12%,7%)))</f>
        <v>——</v>
      </c>
      <c r="G31" s="1534"/>
      <c r="H31" s="3004" t="s">
        <v>2996</v>
      </c>
      <c r="I31" s="1548"/>
      <c r="J31" s="1549"/>
      <c r="K31" s="2666"/>
      <c r="L31" s="2892"/>
      <c r="M31" s="2893"/>
    </row>
    <row r="32" spans="1:37" ht="18" customHeight="1">
      <c r="A32" s="1111" t="s">
        <v>1002</v>
      </c>
      <c r="B32" s="307" t="s">
        <v>1338</v>
      </c>
      <c r="C32" s="24">
        <f ca="1">IF(项目基本情况!B11="自然人","——",ROUND(C6*F32/(1+'数据-取费表'!C42),2))</f>
        <v>0</v>
      </c>
      <c r="D32" s="1494" t="s">
        <v>1339</v>
      </c>
      <c r="E32" s="307" t="s">
        <v>1327</v>
      </c>
      <c r="F32" s="336">
        <f>'数据-取费表'!B41</f>
        <v>0</v>
      </c>
      <c r="G32" s="1534"/>
      <c r="H32" s="2891"/>
      <c r="I32" s="1548"/>
      <c r="J32" s="1549"/>
      <c r="K32" s="2666"/>
      <c r="L32" s="2892"/>
      <c r="M32" s="2893"/>
    </row>
    <row r="33" spans="1:18" ht="18" customHeight="1">
      <c r="A33" s="1111" t="s">
        <v>1004</v>
      </c>
      <c r="B33" s="307" t="s">
        <v>1342</v>
      </c>
      <c r="C33" s="24">
        <f ca="1">IF(项目基本情况!B11="自然人","——",IF(D33="按租金收入计税",ROUND(C6*F33/(1+'数据-取费表'!C42),2),IF(D33="按房产原值计税",ROUND(C29*F33*0.7,2),INDIRECT("'数据-取费表'!Aj"&amp;$G$1))))</f>
        <v>0</v>
      </c>
      <c r="D33" s="1520" t="s">
        <v>1343</v>
      </c>
      <c r="E33" s="307" t="s">
        <v>1327</v>
      </c>
      <c r="F33" s="327">
        <f>IF(D33="按票据","——",IF(D33="按租金收入计税",'数据-取费表'!B51,'数据-取费表'!B50))</f>
        <v>1.2E-2</v>
      </c>
      <c r="G33" s="1534"/>
      <c r="H33" s="2894"/>
      <c r="I33" s="1548"/>
      <c r="J33" s="1549"/>
      <c r="K33" s="2895"/>
      <c r="L33" s="2894"/>
      <c r="M33" s="2894"/>
    </row>
    <row r="34" spans="1:18" ht="18" customHeight="1">
      <c r="A34" s="1198" t="s">
        <v>1294</v>
      </c>
      <c r="B34" s="159" t="s">
        <v>1346</v>
      </c>
      <c r="C34" s="25">
        <f ca="1">IF(项目基本情况!B11="自然人","——",ROUND(F34*F35/10000,2))</f>
        <v>0</v>
      </c>
      <c r="D34" s="329" t="s">
        <v>1347</v>
      </c>
      <c r="E34" s="307" t="s">
        <v>1348</v>
      </c>
      <c r="F34" s="330">
        <f>'数据-取费表'!B52</f>
        <v>1.5</v>
      </c>
      <c r="G34" s="1534"/>
      <c r="H34" s="2891"/>
      <c r="I34" s="1548"/>
      <c r="J34" s="1549"/>
      <c r="K34" s="2896"/>
      <c r="L34" s="2897"/>
      <c r="M34" s="2897"/>
    </row>
    <row r="35" spans="1:18" ht="18" customHeight="1">
      <c r="A35" s="1231"/>
      <c r="B35" s="1229"/>
      <c r="C35" s="29"/>
      <c r="D35" s="332"/>
      <c r="E35" s="307" t="s">
        <v>1352</v>
      </c>
      <c r="F35" s="308">
        <f ca="1">INDIRECT("'数据-取费表'!r"&amp;$G$1)</f>
        <v>0</v>
      </c>
      <c r="G35" s="1534"/>
      <c r="H35" s="2891"/>
      <c r="I35" s="1548"/>
      <c r="J35" s="1549"/>
      <c r="K35" s="2895"/>
      <c r="L35" s="2894"/>
      <c r="M35" s="2894"/>
    </row>
    <row r="36" spans="1:18" ht="18" customHeight="1">
      <c r="A36" s="1230" t="s">
        <v>1007</v>
      </c>
      <c r="B36" s="307" t="s">
        <v>1354</v>
      </c>
      <c r="C36" s="24">
        <f ca="1">ROUND(C29*F36,1)</f>
        <v>0</v>
      </c>
      <c r="D36" s="1494" t="s">
        <v>1387</v>
      </c>
      <c r="E36" s="307" t="s">
        <v>1327</v>
      </c>
      <c r="F36" s="333">
        <f ca="1">INDIRECT("'数据-取费表'!Ak"&amp;$G$1)</f>
        <v>0</v>
      </c>
      <c r="G36" s="1534"/>
      <c r="H36" s="2894"/>
      <c r="I36" s="1548"/>
      <c r="J36" s="1549"/>
      <c r="K36" s="2735"/>
      <c r="L36" s="2894"/>
      <c r="M36" s="2894"/>
    </row>
    <row r="37" spans="1:18" ht="18" customHeight="1">
      <c r="A37" s="1111" t="s">
        <v>1043</v>
      </c>
      <c r="B37" s="307" t="s">
        <v>1358</v>
      </c>
      <c r="C37" s="24">
        <f ca="1">ROUND(C13*F37,1)</f>
        <v>0</v>
      </c>
      <c r="D37" s="1494" t="s">
        <v>1359</v>
      </c>
      <c r="E37" s="307" t="s">
        <v>1360</v>
      </c>
      <c r="F37" s="335">
        <f ca="1">INDIRECT("'数据-取费表'!Al"&amp;$G$1)</f>
        <v>0</v>
      </c>
      <c r="G37" s="1534"/>
      <c r="H37" s="2894"/>
      <c r="I37" s="1548"/>
      <c r="J37" s="1549"/>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4"/>
      <c r="H38" s="2894"/>
      <c r="I38" s="1548"/>
      <c r="J38" s="1549"/>
      <c r="K38" s="2898"/>
      <c r="L38" s="2894"/>
      <c r="M38" s="2894"/>
    </row>
    <row r="39" spans="1:18" ht="24.6" customHeight="1" thickTop="1">
      <c r="A39" s="1207" t="s">
        <v>999</v>
      </c>
      <c r="B39" s="1222" t="s">
        <v>1388</v>
      </c>
      <c r="C39" s="315">
        <f ca="1">C5-C30</f>
        <v>0</v>
      </c>
      <c r="D39" s="1223" t="s">
        <v>1389</v>
      </c>
      <c r="E39" s="1224"/>
      <c r="F39" s="1225"/>
      <c r="G39" s="1534"/>
      <c r="H39" s="2894"/>
      <c r="I39" s="1548"/>
      <c r="J39" s="1549"/>
      <c r="K39" s="2898"/>
      <c r="L39" s="2894"/>
      <c r="M39" s="2894"/>
    </row>
    <row r="40" spans="1:18" ht="18" customHeight="1">
      <c r="A40" s="304" t="s">
        <v>1000</v>
      </c>
      <c r="B40" s="305" t="s">
        <v>1390</v>
      </c>
      <c r="C40" s="306" t="e">
        <f ca="1">ROUND(C39*(1-((1+F42)/(1+F40))^F41)/(F40-F42),0)</f>
        <v>#DIV/0!</v>
      </c>
      <c r="D40" s="329" t="s">
        <v>1374</v>
      </c>
      <c r="E40" s="307" t="s">
        <v>1375</v>
      </c>
      <c r="F40" s="317">
        <f ca="1">INDIRECT("'数据-取费表'!I"&amp;$G$1)</f>
        <v>0</v>
      </c>
      <c r="G40" s="1534"/>
      <c r="H40" s="1611"/>
      <c r="I40" s="1548"/>
      <c r="J40" s="1549"/>
      <c r="K40" s="2898"/>
      <c r="L40" s="1611"/>
      <c r="M40" s="1611"/>
    </row>
    <row r="41" spans="1:18" ht="18" customHeight="1">
      <c r="A41" s="309"/>
      <c r="B41" s="310"/>
      <c r="C41" s="311"/>
      <c r="D41" s="337" t="s">
        <v>1391</v>
      </c>
      <c r="E41" s="307" t="s">
        <v>1379</v>
      </c>
      <c r="F41" s="338">
        <f ca="1">IF(INDIRECT("'数据-取费表'!af"&amp;$G$1)=0,INDIRECT("'数据-取费表'!ae"&amp;$G$1),INDIRECT("'数据-取费表'!af"&amp;$G$1))</f>
        <v>0</v>
      </c>
      <c r="G41" s="1534"/>
      <c r="H41" s="1321"/>
      <c r="I41" s="1548"/>
      <c r="J41" s="1549"/>
      <c r="K41" s="2735"/>
      <c r="L41" s="1321"/>
      <c r="M41" s="1321"/>
    </row>
    <row r="42" spans="1:18" ht="18" customHeight="1">
      <c r="A42" s="313"/>
      <c r="B42" s="314"/>
      <c r="C42" s="315"/>
      <c r="D42" s="332"/>
      <c r="E42" s="307" t="s">
        <v>1382</v>
      </c>
      <c r="F42" s="317">
        <f ca="1">INDIRECT("'数据-取费表'!v"&amp;$G$1)</f>
        <v>0</v>
      </c>
      <c r="G42" s="1534"/>
      <c r="H42" s="1321"/>
      <c r="I42" s="1548"/>
      <c r="J42" s="1549"/>
      <c r="K42" s="2735"/>
      <c r="L42" s="1321"/>
      <c r="M42" s="1321"/>
    </row>
    <row r="43" spans="1:18" ht="18" customHeight="1" thickBot="1">
      <c r="A43" s="339" t="s">
        <v>1001</v>
      </c>
      <c r="B43" s="340" t="s">
        <v>1392</v>
      </c>
      <c r="C43" s="341" t="e">
        <f ca="1">ROUND(C40*10000/F43,0)</f>
        <v>#DIV/0!</v>
      </c>
      <c r="D43" s="342" t="s">
        <v>1393</v>
      </c>
      <c r="E43" s="343" t="s">
        <v>1394</v>
      </c>
      <c r="F43" s="344">
        <f ca="1">INDIRECT("'数据-取费表'!k"&amp;$G$1)</f>
        <v>0</v>
      </c>
      <c r="G43" s="1534"/>
      <c r="H43" s="1321"/>
      <c r="I43" s="1321"/>
      <c r="J43" s="1321"/>
      <c r="K43" s="2735"/>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3"/>
      <c r="O45" s="2899" t="s">
        <v>1424</v>
      </c>
      <c r="P45" s="1611"/>
      <c r="Q45" s="1611"/>
      <c r="R45" s="1611"/>
    </row>
    <row r="46" spans="1:18" s="1534" customFormat="1" ht="13.5" thickBot="1">
      <c r="A46" s="1554" t="s">
        <v>1425</v>
      </c>
      <c r="C46" s="1555" t="e">
        <f ca="1">C68-C40</f>
        <v>#DIV/0!</v>
      </c>
      <c r="D46" s="1556" t="str">
        <f>C2</f>
        <v>万元</v>
      </c>
      <c r="E46" s="1550"/>
      <c r="F46" s="1550"/>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5" t="s">
        <v>1301</v>
      </c>
      <c r="B47" s="1107" t="s">
        <v>1302</v>
      </c>
      <c r="C47" s="1245" t="s">
        <v>1303</v>
      </c>
      <c r="D47" s="1107" t="s">
        <v>1304</v>
      </c>
      <c r="E47" s="1186" t="s">
        <v>1305</v>
      </c>
      <c r="F47" s="1187"/>
      <c r="G47" s="729"/>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5" t="s">
        <v>1306</v>
      </c>
      <c r="C48" s="1509">
        <f ca="1">C49+C53+C55</f>
        <v>0</v>
      </c>
      <c r="D48" s="1240"/>
      <c r="E48" s="1241"/>
      <c r="F48" s="1091"/>
      <c r="G48" s="729"/>
      <c r="H48" s="730"/>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4" t="s">
        <v>1045</v>
      </c>
      <c r="B49" s="1521" t="s">
        <v>1395</v>
      </c>
      <c r="C49" s="1242">
        <f ca="1">ROUND(F49*F51*F50*(1-F52)/10000,0)</f>
        <v>0</v>
      </c>
      <c r="D49" s="1183" t="s">
        <v>2790</v>
      </c>
      <c r="E49" s="1522" t="s">
        <v>1396</v>
      </c>
      <c r="F49" s="1188"/>
      <c r="G49" s="1575"/>
      <c r="H49" s="730"/>
      <c r="I49" s="1571" t="s">
        <v>1439</v>
      </c>
      <c r="J49" s="1576"/>
      <c r="K49" s="1573" t="s">
        <v>1440</v>
      </c>
      <c r="L49" s="1577"/>
      <c r="O49" s="1578" t="s">
        <v>1010</v>
      </c>
      <c r="P49" s="1569" t="s">
        <v>1441</v>
      </c>
      <c r="Q49" s="1570">
        <f ca="1">C29</f>
        <v>0</v>
      </c>
      <c r="R49" s="1570" t="s">
        <v>1434</v>
      </c>
    </row>
    <row r="50" spans="1:18" s="1534" customFormat="1" ht="13.5" thickBot="1">
      <c r="A50" s="1105"/>
      <c r="B50" s="1108"/>
      <c r="C50" s="1246"/>
      <c r="D50" s="1082"/>
      <c r="E50" s="1184" t="s">
        <v>1311</v>
      </c>
      <c r="F50" s="1185">
        <f ca="1">F7</f>
        <v>0</v>
      </c>
      <c r="H50" s="730"/>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6"/>
      <c r="B51" s="1108"/>
      <c r="C51" s="1109"/>
      <c r="D51" s="1082"/>
      <c r="E51" s="1110" t="s">
        <v>1312</v>
      </c>
      <c r="F51" s="308">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6"/>
      <c r="B52" s="1108"/>
      <c r="C52" s="1109"/>
      <c r="D52" s="1082"/>
      <c r="E52" s="1110" t="s">
        <v>1313</v>
      </c>
      <c r="F52" s="1182"/>
      <c r="I52" s="1587" t="s">
        <v>1448</v>
      </c>
      <c r="J52" s="1588"/>
      <c r="K52" s="1587" t="s">
        <v>1449</v>
      </c>
      <c r="L52" s="1588"/>
      <c r="O52" s="1578" t="s">
        <v>1013</v>
      </c>
      <c r="P52" s="1569" t="s">
        <v>1450</v>
      </c>
      <c r="Q52" s="1570">
        <f ca="1">J53</f>
        <v>0</v>
      </c>
      <c r="R52" s="1570" t="s">
        <v>1451</v>
      </c>
    </row>
    <row r="53" spans="1:18" s="1534" customFormat="1" ht="24.75" thickBot="1">
      <c r="A53" s="1282" t="s">
        <v>1046</v>
      </c>
      <c r="B53" s="1523" t="s">
        <v>1314</v>
      </c>
      <c r="C53" s="321">
        <f ca="1">ROUND(IF(F53="押一",C49/12*F11,IF(F53="押二",C49/12*2*F11,IF(F53="押三",C49/12*3*F11,C54*F11))),0)</f>
        <v>0</v>
      </c>
      <c r="D53" s="1516" t="s">
        <v>2796</v>
      </c>
      <c r="E53" s="318" t="s">
        <v>1315</v>
      </c>
      <c r="F53" s="1244"/>
      <c r="I53" s="1589" t="s">
        <v>1452</v>
      </c>
      <c r="J53" s="2352">
        <f ca="1">IF(M47="住宅",IF(D1="——",MAX(J51,L48),MAX(J51,L48-'数据-取费表'!B24)),IF(D1="——",MIN(J51,L48),MIN(J51,L48-'数据-取费表'!B24)))</f>
        <v>0</v>
      </c>
      <c r="K53" s="3517" t="s">
        <v>1453</v>
      </c>
      <c r="L53" s="3518"/>
      <c r="O53" s="1568" t="s">
        <v>1014</v>
      </c>
      <c r="P53" s="1569" t="s">
        <v>1454</v>
      </c>
      <c r="Q53" s="1570" t="e">
        <f ca="1">Q47+Q48</f>
        <v>#DIV/0!</v>
      </c>
      <c r="R53" s="1570" t="s">
        <v>1015</v>
      </c>
    </row>
    <row r="54" spans="1:18" s="1534" customFormat="1" ht="13.5" thickBot="1">
      <c r="A54" s="1283"/>
      <c r="B54" s="1517" t="s">
        <v>1293</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t="s">
        <v>1458</v>
      </c>
      <c r="O55" s="1561" t="s">
        <v>1427</v>
      </c>
      <c r="P55" s="1562" t="s">
        <v>1428</v>
      </c>
      <c r="Q55" s="1563" t="s">
        <v>1429</v>
      </c>
      <c r="R55" s="1563" t="s">
        <v>1430</v>
      </c>
    </row>
    <row r="56" spans="1:18" s="1534" customFormat="1" ht="25.5" thickTop="1" thickBot="1">
      <c r="A56" s="1086">
        <v>2</v>
      </c>
      <c r="B56" s="1087" t="s">
        <v>1319</v>
      </c>
      <c r="C56" s="237">
        <f ca="1">C13</f>
        <v>0</v>
      </c>
      <c r="D56" s="1597"/>
      <c r="E56" s="1598"/>
      <c r="F56" s="1590"/>
      <c r="I56" s="1599" t="s">
        <v>1459</v>
      </c>
      <c r="J56" s="1600"/>
      <c r="K56" s="1571" t="s">
        <v>1460</v>
      </c>
      <c r="L56" s="1574">
        <f ca="1">IF(L48&lt;J51,"——",L48-J53)</f>
        <v>0</v>
      </c>
      <c r="O56" s="1568" t="s">
        <v>1008</v>
      </c>
      <c r="P56" s="1569" t="s">
        <v>1433</v>
      </c>
      <c r="Q56" s="1570" t="e">
        <f ca="1">C40+J29</f>
        <v>#DIV/0!</v>
      </c>
      <c r="R56" s="1570" t="s">
        <v>1434</v>
      </c>
    </row>
    <row r="57" spans="1:18" s="1534" customFormat="1" ht="24.75" thickBot="1">
      <c r="A57" s="1601"/>
      <c r="B57" s="1079" t="s">
        <v>1383</v>
      </c>
      <c r="C57" s="243">
        <f ca="1">C29</f>
        <v>0</v>
      </c>
      <c r="D57" s="1602"/>
      <c r="E57" s="1603"/>
      <c r="F57" s="1604"/>
      <c r="I57" s="1605" t="s">
        <v>1461</v>
      </c>
      <c r="J57" s="1606">
        <f ca="1">IF(OR(M47="住宅",J51&lt;L48,J56="是"),"——",J51-L48)</f>
        <v>0</v>
      </c>
      <c r="K57" s="1571" t="s">
        <v>1462</v>
      </c>
      <c r="L57" s="1574">
        <f ca="1">IF(L48&lt;J51,"——",IF(L55="比较法",L49,IF(L55="基准地价",L50,L51)))</f>
        <v>0</v>
      </c>
      <c r="O57" s="1568" t="s">
        <v>1009</v>
      </c>
      <c r="P57" s="1569" t="s">
        <v>1463</v>
      </c>
      <c r="Q57" s="1570" t="e">
        <f ca="1">L60</f>
        <v>#DIV/0!</v>
      </c>
      <c r="R57" s="1570" t="s">
        <v>1464</v>
      </c>
    </row>
    <row r="58" spans="1:18" s="1534" customFormat="1" ht="24.75" thickBot="1">
      <c r="A58" s="320" t="s">
        <v>998</v>
      </c>
      <c r="B58" s="1087" t="s">
        <v>1329</v>
      </c>
      <c r="C58" s="321">
        <f ca="1">ROUND(C59+C64+C65+C66,0)</f>
        <v>0</v>
      </c>
      <c r="D58" s="1089" t="s">
        <v>1330</v>
      </c>
      <c r="E58" s="1090"/>
      <c r="F58" s="1091"/>
      <c r="I58" s="1605" t="s">
        <v>1465</v>
      </c>
      <c r="J58" s="1607" t="e">
        <f ca="1">IF(J55&lt;0.4,0.4,J55)</f>
        <v>#DIV/0!</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11" t="s">
        <v>1002</v>
      </c>
      <c r="B60" s="1079" t="s">
        <v>1338</v>
      </c>
      <c r="C60" s="24">
        <f ca="1">IF(项目基本情况!B11="自然人","——",ROUND(C48*F60/(1+'数据-取费表'!C42),2))</f>
        <v>0</v>
      </c>
      <c r="D60" s="1093" t="s">
        <v>1339</v>
      </c>
      <c r="E60" s="1079" t="s">
        <v>1327</v>
      </c>
      <c r="F60" s="336">
        <f t="shared" ref="F60:F66" si="0">F32</f>
        <v>0</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11" t="s">
        <v>1397</v>
      </c>
      <c r="B61" s="1079" t="s">
        <v>1398</v>
      </c>
      <c r="C61" s="24">
        <f ca="1">IF(项目基本情况!B11="自然人","——",IF(D61="按租金收入计税",ROUND(C49*F61/(1+'数据-取费表'!C42),2),IF(D61="按房产原值计税",ROUND(C57*F61*0.7,2),INDIRECT("'数据-取费表'!Aj"&amp;$G$1))))</f>
        <v>0</v>
      </c>
      <c r="D61" s="1520" t="s">
        <v>1343</v>
      </c>
      <c r="E61" s="1079" t="s">
        <v>1399</v>
      </c>
      <c r="F61" s="327">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11" t="s">
        <v>1400</v>
      </c>
      <c r="B62" s="1078" t="s">
        <v>1401</v>
      </c>
      <c r="C62" s="25">
        <f ca="1">IF(项目基本情况!B11="自然人","——",ROUND(F62*F63/10000,2))</f>
        <v>0</v>
      </c>
      <c r="D62" s="1094" t="s">
        <v>1402</v>
      </c>
      <c r="E62" s="1079" t="s">
        <v>1403</v>
      </c>
      <c r="F62" s="330">
        <f t="shared" si="0"/>
        <v>1.5</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1"/>
      <c r="B63" s="1085"/>
      <c r="C63" s="29"/>
      <c r="D63" s="1095"/>
      <c r="E63" s="1079" t="s">
        <v>1404</v>
      </c>
      <c r="F63" s="308">
        <f t="shared" ca="1" si="0"/>
        <v>0</v>
      </c>
      <c r="I63" s="1612" t="s">
        <v>1481</v>
      </c>
      <c r="J63" s="1613">
        <v>70</v>
      </c>
      <c r="K63" s="1613">
        <v>50</v>
      </c>
      <c r="L63" s="1613">
        <v>80</v>
      </c>
      <c r="M63" s="1615">
        <v>0.02</v>
      </c>
      <c r="O63" s="1553" t="s">
        <v>1482</v>
      </c>
      <c r="P63" s="1531"/>
      <c r="Q63" s="1531"/>
      <c r="R63" s="1531"/>
    </row>
    <row r="64" spans="1:18" s="1534" customFormat="1" ht="13.5" thickBot="1">
      <c r="A64" s="1111" t="s">
        <v>1405</v>
      </c>
      <c r="B64" s="1079" t="s">
        <v>1406</v>
      </c>
      <c r="C64" s="24">
        <f ca="1">ROUND(C57*F64,1)</f>
        <v>0</v>
      </c>
      <c r="D64" s="1093" t="s">
        <v>1407</v>
      </c>
      <c r="E64" s="1079" t="s">
        <v>1399</v>
      </c>
      <c r="F64" s="333">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11" t="s">
        <v>1408</v>
      </c>
      <c r="B65" s="1079" t="s">
        <v>1358</v>
      </c>
      <c r="C65" s="24">
        <f ca="1">ROUND(C56*F65,1)</f>
        <v>0</v>
      </c>
      <c r="D65" s="1093" t="s">
        <v>1359</v>
      </c>
      <c r="E65" s="1079" t="s">
        <v>1360</v>
      </c>
      <c r="F65" s="335">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11" t="s">
        <v>1409</v>
      </c>
      <c r="B66" s="1079" t="s">
        <v>1344</v>
      </c>
      <c r="C66" s="24">
        <f ca="1">ROUND(C48*F66,1)</f>
        <v>0</v>
      </c>
      <c r="D66" s="1093" t="s">
        <v>1410</v>
      </c>
      <c r="E66" s="1079" t="s">
        <v>1327</v>
      </c>
      <c r="F66" s="317">
        <f t="shared" ca="1" si="0"/>
        <v>0</v>
      </c>
      <c r="O66" s="1568" t="s">
        <v>1009</v>
      </c>
      <c r="P66" s="1569" t="s">
        <v>1463</v>
      </c>
      <c r="Q66" s="1570" t="e">
        <f ca="1">L60</f>
        <v>#DIV/0!</v>
      </c>
      <c r="R66" s="1570" t="s">
        <v>1486</v>
      </c>
    </row>
    <row r="67" spans="1:18" s="1534" customFormat="1" ht="16.5" thickBot="1">
      <c r="A67" s="1086" t="s">
        <v>999</v>
      </c>
      <c r="B67" s="1096" t="s">
        <v>1368</v>
      </c>
      <c r="C67" s="321">
        <f ca="1">C48-C58</f>
        <v>0</v>
      </c>
      <c r="D67" s="1092" t="s">
        <v>1369</v>
      </c>
      <c r="E67" s="1097"/>
      <c r="F67" s="1098"/>
      <c r="O67" s="1578" t="s">
        <v>1010</v>
      </c>
      <c r="P67" s="1569" t="s">
        <v>1467</v>
      </c>
      <c r="Q67" s="1616">
        <f ca="1">L51</f>
        <v>0</v>
      </c>
      <c r="R67" s="1570" t="s">
        <v>1487</v>
      </c>
    </row>
    <row r="68" spans="1:18" s="1534" customFormat="1" ht="16.5" thickBot="1">
      <c r="A68" s="1076" t="s">
        <v>1000</v>
      </c>
      <c r="B68" s="1077" t="s">
        <v>1390</v>
      </c>
      <c r="C68" s="306" t="e">
        <f ca="1">ROUND(C67*(1-((1+F70)/(1+F68))^F69)/(F68-F70),0)</f>
        <v>#DIV/0!</v>
      </c>
      <c r="D68" s="1094" t="s">
        <v>1374</v>
      </c>
      <c r="E68" s="1079" t="s">
        <v>1375</v>
      </c>
      <c r="F68" s="317">
        <f ca="1">F40</f>
        <v>0</v>
      </c>
      <c r="O68" s="1578" t="s">
        <v>1011</v>
      </c>
      <c r="P68" s="1617" t="s">
        <v>1488</v>
      </c>
      <c r="Q68" s="1570">
        <f ca="1">ROUND(Q69-Q70*Q71,0)</f>
        <v>0</v>
      </c>
      <c r="R68" s="1570" t="s">
        <v>1019</v>
      </c>
    </row>
    <row r="69" spans="1:18" s="1534" customFormat="1" ht="13.5" thickBot="1">
      <c r="A69" s="1080"/>
      <c r="B69" s="1081"/>
      <c r="C69" s="311"/>
      <c r="D69" s="1099" t="s">
        <v>1378</v>
      </c>
      <c r="E69" s="1079" t="s">
        <v>1379</v>
      </c>
      <c r="F69" s="338">
        <f ca="1">F41</f>
        <v>0</v>
      </c>
      <c r="O69" s="1578" t="s">
        <v>1016</v>
      </c>
      <c r="P69" s="1617" t="s">
        <v>1489</v>
      </c>
      <c r="Q69" s="1570">
        <f ca="1">C39</f>
        <v>0</v>
      </c>
      <c r="R69" s="1570" t="s">
        <v>1434</v>
      </c>
    </row>
    <row r="70" spans="1:18" s="1534" customFormat="1" ht="13.5" thickBot="1">
      <c r="A70" s="1083"/>
      <c r="B70" s="1084"/>
      <c r="C70" s="315"/>
      <c r="D70" s="1095"/>
      <c r="E70" s="1079" t="s">
        <v>1382</v>
      </c>
      <c r="F70" s="1182"/>
      <c r="O70" s="1578" t="s">
        <v>1017</v>
      </c>
      <c r="P70" s="1617" t="s">
        <v>1490</v>
      </c>
      <c r="Q70" s="1570">
        <f ca="1">C13</f>
        <v>0</v>
      </c>
      <c r="R70" s="1570" t="s">
        <v>1434</v>
      </c>
    </row>
    <row r="71" spans="1:18" s="1534" customFormat="1" ht="13.5" thickBot="1">
      <c r="A71" s="1100" t="s">
        <v>1001</v>
      </c>
      <c r="B71" s="1101" t="s">
        <v>1392</v>
      </c>
      <c r="C71" s="341" t="e">
        <f ca="1">ROUND(C68*10000/F71,0)</f>
        <v>#DIV/0!</v>
      </c>
      <c r="D71" s="1102" t="s">
        <v>1393</v>
      </c>
      <c r="E71" s="1103" t="s">
        <v>1394</v>
      </c>
      <c r="F71" s="344">
        <f ca="1">F43</f>
        <v>0</v>
      </c>
      <c r="O71" s="1578" t="s">
        <v>1018</v>
      </c>
      <c r="P71" s="1617" t="s">
        <v>1491</v>
      </c>
      <c r="Q71" s="1581">
        <f ca="1">C76</f>
        <v>0</v>
      </c>
      <c r="R71" s="1570"/>
    </row>
    <row r="72" spans="1:18" s="1534" customFormat="1" ht="13.5" thickBot="1">
      <c r="B72" s="733"/>
      <c r="C72" s="733"/>
      <c r="O72" s="1578" t="s">
        <v>1012</v>
      </c>
      <c r="P72" s="1569" t="s">
        <v>1469</v>
      </c>
      <c r="Q72" s="1581">
        <f>L52</f>
        <v>0</v>
      </c>
      <c r="R72" s="1570"/>
    </row>
    <row r="73" spans="1:18" ht="16.5" thickBot="1">
      <c r="A73" s="1534"/>
      <c r="B73" s="733"/>
      <c r="C73" s="733"/>
      <c r="D73" s="1534"/>
      <c r="E73" s="1534"/>
      <c r="F73" s="1534"/>
      <c r="O73" s="1578" t="s">
        <v>1013</v>
      </c>
      <c r="P73" s="1569" t="s">
        <v>1472</v>
      </c>
      <c r="Q73" s="1570" t="e">
        <f ca="1">L58</f>
        <v>#DIV/0!</v>
      </c>
      <c r="R73" s="1570" t="s">
        <v>1473</v>
      </c>
    </row>
    <row r="74" spans="1:18" ht="13.5" thickBot="1">
      <c r="A74" s="1534"/>
      <c r="B74" s="278"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5" t="s">
        <v>1411</v>
      </c>
      <c r="C75" s="346">
        <f ca="1">ROUND(C13*C76,0)</f>
        <v>0</v>
      </c>
      <c r="D75" s="1534"/>
      <c r="E75" s="1534"/>
      <c r="F75" s="1534"/>
      <c r="K75" s="1552"/>
      <c r="L75" s="1534"/>
      <c r="O75" s="1568" t="s">
        <v>1014</v>
      </c>
      <c r="P75" s="1569" t="s">
        <v>1454</v>
      </c>
      <c r="Q75" s="1570" t="e">
        <f ca="1">Q65+Q66</f>
        <v>#DIV/0!</v>
      </c>
      <c r="R75" s="1570" t="s">
        <v>1015</v>
      </c>
    </row>
    <row r="76" spans="1:18">
      <c r="B76" s="347" t="s">
        <v>1412</v>
      </c>
      <c r="C76" s="348">
        <f ca="1">INDIRECT("'数据-取费表'!j"&amp;$G$1)</f>
        <v>0</v>
      </c>
      <c r="I76" s="1534"/>
      <c r="J76" s="1534"/>
      <c r="K76" s="1552"/>
      <c r="L76" s="1534"/>
    </row>
    <row r="77" spans="1:18">
      <c r="B77" s="349" t="s">
        <v>1413</v>
      </c>
      <c r="C77" s="350"/>
      <c r="I77" s="1534"/>
      <c r="J77" s="1534"/>
      <c r="K77" s="1552"/>
      <c r="L77" s="1534"/>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18" customWidth="1"/>
    <col min="12" max="12" width="16.375" style="263" customWidth="1"/>
    <col min="13" max="13" width="13" style="263"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3"/>
  </cols>
  <sheetData>
    <row r="1" spans="1:37" s="298" customFormat="1" ht="21">
      <c r="A1" s="1525" t="s">
        <v>1494</v>
      </c>
      <c r="B1" s="720"/>
      <c r="C1" s="1529"/>
      <c r="D1" s="1512"/>
      <c r="E1" s="1513" t="s">
        <v>1292</v>
      </c>
      <c r="F1" s="1190">
        <f ca="1">J53</f>
        <v>0</v>
      </c>
      <c r="G1" s="1528">
        <f>MATCH(C1,'数据-取费表'!A6:A16,0)+5</f>
        <v>11</v>
      </c>
      <c r="H1" s="2886"/>
      <c r="I1" s="2887"/>
      <c r="J1" s="2887"/>
      <c r="K1" s="2888"/>
      <c r="L1" s="2887"/>
      <c r="M1" s="288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5" t="s">
        <v>1495</v>
      </c>
      <c r="B2" s="1536" t="e">
        <f ca="1">ROUND(D2/10000,0)</f>
        <v>#DIV/0!</v>
      </c>
      <c r="C2" s="1537" t="s">
        <v>1496</v>
      </c>
      <c r="D2" s="1621" t="e">
        <f ca="1">C40+J29+L46</f>
        <v>#DIV/0!</v>
      </c>
      <c r="E2" s="1538" t="s">
        <v>1497</v>
      </c>
      <c r="F2" s="1539"/>
      <c r="G2" s="2900"/>
      <c r="H2" s="2889"/>
      <c r="I2" s="2889"/>
      <c r="J2" s="2889"/>
      <c r="K2" s="2890"/>
      <c r="L2" s="2889"/>
      <c r="M2" s="2889"/>
    </row>
    <row r="3" spans="1:37" ht="18" customHeight="1" thickBot="1">
      <c r="A3" s="1540" t="s">
        <v>1498</v>
      </c>
      <c r="B3" s="1541">
        <f ca="1">IF(ISERROR(D2/F43),0,ROUND(D2/F43,0))</f>
        <v>0</v>
      </c>
      <c r="C3" s="1537" t="s">
        <v>1499</v>
      </c>
      <c r="D3" s="1537"/>
      <c r="E3" s="1538"/>
      <c r="F3" s="1539"/>
      <c r="G3" s="2900"/>
      <c r="H3" s="690" t="s">
        <v>1493</v>
      </c>
      <c r="I3" s="1532"/>
      <c r="J3" s="1532"/>
      <c r="K3" s="1533"/>
      <c r="L3" s="1532"/>
      <c r="M3" s="1532"/>
    </row>
    <row r="4" spans="1:37" ht="18" customHeight="1">
      <c r="A4" s="300" t="s">
        <v>1500</v>
      </c>
      <c r="B4" s="301" t="s">
        <v>1501</v>
      </c>
      <c r="C4" s="301" t="s">
        <v>1502</v>
      </c>
      <c r="D4" s="301" t="s">
        <v>1503</v>
      </c>
      <c r="E4" s="302" t="s">
        <v>1504</v>
      </c>
      <c r="F4" s="303"/>
      <c r="G4" s="1534"/>
      <c r="H4" s="300" t="s">
        <v>1500</v>
      </c>
      <c r="I4" s="301" t="s">
        <v>1501</v>
      </c>
      <c r="J4" s="301" t="s">
        <v>1502</v>
      </c>
      <c r="K4" s="301" t="s">
        <v>1503</v>
      </c>
      <c r="L4" s="302" t="s">
        <v>1504</v>
      </c>
      <c r="M4" s="303"/>
    </row>
    <row r="5" spans="1:37" ht="18" customHeight="1">
      <c r="A5" s="304">
        <v>1</v>
      </c>
      <c r="B5" s="305" t="s">
        <v>1505</v>
      </c>
      <c r="C5" s="1199">
        <f ca="1">C6+C10+C12</f>
        <v>0</v>
      </c>
      <c r="D5" s="1514" t="s">
        <v>1506</v>
      </c>
      <c r="E5" s="1200"/>
      <c r="F5" s="1201"/>
      <c r="G5" s="1534"/>
      <c r="H5" s="304">
        <v>1</v>
      </c>
      <c r="I5" s="305" t="s">
        <v>1505</v>
      </c>
      <c r="J5" s="1199">
        <f ca="1">J6+J10+J12</f>
        <v>0</v>
      </c>
      <c r="K5" s="1514" t="s">
        <v>1506</v>
      </c>
      <c r="L5" s="1200"/>
      <c r="M5" s="1201"/>
    </row>
    <row r="6" spans="1:37" ht="18" customHeight="1">
      <c r="A6" s="1198" t="s">
        <v>1003</v>
      </c>
      <c r="B6" s="3519" t="s">
        <v>1308</v>
      </c>
      <c r="C6" s="1203">
        <f ca="1">ROUND(F6*F8*F7*(1-F9),0)</f>
        <v>0</v>
      </c>
      <c r="D6" s="159" t="s">
        <v>2786</v>
      </c>
      <c r="E6" s="307" t="s">
        <v>1310</v>
      </c>
      <c r="F6" s="308">
        <f ca="1">INDIRECT("'数据-取费表'!u"&amp;$G$1)</f>
        <v>0</v>
      </c>
      <c r="G6" s="1534"/>
      <c r="H6" s="1198" t="s">
        <v>1003</v>
      </c>
      <c r="I6" s="3519" t="s">
        <v>1308</v>
      </c>
      <c r="J6" s="306">
        <f ca="1">ROUND(M6*M8*M7*(1-M9),0)</f>
        <v>0</v>
      </c>
      <c r="K6" s="1526" t="s">
        <v>2787</v>
      </c>
      <c r="L6" s="307" t="s">
        <v>1310</v>
      </c>
      <c r="M6" s="308">
        <f ca="1">INDIRECT("'数据-取费表'!z"&amp;$G$1)</f>
        <v>0</v>
      </c>
    </row>
    <row r="7" spans="1:37" ht="18" customHeight="1">
      <c r="A7" s="1202"/>
      <c r="B7" s="3520"/>
      <c r="C7" s="1204"/>
      <c r="D7" s="312"/>
      <c r="E7" s="1205" t="s">
        <v>1311</v>
      </c>
      <c r="F7" s="308">
        <f ca="1">IF(INDIRECT("'数据-取费表'!ah"&amp;$G$1)="",INDIRECT("'数据-取费表'!k"&amp;$G$1),INDIRECT("'数据-取费表'!ah"&amp;$G$1))</f>
        <v>0</v>
      </c>
      <c r="G7" s="1534"/>
      <c r="H7" s="309"/>
      <c r="I7" s="3520"/>
      <c r="J7" s="311"/>
      <c r="K7" s="312"/>
      <c r="L7" s="307" t="s">
        <v>1311</v>
      </c>
      <c r="M7" s="308">
        <f ca="1">F7</f>
        <v>0</v>
      </c>
    </row>
    <row r="8" spans="1:37" ht="18" customHeight="1">
      <c r="A8" s="309"/>
      <c r="B8" s="3520"/>
      <c r="C8" s="311"/>
      <c r="D8" s="312"/>
      <c r="E8" s="307" t="s">
        <v>1312</v>
      </c>
      <c r="F8" s="308">
        <f ca="1">INDIRECT("'数据-取费表'!ai"&amp;$G$1)</f>
        <v>0</v>
      </c>
      <c r="G8" s="1534"/>
      <c r="H8" s="309"/>
      <c r="I8" s="3520"/>
      <c r="J8" s="311"/>
      <c r="K8" s="312"/>
      <c r="L8" s="307" t="s">
        <v>1312</v>
      </c>
      <c r="M8" s="308">
        <f ca="1">INDIRECT("'数据-取费表'!ai"&amp;$G$1)</f>
        <v>0</v>
      </c>
    </row>
    <row r="9" spans="1:37" ht="18" customHeight="1">
      <c r="A9" s="309"/>
      <c r="B9" s="3521"/>
      <c r="C9" s="311"/>
      <c r="D9" s="312"/>
      <c r="E9" s="307" t="s">
        <v>1313</v>
      </c>
      <c r="F9" s="317">
        <f ca="1">INDIRECT("'数据-取费表'!w"&amp;$G$1)</f>
        <v>0</v>
      </c>
      <c r="G9" s="1534"/>
      <c r="H9" s="309"/>
      <c r="I9" s="3521"/>
      <c r="J9" s="311"/>
      <c r="K9" s="312"/>
      <c r="L9" s="318" t="s">
        <v>1313</v>
      </c>
      <c r="M9" s="319">
        <f ca="1">INDIRECT("'数据-取费表'!ab"&amp;$G$1)</f>
        <v>0</v>
      </c>
    </row>
    <row r="10" spans="1:37" ht="18" customHeight="1">
      <c r="A10" s="1198" t="s">
        <v>1007</v>
      </c>
      <c r="B10" s="1515" t="s">
        <v>1314</v>
      </c>
      <c r="C10" s="321">
        <f ca="1">ROUND(IF(F10="押一",C6/12*F11,IF(F10="押二",C6/12*2*F11,IF(F10="押三",C6/12*3*F11,C11*F11))),0)</f>
        <v>0</v>
      </c>
      <c r="D10" s="1516" t="s">
        <v>2796</v>
      </c>
      <c r="E10" s="318" t="s">
        <v>1315</v>
      </c>
      <c r="F10" s="1244"/>
      <c r="G10" s="1534"/>
      <c r="H10" s="1198" t="s">
        <v>1007</v>
      </c>
      <c r="I10" s="1515" t="s">
        <v>1314</v>
      </c>
      <c r="J10" s="306">
        <f ca="1">ROUND(IF(M10="押一",J6/12*M11,IF(M10="押二",J6/12*2*M11,IF(M10="押三",J6/12*3*M11,J11*M11))),0)</f>
        <v>0</v>
      </c>
      <c r="K10" s="1527" t="s">
        <v>2798</v>
      </c>
      <c r="L10" s="318" t="s">
        <v>1315</v>
      </c>
      <c r="M10" s="1244"/>
    </row>
    <row r="11" spans="1:37" ht="18" customHeight="1">
      <c r="A11" s="313"/>
      <c r="B11" s="1517" t="s">
        <v>1507</v>
      </c>
      <c r="C11" s="1088"/>
      <c r="D11" s="312"/>
      <c r="E11" s="318" t="s">
        <v>1317</v>
      </c>
      <c r="F11" s="319">
        <f ca="1">'数据-取费表'!B39</f>
        <v>1.4999999999999999E-2</v>
      </c>
      <c r="G11" s="1534"/>
      <c r="H11" s="1206"/>
      <c r="I11" s="1517" t="s">
        <v>1508</v>
      </c>
      <c r="J11" s="1088"/>
      <c r="K11" s="691"/>
      <c r="L11" s="318" t="s">
        <v>1317</v>
      </c>
      <c r="M11" s="969">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5">
        <f ca="1">ROUND(C29*F13,0)</f>
        <v>0</v>
      </c>
      <c r="D13" s="1209" t="s">
        <v>1320</v>
      </c>
      <c r="E13" s="1209" t="s">
        <v>1321</v>
      </c>
      <c r="F13" s="1210">
        <f ca="1">INDIRECT("'数据-取费表'!y"&amp;$G$1)</f>
        <v>0</v>
      </c>
      <c r="G13" s="1534"/>
      <c r="H13" s="1207">
        <v>2</v>
      </c>
      <c r="I13" s="1208" t="s">
        <v>1319</v>
      </c>
      <c r="J13" s="1197">
        <f ca="1">ROUND(J14*J15,0)</f>
        <v>0</v>
      </c>
      <c r="K13" s="1215" t="s">
        <v>1320</v>
      </c>
      <c r="L13" s="1542"/>
      <c r="M13" s="1543"/>
    </row>
    <row r="14" spans="1:37" ht="18" customHeight="1">
      <c r="A14" s="1111" t="s">
        <v>1002</v>
      </c>
      <c r="B14" s="307" t="s">
        <v>1322</v>
      </c>
      <c r="C14" s="323">
        <f ca="1">ROUND(INDIRECT("'数据-取费表'!l"&amp;$G$1)*F43+'数据-取费表'!L14*INDIRECT("'数据-取费表'!S"&amp;$G$1),0)</f>
        <v>0</v>
      </c>
      <c r="D14" s="1495" t="s">
        <v>1323</v>
      </c>
      <c r="E14" s="1492"/>
      <c r="F14" s="324"/>
      <c r="G14" s="1534"/>
      <c r="H14" s="1111" t="s">
        <v>1003</v>
      </c>
      <c r="I14" s="307" t="s">
        <v>1324</v>
      </c>
      <c r="J14" s="24">
        <f ca="1">C29</f>
        <v>0</v>
      </c>
      <c r="K14" s="15"/>
      <c r="L14" s="914"/>
      <c r="M14" s="915"/>
    </row>
    <row r="15" spans="1:37" s="1547" customFormat="1" ht="18" customHeight="1" thickBot="1">
      <c r="A15" s="1111" t="s">
        <v>1004</v>
      </c>
      <c r="B15" s="307" t="s">
        <v>1325</v>
      </c>
      <c r="C15" s="24">
        <f ca="1">ROUND(C14*F15,0)</f>
        <v>0</v>
      </c>
      <c r="D15" s="325" t="s">
        <v>1326</v>
      </c>
      <c r="E15" s="325" t="s">
        <v>1327</v>
      </c>
      <c r="F15" s="326">
        <f>'数据-取费表'!B33</f>
        <v>0.12</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4"/>
      <c r="H16" s="1207" t="s">
        <v>998</v>
      </c>
      <c r="I16" s="1208" t="s">
        <v>1329</v>
      </c>
      <c r="J16" s="315">
        <f ca="1">ROUND(J17+J22+J23+J24,0)</f>
        <v>0</v>
      </c>
      <c r="K16" s="1215" t="s">
        <v>1330</v>
      </c>
      <c r="L16" s="1216"/>
      <c r="M16" s="1201"/>
    </row>
    <row r="17" spans="1:37" s="1547" customFormat="1" ht="18" customHeight="1">
      <c r="A17" s="1111" t="s">
        <v>1295</v>
      </c>
      <c r="B17" s="307" t="s">
        <v>1331</v>
      </c>
      <c r="C17" s="24">
        <f ca="1">ROUND(F17*(F43+INDIRECT("'数据-取费表'!S"&amp;$G$1)),0)</f>
        <v>0</v>
      </c>
      <c r="D17" s="307" t="s">
        <v>1332</v>
      </c>
      <c r="E17" s="307" t="s">
        <v>1333</v>
      </c>
      <c r="F17" s="26">
        <f>'数据-取费表'!B35</f>
        <v>200</v>
      </c>
      <c r="G17" s="1546"/>
      <c r="H17" s="1111" t="s">
        <v>1003</v>
      </c>
      <c r="I17" s="307" t="s">
        <v>1334</v>
      </c>
      <c r="J17" s="2500">
        <f ca="1">ROUND(IF(AND(项目基本情况!B11="自然人",项目基本情况!B10="北京市"),J6*M17/(1+'数据-取费表'!C42),J18+J19+J20),0)</f>
        <v>0</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7" t="s">
        <v>1337</v>
      </c>
      <c r="C18" s="24">
        <f ca="1">ROUND(C14*F18,0)</f>
        <v>0</v>
      </c>
      <c r="D18" s="307" t="s">
        <v>1326</v>
      </c>
      <c r="E18" s="307" t="s">
        <v>1327</v>
      </c>
      <c r="F18" s="327">
        <f>'数据-取费表'!B36</f>
        <v>1.4999999999999999E-2</v>
      </c>
      <c r="G18" s="1546"/>
      <c r="H18" s="1111" t="s">
        <v>1002</v>
      </c>
      <c r="I18" s="307" t="s">
        <v>1338</v>
      </c>
      <c r="J18" s="24">
        <f ca="1">ROUND(J6*M18/(1+'数据-取费表'!C42),0)</f>
        <v>0</v>
      </c>
      <c r="K18" s="1494" t="s">
        <v>1339</v>
      </c>
      <c r="L18" s="307" t="s">
        <v>1327</v>
      </c>
      <c r="M18" s="327">
        <f>'数据-取费表'!B41</f>
        <v>0</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7" t="s">
        <v>1340</v>
      </c>
      <c r="C19" s="24">
        <f ca="1">SUM(C14:C18)</f>
        <v>0</v>
      </c>
      <c r="D19" s="135" t="s">
        <v>1341</v>
      </c>
      <c r="E19" s="1510"/>
      <c r="F19" s="26"/>
      <c r="G19" s="1534"/>
      <c r="H19" s="1111" t="s">
        <v>1004</v>
      </c>
      <c r="I19" s="307" t="s">
        <v>1342</v>
      </c>
      <c r="J19" s="24">
        <f ca="1">IF(K19="按租金收入计税",ROUND(J6*M19/(1+'数据-取费表'!C42),0),ROUND(C29*M19*0.7,0))</f>
        <v>0</v>
      </c>
      <c r="K19" s="1520" t="s">
        <v>1343</v>
      </c>
      <c r="L19" s="307" t="s">
        <v>1327</v>
      </c>
      <c r="M19" s="327">
        <f>IF(K19="按租金收入计税",'数据-取费表'!B51,'数据-取费表'!B50)</f>
        <v>1.2E-2</v>
      </c>
    </row>
    <row r="20" spans="1:37" s="1547" customFormat="1" ht="18" customHeight="1">
      <c r="A20" s="1111" t="s">
        <v>1007</v>
      </c>
      <c r="B20" s="307" t="s">
        <v>1344</v>
      </c>
      <c r="C20" s="24">
        <f ca="1">ROUND(C19*F20,0)</f>
        <v>0</v>
      </c>
      <c r="D20" s="328" t="s">
        <v>1345</v>
      </c>
      <c r="E20" s="307" t="s">
        <v>1327</v>
      </c>
      <c r="F20" s="327">
        <f>'数据-取费表'!B37</f>
        <v>0.02</v>
      </c>
      <c r="G20" s="1546"/>
      <c r="H20" s="1111" t="s">
        <v>1294</v>
      </c>
      <c r="I20" s="159" t="s">
        <v>1346</v>
      </c>
      <c r="J20" s="25">
        <f ca="1">ROUND(M20*M21,0)</f>
        <v>0</v>
      </c>
      <c r="K20" s="329" t="s">
        <v>1347</v>
      </c>
      <c r="L20" s="307" t="s">
        <v>1348</v>
      </c>
      <c r="M20" s="330">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7" t="s">
        <v>1349</v>
      </c>
      <c r="C21" s="24" t="s">
        <v>1</v>
      </c>
      <c r="D21" s="328" t="s">
        <v>1350</v>
      </c>
      <c r="E21" s="307" t="s">
        <v>1351</v>
      </c>
      <c r="F21" s="327">
        <f>'数据-取费表'!B38</f>
        <v>0</v>
      </c>
      <c r="G21" s="1546"/>
      <c r="H21" s="331"/>
      <c r="I21" s="316"/>
      <c r="J21" s="29"/>
      <c r="K21" s="332"/>
      <c r="L21" s="307" t="s">
        <v>1352</v>
      </c>
      <c r="M21" s="308">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0"/>
      <c r="F22" s="26"/>
      <c r="G22" s="1534"/>
      <c r="H22" s="1111" t="s">
        <v>1007</v>
      </c>
      <c r="I22" s="307" t="s">
        <v>1354</v>
      </c>
      <c r="J22" s="24">
        <f ca="1">ROUND(J14*M22,0)</f>
        <v>0</v>
      </c>
      <c r="K22" s="1494" t="s">
        <v>1355</v>
      </c>
      <c r="L22" s="307" t="s">
        <v>1327</v>
      </c>
      <c r="M22" s="333">
        <f ca="1">INDIRECT("'数据-取费表'!Ak"&amp;$G$1)</f>
        <v>0</v>
      </c>
    </row>
    <row r="23" spans="1:37" s="1547"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6"/>
      <c r="H23" s="1111" t="s">
        <v>1043</v>
      </c>
      <c r="I23" s="307" t="s">
        <v>1358</v>
      </c>
      <c r="J23" s="24">
        <f ca="1">ROUND(J13*M23,0)</f>
        <v>0</v>
      </c>
      <c r="K23" s="1494" t="s">
        <v>1359</v>
      </c>
      <c r="L23" s="307" t="s">
        <v>1360</v>
      </c>
      <c r="M23" s="335">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1361</v>
      </c>
      <c r="B24" s="307" t="s">
        <v>1362</v>
      </c>
      <c r="C24" s="24">
        <f>ROUND(IF('数据-取费表'!B22&lt;=1,F21*F24*F23/2,F21*(POWER((1+F24),F23/2)-1)),4)</f>
        <v>0</v>
      </c>
      <c r="D24" s="334" t="str">
        <f>IF(F23&lt;=1,"销售费用×利率×(建设周期÷2)","销售费用×((1+利率)^(建设周期÷2)-1)")</f>
        <v>销售费用×((1+利率)^(建设周期÷2)-1)</v>
      </c>
      <c r="E24" s="307" t="s">
        <v>1363</v>
      </c>
      <c r="F24" s="336">
        <f>'数据-取费表'!B40</f>
        <v>4.7500000000000001E-2</v>
      </c>
      <c r="G24" s="1546"/>
      <c r="H24" s="1217" t="s">
        <v>1298</v>
      </c>
      <c r="I24" s="1218" t="s">
        <v>1344</v>
      </c>
      <c r="J24" s="1219">
        <f ca="1">ROUND(J5*M24,0)</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11" t="s">
        <v>1365</v>
      </c>
      <c r="B25" s="307" t="s">
        <v>1366</v>
      </c>
      <c r="C25" s="24"/>
      <c r="D25" s="135" t="s">
        <v>1367</v>
      </c>
      <c r="E25" s="1510"/>
      <c r="F25" s="26"/>
      <c r="G25" s="1534"/>
      <c r="H25" s="1207" t="s">
        <v>999</v>
      </c>
      <c r="I25" s="1222" t="s">
        <v>1368</v>
      </c>
      <c r="J25" s="315">
        <f ca="1">J5-J16</f>
        <v>0</v>
      </c>
      <c r="K25" s="1223" t="s">
        <v>1369</v>
      </c>
      <c r="L25" s="1224"/>
      <c r="M25" s="1225"/>
    </row>
    <row r="26" spans="1:37" ht="18" customHeight="1">
      <c r="A26" s="1111" t="s">
        <v>1002</v>
      </c>
      <c r="B26" s="307" t="s">
        <v>1370</v>
      </c>
      <c r="C26" s="24">
        <f ca="1">ROUND((C19+C20)*F26,0)</f>
        <v>0</v>
      </c>
      <c r="D26" s="328" t="s">
        <v>1371</v>
      </c>
      <c r="E26" s="318" t="s">
        <v>1372</v>
      </c>
      <c r="F26" s="317">
        <f ca="1">INDIRECT("'数据-取费表'!q"&amp;$G$1)</f>
        <v>0</v>
      </c>
      <c r="G26" s="1534"/>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4"/>
      <c r="H27" s="309"/>
      <c r="I27" s="310"/>
      <c r="J27" s="311"/>
      <c r="K27" s="337" t="s">
        <v>1378</v>
      </c>
      <c r="L27" s="307" t="s">
        <v>1379</v>
      </c>
      <c r="M27" s="338">
        <f ca="1">INDIRECT("'数据-取费表'!ag"&amp;$G$1)</f>
        <v>0</v>
      </c>
    </row>
    <row r="28" spans="1:37" s="1547" customFormat="1" ht="18" customHeight="1">
      <c r="A28" s="1111" t="s">
        <v>1005</v>
      </c>
      <c r="B28" s="307" t="s">
        <v>1380</v>
      </c>
      <c r="C28" s="24">
        <f>ROUND(F28/(1+'数据-取费表'!C42),4)</f>
        <v>0</v>
      </c>
      <c r="D28" s="328" t="s">
        <v>1381</v>
      </c>
      <c r="E28" s="307" t="s">
        <v>1327</v>
      </c>
      <c r="F28" s="327">
        <f>'数据-取费表'!B41</f>
        <v>0</v>
      </c>
      <c r="G28" s="1546"/>
      <c r="H28" s="313"/>
      <c r="I28" s="314"/>
      <c r="J28" s="315"/>
      <c r="K28" s="332"/>
      <c r="L28" s="307" t="s">
        <v>1382</v>
      </c>
      <c r="M28" s="3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39" t="s">
        <v>1001</v>
      </c>
      <c r="I29" s="340" t="s">
        <v>1384</v>
      </c>
      <c r="J29" s="341">
        <f ca="1">ROUND(J26/(1+F40)^F41,0)</f>
        <v>0</v>
      </c>
      <c r="K29" s="342" t="s">
        <v>1385</v>
      </c>
      <c r="L29" s="343"/>
      <c r="M29" s="344">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5">
        <f ca="1">ROUND(C31+C36+C37+C38,0)</f>
        <v>0</v>
      </c>
      <c r="D30" s="1215" t="s">
        <v>1330</v>
      </c>
      <c r="E30" s="1216"/>
      <c r="F30" s="1201"/>
      <c r="G30" s="1534"/>
      <c r="H30" s="2891"/>
      <c r="I30" s="1548"/>
      <c r="J30" s="1549"/>
      <c r="K30" s="2666"/>
      <c r="L30" s="2892"/>
      <c r="M30" s="2893"/>
    </row>
    <row r="31" spans="1:37" ht="18" customHeight="1">
      <c r="A31" s="1111" t="s">
        <v>1003</v>
      </c>
      <c r="B31" s="307" t="s">
        <v>1334</v>
      </c>
      <c r="C31" s="2500">
        <f ca="1">ROUND(IF(AND(项目基本情况!B11="自然人",项目基本情况!B10="北京市"),C6*F31/(1+'数据-取费表'!C42),C32+C33+C34),0)</f>
        <v>0</v>
      </c>
      <c r="D31" s="1495" t="s">
        <v>1335</v>
      </c>
      <c r="E31" s="1494" t="s">
        <v>1386</v>
      </c>
      <c r="F31" s="2499" t="str">
        <f>IF(项目基本情况!B11="企业","——",IF('数据-取费表'!B10="住宅",IF(F6*F7*F8/12/(1+'数据-取费表'!F30)&gt;100000,4%,2.5%),IF(F6*F7*F8/12/(1+'数据-取费表'!F30)&gt;100000,12%,7%)))</f>
        <v>——</v>
      </c>
      <c r="G31" s="1534"/>
      <c r="H31" s="3004" t="s">
        <v>2996</v>
      </c>
      <c r="I31" s="1548"/>
      <c r="J31" s="1549"/>
      <c r="K31" s="2666"/>
      <c r="L31" s="2892"/>
      <c r="M31" s="2893"/>
    </row>
    <row r="32" spans="1:37" ht="18" customHeight="1">
      <c r="A32" s="1111" t="s">
        <v>1002</v>
      </c>
      <c r="B32" s="307" t="s">
        <v>1338</v>
      </c>
      <c r="C32" s="24">
        <f ca="1">IF(项目基本情况!B11="自然人","——",ROUND(C6*F32/(1+'数据-取费表'!C42),0))</f>
        <v>0</v>
      </c>
      <c r="D32" s="1494" t="s">
        <v>1339</v>
      </c>
      <c r="E32" s="307" t="s">
        <v>1327</v>
      </c>
      <c r="F32" s="336">
        <f>'数据-取费表'!B41</f>
        <v>0</v>
      </c>
      <c r="G32" s="1534"/>
      <c r="H32" s="2891"/>
      <c r="I32" s="1548"/>
      <c r="J32" s="1549"/>
      <c r="K32" s="2666"/>
      <c r="L32" s="2892"/>
      <c r="M32" s="2893"/>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0" t="s">
        <v>1343</v>
      </c>
      <c r="E33" s="307" t="s">
        <v>1327</v>
      </c>
      <c r="F33" s="327">
        <f>IF(D33="按票据","——",IF(D33="按租金收入计税",'数据-取费表'!B51,'数据-取费表'!B50))</f>
        <v>1.2E-2</v>
      </c>
      <c r="G33" s="1534"/>
      <c r="H33" s="2894"/>
      <c r="I33" s="1548"/>
      <c r="J33" s="1549"/>
      <c r="K33" s="2895"/>
      <c r="L33" s="2894"/>
      <c r="M33" s="2894"/>
    </row>
    <row r="34" spans="1:18" ht="18" customHeight="1">
      <c r="A34" s="1198" t="s">
        <v>1294</v>
      </c>
      <c r="B34" s="159" t="s">
        <v>1346</v>
      </c>
      <c r="C34" s="25">
        <f ca="1">IF(项目基本情况!B11="自然人","——",ROUND(F34*F35,))</f>
        <v>0</v>
      </c>
      <c r="D34" s="329" t="s">
        <v>1347</v>
      </c>
      <c r="E34" s="307" t="s">
        <v>1348</v>
      </c>
      <c r="F34" s="330">
        <f>'数据-取费表'!B52</f>
        <v>1.5</v>
      </c>
      <c r="G34" s="1534"/>
      <c r="H34" s="2891"/>
      <c r="I34" s="1548"/>
      <c r="J34" s="1549"/>
      <c r="K34" s="2896"/>
      <c r="L34" s="2897"/>
      <c r="M34" s="2897"/>
    </row>
    <row r="35" spans="1:18" ht="18" customHeight="1">
      <c r="A35" s="1231"/>
      <c r="B35" s="1229"/>
      <c r="C35" s="29"/>
      <c r="D35" s="332"/>
      <c r="E35" s="307" t="s">
        <v>1352</v>
      </c>
      <c r="F35" s="308">
        <f ca="1">INDIRECT("'数据-取费表'!r"&amp;$G$1)</f>
        <v>0</v>
      </c>
      <c r="G35" s="1534"/>
      <c r="H35" s="2891"/>
      <c r="I35" s="1548"/>
      <c r="J35" s="1549"/>
      <c r="K35" s="2895"/>
      <c r="L35" s="2894"/>
      <c r="M35" s="2894"/>
    </row>
    <row r="36" spans="1:18" ht="18" customHeight="1">
      <c r="A36" s="1230" t="s">
        <v>1007</v>
      </c>
      <c r="B36" s="307" t="s">
        <v>1354</v>
      </c>
      <c r="C36" s="24">
        <f ca="1">ROUND(C29*F36,0)</f>
        <v>0</v>
      </c>
      <c r="D36" s="1494" t="s">
        <v>1387</v>
      </c>
      <c r="E36" s="307" t="s">
        <v>1327</v>
      </c>
      <c r="F36" s="333">
        <f ca="1">INDIRECT("'数据-取费表'!Ak"&amp;$G$1)</f>
        <v>0</v>
      </c>
      <c r="G36" s="1534"/>
      <c r="H36" s="2894"/>
      <c r="I36" s="1548"/>
      <c r="J36" s="1549"/>
      <c r="K36" s="2735"/>
      <c r="L36" s="2894"/>
      <c r="M36" s="2894"/>
    </row>
    <row r="37" spans="1:18" ht="18" customHeight="1">
      <c r="A37" s="1111" t="s">
        <v>1043</v>
      </c>
      <c r="B37" s="307" t="s">
        <v>1358</v>
      </c>
      <c r="C37" s="24">
        <f ca="1">ROUND(C13*F37,0)</f>
        <v>0</v>
      </c>
      <c r="D37" s="1494" t="s">
        <v>1359</v>
      </c>
      <c r="E37" s="307" t="s">
        <v>1360</v>
      </c>
      <c r="F37" s="335">
        <f ca="1">INDIRECT("'数据-取费表'!Al"&amp;$G$1)</f>
        <v>0</v>
      </c>
      <c r="G37" s="1534"/>
      <c r="H37" s="2894"/>
      <c r="I37" s="1548"/>
      <c r="J37" s="1549"/>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4"/>
      <c r="H38" s="2894"/>
      <c r="I38" s="1548"/>
      <c r="J38" s="1549"/>
      <c r="K38" s="2898"/>
      <c r="L38" s="2894"/>
      <c r="M38" s="2894"/>
    </row>
    <row r="39" spans="1:18" ht="24.6" customHeight="1" thickTop="1">
      <c r="A39" s="1207" t="s">
        <v>999</v>
      </c>
      <c r="B39" s="1222" t="s">
        <v>1388</v>
      </c>
      <c r="C39" s="315">
        <f ca="1">C5-C30</f>
        <v>0</v>
      </c>
      <c r="D39" s="1223" t="s">
        <v>1389</v>
      </c>
      <c r="E39" s="1224"/>
      <c r="F39" s="1225"/>
      <c r="G39" s="1534"/>
      <c r="H39" s="2894"/>
      <c r="I39" s="1548"/>
      <c r="J39" s="1549"/>
      <c r="K39" s="2898"/>
      <c r="L39" s="2894"/>
      <c r="M39" s="2894"/>
    </row>
    <row r="40" spans="1:18" ht="18" customHeight="1">
      <c r="A40" s="304" t="s">
        <v>1000</v>
      </c>
      <c r="B40" s="305" t="s">
        <v>1390</v>
      </c>
      <c r="C40" s="306" t="e">
        <f ca="1">ROUND(C39*(1-((1+F42)/(1+F40))^F41)/(F40-F42),0)</f>
        <v>#DIV/0!</v>
      </c>
      <c r="D40" s="329" t="s">
        <v>1374</v>
      </c>
      <c r="E40" s="307" t="s">
        <v>1375</v>
      </c>
      <c r="F40" s="317">
        <f ca="1">INDIRECT("'数据-取费表'!I"&amp;$G$1)</f>
        <v>0</v>
      </c>
      <c r="G40" s="1534"/>
      <c r="H40" s="1611"/>
      <c r="I40" s="1548"/>
      <c r="J40" s="1549"/>
      <c r="K40" s="2898"/>
      <c r="L40" s="1611"/>
      <c r="M40" s="1611"/>
    </row>
    <row r="41" spans="1:18" ht="18" customHeight="1">
      <c r="A41" s="309"/>
      <c r="B41" s="310"/>
      <c r="C41" s="311"/>
      <c r="D41" s="337" t="s">
        <v>1391</v>
      </c>
      <c r="E41" s="307" t="s">
        <v>1379</v>
      </c>
      <c r="F41" s="338">
        <f ca="1">IF(INDIRECT("'数据-取费表'!af"&amp;$G$1)=0,INDIRECT("'数据-取费表'!ae"&amp;$G$1),INDIRECT("'数据-取费表'!af"&amp;$G$1))</f>
        <v>0</v>
      </c>
      <c r="G41" s="1534"/>
      <c r="H41" s="1321"/>
      <c r="I41" s="1548"/>
      <c r="J41" s="1549"/>
      <c r="K41" s="2735"/>
      <c r="L41" s="1321"/>
      <c r="M41" s="1321"/>
    </row>
    <row r="42" spans="1:18" ht="18" customHeight="1">
      <c r="A42" s="313"/>
      <c r="B42" s="314"/>
      <c r="C42" s="315"/>
      <c r="D42" s="332"/>
      <c r="E42" s="307" t="s">
        <v>1382</v>
      </c>
      <c r="F42" s="317">
        <f ca="1">INDIRECT("'数据-取费表'!v"&amp;$G$1)</f>
        <v>0</v>
      </c>
      <c r="G42" s="1534"/>
      <c r="H42" s="1321"/>
      <c r="I42" s="1548"/>
      <c r="J42" s="1549"/>
      <c r="K42" s="2735"/>
      <c r="L42" s="1321"/>
      <c r="M42" s="1321"/>
    </row>
    <row r="43" spans="1:18" ht="18" customHeight="1" thickBot="1">
      <c r="A43" s="339" t="s">
        <v>1001</v>
      </c>
      <c r="B43" s="340" t="s">
        <v>1392</v>
      </c>
      <c r="C43" s="341" t="e">
        <f ca="1">ROUND(C40/F43,0)</f>
        <v>#DIV/0!</v>
      </c>
      <c r="D43" s="342" t="s">
        <v>1393</v>
      </c>
      <c r="E43" s="343" t="s">
        <v>1394</v>
      </c>
      <c r="F43" s="344">
        <f ca="1">INDIRECT("'数据-取费表'!k"&amp;$G$1)</f>
        <v>0</v>
      </c>
      <c r="G43" s="1534"/>
      <c r="H43" s="1321"/>
      <c r="I43" s="1321"/>
      <c r="J43" s="1321"/>
      <c r="K43" s="2735"/>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1509</v>
      </c>
      <c r="E45" s="1550"/>
      <c r="F45" s="1550"/>
      <c r="O45" s="1553" t="s">
        <v>1424</v>
      </c>
      <c r="P45" s="1611"/>
      <c r="Q45" s="1611"/>
      <c r="R45" s="1611"/>
    </row>
    <row r="46" spans="1:18" s="1534" customFormat="1" ht="13.5" thickBot="1">
      <c r="A46" s="1554" t="s">
        <v>1425</v>
      </c>
      <c r="C46" s="1555" t="e">
        <f ca="1">ROUND(C45/10000,0)</f>
        <v>#DIV/0!</v>
      </c>
      <c r="D46" s="1556" t="str">
        <f>C2</f>
        <v>万元</v>
      </c>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5" t="s">
        <v>1301</v>
      </c>
      <c r="B47" s="1107" t="s">
        <v>1302</v>
      </c>
      <c r="C47" s="1107" t="s">
        <v>1303</v>
      </c>
      <c r="D47" s="1107" t="s">
        <v>1304</v>
      </c>
      <c r="E47" s="1186" t="s">
        <v>1305</v>
      </c>
      <c r="F47" s="1187"/>
      <c r="G47" s="729"/>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5" t="s">
        <v>1306</v>
      </c>
      <c r="C48" s="1509">
        <f ca="1">C49+C53+C55</f>
        <v>0</v>
      </c>
      <c r="D48" s="1240"/>
      <c r="E48" s="1241"/>
      <c r="F48" s="1091"/>
      <c r="G48" s="729"/>
      <c r="H48" s="730"/>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4" t="s">
        <v>1045</v>
      </c>
      <c r="B49" s="1521" t="s">
        <v>1395</v>
      </c>
      <c r="C49" s="1242">
        <f ca="1">ROUND(F49*F51*F50*(1-F52),0)</f>
        <v>0</v>
      </c>
      <c r="D49" s="1183" t="s">
        <v>1309</v>
      </c>
      <c r="E49" s="1522" t="s">
        <v>1396</v>
      </c>
      <c r="F49" s="1188"/>
      <c r="G49" s="1575"/>
      <c r="H49" s="730"/>
      <c r="I49" s="1571" t="s">
        <v>1439</v>
      </c>
      <c r="J49" s="1576"/>
      <c r="K49" s="1573" t="s">
        <v>1440</v>
      </c>
      <c r="L49" s="1577"/>
      <c r="O49" s="1578" t="s">
        <v>1010</v>
      </c>
      <c r="P49" s="1569" t="s">
        <v>1441</v>
      </c>
      <c r="Q49" s="1570">
        <f ca="1">C29</f>
        <v>0</v>
      </c>
      <c r="R49" s="1570" t="s">
        <v>1434</v>
      </c>
    </row>
    <row r="50" spans="1:18" s="1534" customFormat="1" ht="13.5" thickBot="1">
      <c r="A50" s="1105"/>
      <c r="B50" s="1108"/>
      <c r="C50" s="1109"/>
      <c r="D50" s="1082"/>
      <c r="E50" s="1184" t="s">
        <v>1311</v>
      </c>
      <c r="F50" s="1185">
        <f ca="1">F7</f>
        <v>0</v>
      </c>
      <c r="H50" s="730"/>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6"/>
      <c r="B51" s="1108"/>
      <c r="C51" s="1109"/>
      <c r="D51" s="1082"/>
      <c r="E51" s="1110" t="s">
        <v>1312</v>
      </c>
      <c r="F51" s="308">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6"/>
      <c r="B52" s="1108"/>
      <c r="C52" s="1109"/>
      <c r="D52" s="1082"/>
      <c r="E52" s="1110" t="s">
        <v>1313</v>
      </c>
      <c r="F52" s="1182"/>
      <c r="I52" s="1587" t="s">
        <v>1448</v>
      </c>
      <c r="J52" s="1588"/>
      <c r="K52" s="1587" t="s">
        <v>1449</v>
      </c>
      <c r="L52" s="1588"/>
      <c r="O52" s="1578" t="s">
        <v>1013</v>
      </c>
      <c r="P52" s="1569" t="s">
        <v>1450</v>
      </c>
      <c r="Q52" s="1570">
        <f ca="1">J53</f>
        <v>0</v>
      </c>
      <c r="R52" s="1570" t="s">
        <v>1451</v>
      </c>
    </row>
    <row r="53" spans="1:18" s="1534" customFormat="1" ht="30.75" customHeight="1" thickBot="1">
      <c r="A53" s="1239" t="s">
        <v>1046</v>
      </c>
      <c r="B53" s="328" t="s">
        <v>1314</v>
      </c>
      <c r="C53" s="321">
        <f ca="1">ROUND(IF(F53="押一",C49/12*F11,IF(F53="押二",C49/12*2*F11,IF(F53="押三",C49/12*3*F11,C54*F11))),0)</f>
        <v>0</v>
      </c>
      <c r="D53" s="1516" t="s">
        <v>2799</v>
      </c>
      <c r="E53" s="318" t="s">
        <v>1315</v>
      </c>
      <c r="F53" s="1244"/>
      <c r="I53" s="1589" t="s">
        <v>1452</v>
      </c>
      <c r="J53" s="2352">
        <f ca="1">IF(M47="住宅",IF(D1="——",MAX(J51,L48),MAX(J51,L48-'数据-取费表'!B24)),IF(D1="——",MIN(J51,L48),MIN(J51,L48-'数据-取费表'!B24)))</f>
        <v>0</v>
      </c>
      <c r="K53" s="3517" t="s">
        <v>1453</v>
      </c>
      <c r="L53" s="3518"/>
      <c r="O53" s="1568" t="s">
        <v>1014</v>
      </c>
      <c r="P53" s="1569" t="s">
        <v>1454</v>
      </c>
      <c r="Q53" s="1570" t="e">
        <f ca="1">Q47+Q48</f>
        <v>#DIV/0!</v>
      </c>
      <c r="R53" s="1570" t="s">
        <v>1015</v>
      </c>
    </row>
    <row r="54" spans="1:18" s="1534" customFormat="1" ht="13.5" thickBot="1">
      <c r="A54" s="1104"/>
      <c r="B54" s="1624" t="s">
        <v>1508</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c r="O55" s="1561" t="s">
        <v>1427</v>
      </c>
      <c r="P55" s="1562" t="s">
        <v>1428</v>
      </c>
      <c r="Q55" s="1563" t="s">
        <v>1429</v>
      </c>
      <c r="R55" s="1563" t="s">
        <v>1430</v>
      </c>
    </row>
    <row r="56" spans="1:18" s="1534" customFormat="1" ht="36" customHeight="1" thickTop="1" thickBot="1">
      <c r="A56" s="1086">
        <v>2</v>
      </c>
      <c r="B56" s="1087" t="s">
        <v>1319</v>
      </c>
      <c r="C56" s="237">
        <f ca="1">C13</f>
        <v>0</v>
      </c>
      <c r="D56" s="1597"/>
      <c r="E56" s="1598"/>
      <c r="F56" s="1590"/>
      <c r="I56" s="1599" t="s">
        <v>1459</v>
      </c>
      <c r="J56" s="1600"/>
      <c r="K56" s="1571" t="s">
        <v>1460</v>
      </c>
      <c r="L56" s="1574">
        <f ca="1">IF(L48&lt;J51,"——",L48-J51)</f>
        <v>0</v>
      </c>
      <c r="O56" s="1568" t="s">
        <v>1008</v>
      </c>
      <c r="P56" s="1569" t="s">
        <v>1433</v>
      </c>
      <c r="Q56" s="1570" t="e">
        <f ca="1">C40+J29</f>
        <v>#DIV/0!</v>
      </c>
      <c r="R56" s="1570" t="s">
        <v>1434</v>
      </c>
    </row>
    <row r="57" spans="1:18" s="1534" customFormat="1" ht="24.75" thickBot="1">
      <c r="A57" s="1601"/>
      <c r="B57" s="1079" t="s">
        <v>1383</v>
      </c>
      <c r="C57" s="243">
        <f ca="1">C29</f>
        <v>0</v>
      </c>
      <c r="D57" s="1602"/>
      <c r="E57" s="1603"/>
      <c r="F57" s="1604"/>
      <c r="I57" s="1605" t="s">
        <v>1461</v>
      </c>
      <c r="J57" s="1606">
        <f ca="1">IF(OR(M47="住宅",J51&lt;L48,J56="是"),"——",J51-L48)</f>
        <v>0</v>
      </c>
      <c r="K57" s="1571" t="s">
        <v>1510</v>
      </c>
      <c r="L57" s="1574">
        <f ca="1">IF(L48&lt;J51,"——",IF(L55="比较法",L49,IF(L55="基准地价",L50,L51)))</f>
        <v>0</v>
      </c>
      <c r="O57" s="1568" t="s">
        <v>1009</v>
      </c>
      <c r="P57" s="1569" t="s">
        <v>1511</v>
      </c>
      <c r="Q57" s="1570" t="e">
        <f ca="1">L60</f>
        <v>#DIV/0!</v>
      </c>
      <c r="R57" s="1570" t="s">
        <v>1512</v>
      </c>
    </row>
    <row r="58" spans="1:18" s="1534" customFormat="1" ht="24.75" thickBot="1">
      <c r="A58" s="320" t="s">
        <v>998</v>
      </c>
      <c r="B58" s="1087" t="s">
        <v>1329</v>
      </c>
      <c r="C58" s="321">
        <f ca="1">ROUND(C59+C64+C65+C66,0)</f>
        <v>0</v>
      </c>
      <c r="D58" s="1089" t="s">
        <v>1330</v>
      </c>
      <c r="E58" s="1090"/>
      <c r="F58" s="1091"/>
      <c r="I58" s="1605" t="s">
        <v>1465</v>
      </c>
      <c r="J58" s="1607" t="e">
        <f ca="1">IF(J55&lt;0.4,0.4,J55)</f>
        <v>#DIV/0!</v>
      </c>
      <c r="K58" s="1584" t="s">
        <v>1513</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1469</v>
      </c>
      <c r="Q59" s="1581">
        <f>L52</f>
        <v>0</v>
      </c>
      <c r="R59" s="1570"/>
    </row>
    <row r="60" spans="1:18" s="1534" customFormat="1" ht="16.5" thickBot="1">
      <c r="A60" s="1111" t="s">
        <v>1002</v>
      </c>
      <c r="B60" s="1079" t="s">
        <v>1338</v>
      </c>
      <c r="C60" s="24">
        <f ca="1">IF(项目基本情况!B11="自然人","——",ROUND(C48*F60/(1+'数据-取费表'!C42),0))</f>
        <v>0</v>
      </c>
      <c r="D60" s="1093" t="s">
        <v>1339</v>
      </c>
      <c r="E60" s="1079" t="s">
        <v>1327</v>
      </c>
      <c r="F60" s="336">
        <f t="shared" ref="F60:F66" si="0">F32</f>
        <v>0</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11" t="s">
        <v>1397</v>
      </c>
      <c r="B61" s="1079" t="s">
        <v>1398</v>
      </c>
      <c r="C61" s="24">
        <f ca="1">IF(项目基本情况!B11="自然人","——",IF(D61="按租金收入计税",ROUND(C49*F61/(1+'数据-取费表'!C42),0),IF(D61="按房产原值计税",ROUND(C57*F61*0.7,0),INDIRECT("'数据-取费表'!Aj"&amp;$G$1))))</f>
        <v>0</v>
      </c>
      <c r="D61" s="1520" t="s">
        <v>1343</v>
      </c>
      <c r="E61" s="1079" t="s">
        <v>1399</v>
      </c>
      <c r="F61" s="327">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11" t="s">
        <v>1400</v>
      </c>
      <c r="B62" s="1078" t="s">
        <v>1401</v>
      </c>
      <c r="C62" s="25">
        <f ca="1">IF(项目基本情况!B11="自然人","——",ROUND(F62*F63,0))</f>
        <v>0</v>
      </c>
      <c r="D62" s="1094" t="s">
        <v>1402</v>
      </c>
      <c r="E62" s="1079" t="s">
        <v>1403</v>
      </c>
      <c r="F62" s="330">
        <f t="shared" si="0"/>
        <v>1.5</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1"/>
      <c r="B63" s="1085"/>
      <c r="C63" s="29"/>
      <c r="D63" s="1095"/>
      <c r="E63" s="1079" t="s">
        <v>1404</v>
      </c>
      <c r="F63" s="308">
        <f t="shared" ca="1" si="0"/>
        <v>0</v>
      </c>
      <c r="I63" s="1612" t="s">
        <v>1481</v>
      </c>
      <c r="J63" s="1613">
        <v>70</v>
      </c>
      <c r="K63" s="1613">
        <v>50</v>
      </c>
      <c r="L63" s="1613">
        <v>80</v>
      </c>
      <c r="M63" s="1615">
        <v>0.02</v>
      </c>
      <c r="O63" s="1553" t="s">
        <v>1482</v>
      </c>
      <c r="P63" s="1531"/>
      <c r="Q63" s="1531"/>
      <c r="R63" s="1531"/>
    </row>
    <row r="64" spans="1:18" s="1534" customFormat="1" ht="13.5" thickBot="1">
      <c r="A64" s="1111" t="s">
        <v>1405</v>
      </c>
      <c r="B64" s="1079" t="s">
        <v>1406</v>
      </c>
      <c r="C64" s="24">
        <f ca="1">ROUND(C57*F64,0)</f>
        <v>0</v>
      </c>
      <c r="D64" s="1093" t="s">
        <v>1407</v>
      </c>
      <c r="E64" s="1079" t="s">
        <v>1399</v>
      </c>
      <c r="F64" s="333">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11" t="s">
        <v>1408</v>
      </c>
      <c r="B65" s="1079" t="s">
        <v>1358</v>
      </c>
      <c r="C65" s="24">
        <f ca="1">ROUND(C56*F65,0)</f>
        <v>0</v>
      </c>
      <c r="D65" s="1093" t="s">
        <v>1359</v>
      </c>
      <c r="E65" s="1079" t="s">
        <v>1360</v>
      </c>
      <c r="F65" s="335">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11" t="s">
        <v>1409</v>
      </c>
      <c r="B66" s="1079" t="s">
        <v>1344</v>
      </c>
      <c r="C66" s="24">
        <f ca="1">ROUND(C48*F66,0)</f>
        <v>0</v>
      </c>
      <c r="D66" s="1093" t="s">
        <v>1410</v>
      </c>
      <c r="E66" s="1079" t="s">
        <v>1327</v>
      </c>
      <c r="F66" s="317">
        <f t="shared" ca="1" si="0"/>
        <v>0</v>
      </c>
      <c r="O66" s="1568" t="s">
        <v>1009</v>
      </c>
      <c r="P66" s="1569" t="s">
        <v>1463</v>
      </c>
      <c r="Q66" s="1570" t="e">
        <f ca="1">L60</f>
        <v>#DIV/0!</v>
      </c>
      <c r="R66" s="1570" t="s">
        <v>1486</v>
      </c>
    </row>
    <row r="67" spans="1:18" s="1534" customFormat="1" ht="16.5" thickBot="1">
      <c r="A67" s="1086" t="s">
        <v>999</v>
      </c>
      <c r="B67" s="1096" t="s">
        <v>1368</v>
      </c>
      <c r="C67" s="321">
        <f ca="1">C48-C58</f>
        <v>0</v>
      </c>
      <c r="D67" s="1092" t="s">
        <v>1369</v>
      </c>
      <c r="E67" s="1097"/>
      <c r="F67" s="1098"/>
      <c r="O67" s="1578" t="s">
        <v>1010</v>
      </c>
      <c r="P67" s="1569" t="s">
        <v>1467</v>
      </c>
      <c r="Q67" s="1616">
        <f ca="1">L51</f>
        <v>0</v>
      </c>
      <c r="R67" s="1570" t="s">
        <v>1487</v>
      </c>
    </row>
    <row r="68" spans="1:18" s="1534" customFormat="1" ht="16.5" thickBot="1">
      <c r="A68" s="1076" t="s">
        <v>1000</v>
      </c>
      <c r="B68" s="1077" t="s">
        <v>1390</v>
      </c>
      <c r="C68" s="306" t="e">
        <f ca="1">ROUND(C67*(1-((1+F70)/(1+F68))^F69)/(F68-F70),0)</f>
        <v>#DIV/0!</v>
      </c>
      <c r="D68" s="1094" t="s">
        <v>1374</v>
      </c>
      <c r="E68" s="1079" t="s">
        <v>1375</v>
      </c>
      <c r="F68" s="317">
        <f ca="1">F40</f>
        <v>0</v>
      </c>
      <c r="O68" s="1578" t="s">
        <v>1011</v>
      </c>
      <c r="P68" s="1617" t="s">
        <v>1488</v>
      </c>
      <c r="Q68" s="1570">
        <f ca="1">ROUND(Q69-Q70*Q71,0)</f>
        <v>0</v>
      </c>
      <c r="R68" s="1570" t="s">
        <v>1019</v>
      </c>
    </row>
    <row r="69" spans="1:18" s="1534" customFormat="1" ht="13.5" thickBot="1">
      <c r="A69" s="1080"/>
      <c r="B69" s="1081"/>
      <c r="C69" s="311"/>
      <c r="D69" s="1099" t="s">
        <v>1378</v>
      </c>
      <c r="E69" s="1079" t="s">
        <v>1379</v>
      </c>
      <c r="F69" s="338">
        <f ca="1">F41</f>
        <v>0</v>
      </c>
      <c r="O69" s="1578" t="s">
        <v>1016</v>
      </c>
      <c r="P69" s="1617" t="s">
        <v>1489</v>
      </c>
      <c r="Q69" s="1570">
        <f ca="1">C39</f>
        <v>0</v>
      </c>
      <c r="R69" s="1570" t="s">
        <v>1434</v>
      </c>
    </row>
    <row r="70" spans="1:18" s="1534" customFormat="1" ht="13.5" thickBot="1">
      <c r="A70" s="1083"/>
      <c r="B70" s="1084"/>
      <c r="C70" s="315"/>
      <c r="D70" s="1095"/>
      <c r="E70" s="1079" t="s">
        <v>1382</v>
      </c>
      <c r="F70" s="1182">
        <f ca="1">F42</f>
        <v>0</v>
      </c>
      <c r="O70" s="1578" t="s">
        <v>1017</v>
      </c>
      <c r="P70" s="1617" t="s">
        <v>1490</v>
      </c>
      <c r="Q70" s="1570">
        <f ca="1">C13</f>
        <v>0</v>
      </c>
      <c r="R70" s="1570" t="s">
        <v>1434</v>
      </c>
    </row>
    <row r="71" spans="1:18" s="1534" customFormat="1" ht="13.5" thickBot="1">
      <c r="A71" s="1100" t="s">
        <v>1001</v>
      </c>
      <c r="B71" s="1101" t="s">
        <v>1392</v>
      </c>
      <c r="C71" s="341" t="e">
        <f ca="1">ROUND(C68/F71,0)</f>
        <v>#DIV/0!</v>
      </c>
      <c r="D71" s="1102" t="s">
        <v>1393</v>
      </c>
      <c r="E71" s="1103" t="s">
        <v>1394</v>
      </c>
      <c r="F71" s="344">
        <f ca="1">F43</f>
        <v>0</v>
      </c>
      <c r="O71" s="1578" t="s">
        <v>1018</v>
      </c>
      <c r="P71" s="1617" t="s">
        <v>1491</v>
      </c>
      <c r="Q71" s="1581">
        <f ca="1">C76</f>
        <v>0</v>
      </c>
      <c r="R71" s="1570"/>
    </row>
    <row r="72" spans="1:18" s="1534" customFormat="1" ht="13.5" thickBot="1">
      <c r="B72" s="733"/>
      <c r="C72" s="733"/>
      <c r="O72" s="1578" t="s">
        <v>1012</v>
      </c>
      <c r="P72" s="1569" t="s">
        <v>1469</v>
      </c>
      <c r="Q72" s="1581">
        <f>L52</f>
        <v>0</v>
      </c>
      <c r="R72" s="1570"/>
    </row>
    <row r="73" spans="1:18" ht="16.5" thickBot="1">
      <c r="A73" s="1534"/>
      <c r="B73" s="733"/>
      <c r="C73" s="733"/>
      <c r="D73" s="1534"/>
      <c r="E73" s="1534"/>
      <c r="F73" s="1534"/>
      <c r="O73" s="1578" t="s">
        <v>1013</v>
      </c>
      <c r="P73" s="1569" t="s">
        <v>1472</v>
      </c>
      <c r="Q73" s="1570" t="e">
        <f ca="1">L58</f>
        <v>#DIV/0!</v>
      </c>
      <c r="R73" s="1570" t="s">
        <v>1473</v>
      </c>
    </row>
    <row r="74" spans="1:18" ht="13.5" thickBot="1">
      <c r="A74" s="1534"/>
      <c r="B74" s="278"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5" t="s">
        <v>1411</v>
      </c>
      <c r="C75" s="346">
        <f ca="1">ROUND(C13*C76,0)</f>
        <v>0</v>
      </c>
      <c r="D75" s="1534"/>
      <c r="E75" s="1534"/>
      <c r="F75" s="1534"/>
      <c r="K75" s="1552"/>
      <c r="L75" s="1534"/>
      <c r="O75" s="1568" t="s">
        <v>1014</v>
      </c>
      <c r="P75" s="1569" t="s">
        <v>1454</v>
      </c>
      <c r="Q75" s="1570" t="e">
        <f ca="1">Q65+Q66</f>
        <v>#DIV/0!</v>
      </c>
      <c r="R75" s="1570" t="s">
        <v>1015</v>
      </c>
    </row>
    <row r="76" spans="1:18">
      <c r="B76" s="347" t="s">
        <v>1412</v>
      </c>
      <c r="C76" s="348">
        <f ca="1">INDIRECT("'数据-取费表'!j"&amp;$G$1)</f>
        <v>0</v>
      </c>
      <c r="I76" s="1534"/>
      <c r="J76" s="1534"/>
      <c r="K76" s="1552"/>
      <c r="L76" s="1534"/>
    </row>
    <row r="77" spans="1:18">
      <c r="B77" s="349" t="s">
        <v>1413</v>
      </c>
      <c r="C77" s="350"/>
      <c r="I77" s="1534"/>
      <c r="J77" s="1534"/>
      <c r="K77" s="1552"/>
      <c r="L77" s="1534"/>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3125</v>
      </c>
      <c r="B1" s="3028"/>
      <c r="C1" s="3040"/>
      <c r="D1" s="3040"/>
      <c r="E1" s="3029"/>
      <c r="F1" s="3030"/>
      <c r="G1" s="3031"/>
      <c r="J1" s="3034" t="s">
        <v>3004</v>
      </c>
      <c r="K1" s="3035"/>
      <c r="L1" s="3035"/>
      <c r="M1" s="3035"/>
      <c r="N1" s="3035"/>
      <c r="O1" s="3035"/>
      <c r="P1" s="3035"/>
      <c r="Q1" s="3035"/>
      <c r="R1" s="3036"/>
      <c r="S1" s="3037"/>
      <c r="T1" s="3037"/>
      <c r="U1" s="3037"/>
    </row>
    <row r="2" spans="1:22" s="3049" customFormat="1" ht="13.15" customHeight="1">
      <c r="A2" s="1535" t="s">
        <v>3005</v>
      </c>
      <c r="B2" s="3039" t="e">
        <f>C40</f>
        <v>#DIV/0!</v>
      </c>
      <c r="C2" s="3040" t="s">
        <v>3006</v>
      </c>
      <c r="D2" s="3040"/>
      <c r="E2" s="3041"/>
      <c r="F2" s="3042"/>
      <c r="G2" s="3043"/>
      <c r="H2" s="3044"/>
      <c r="I2" s="3045"/>
      <c r="J2" s="3528" t="s">
        <v>3007</v>
      </c>
      <c r="K2" s="3529"/>
      <c r="L2" s="3046" t="s">
        <v>3008</v>
      </c>
      <c r="M2" s="3046" t="s">
        <v>3009</v>
      </c>
      <c r="N2" s="3046" t="s">
        <v>3010</v>
      </c>
      <c r="O2" s="3046" t="s">
        <v>3011</v>
      </c>
      <c r="P2" s="3046" t="s">
        <v>3012</v>
      </c>
      <c r="Q2" s="3047" t="s">
        <v>3013</v>
      </c>
      <c r="R2" s="3048" t="s">
        <v>3014</v>
      </c>
      <c r="S2" s="3037"/>
      <c r="T2" s="3037"/>
      <c r="U2" s="3037"/>
      <c r="V2" s="3045"/>
    </row>
    <row r="3" spans="1:22" s="3049" customFormat="1" ht="13.15" customHeight="1">
      <c r="A3" s="3050" t="s">
        <v>3015</v>
      </c>
      <c r="B3" s="3051" t="e">
        <f>ROUND(B2*10000/B4,0)</f>
        <v>#DIV/0!</v>
      </c>
      <c r="C3" s="3040" t="s">
        <v>3016</v>
      </c>
      <c r="D3" s="3040"/>
      <c r="E3" s="3041"/>
      <c r="F3" s="3042"/>
      <c r="G3" s="3043"/>
      <c r="H3" s="3044"/>
      <c r="I3" s="3045"/>
      <c r="J3" s="3530" t="s">
        <v>3017</v>
      </c>
      <c r="K3" s="3531"/>
      <c r="L3" s="3052"/>
      <c r="M3" s="3052"/>
      <c r="N3" s="3052"/>
      <c r="O3" s="3052"/>
      <c r="P3" s="3052"/>
      <c r="Q3" s="3053"/>
      <c r="R3" s="3054">
        <f>SUM(L3:Q3)</f>
        <v>0</v>
      </c>
      <c r="S3" s="3037"/>
      <c r="T3" s="3037"/>
      <c r="U3" s="3037"/>
      <c r="V3" s="3045"/>
    </row>
    <row r="4" spans="1:22" s="3049" customFormat="1" ht="13.15" customHeight="1">
      <c r="A4" s="3055" t="s">
        <v>3018</v>
      </c>
      <c r="B4" s="3056"/>
      <c r="C4" s="3040"/>
      <c r="D4" s="3040"/>
      <c r="E4" s="3041"/>
      <c r="F4" s="3042"/>
      <c r="G4" s="3043"/>
      <c r="H4" s="3044"/>
      <c r="I4" s="3045"/>
      <c r="J4" s="3530" t="s">
        <v>3019</v>
      </c>
      <c r="K4" s="3531"/>
      <c r="L4" s="3057"/>
      <c r="M4" s="3057"/>
      <c r="N4" s="3057"/>
      <c r="O4" s="3057"/>
      <c r="P4" s="3057"/>
      <c r="Q4" s="3058"/>
      <c r="R4" s="3059">
        <f>SUM(L4:Q4)</f>
        <v>0</v>
      </c>
      <c r="S4" s="3037"/>
      <c r="T4" s="3037"/>
      <c r="U4" s="3037"/>
      <c r="V4" s="3045"/>
    </row>
    <row r="5" spans="1:22" s="3049" customFormat="1" ht="13.15" customHeight="1" thickBot="1">
      <c r="A5" s="3060" t="s">
        <v>3020</v>
      </c>
      <c r="B5" s="3061"/>
      <c r="C5" s="3040"/>
      <c r="D5" s="3062"/>
      <c r="E5" s="3042"/>
      <c r="F5" s="3042"/>
      <c r="G5" s="3043"/>
      <c r="H5" s="3044"/>
      <c r="I5" s="3045"/>
      <c r="J5" s="3063" t="s">
        <v>3021</v>
      </c>
      <c r="K5" s="3064"/>
      <c r="L5" s="3064"/>
      <c r="M5" s="3065"/>
      <c r="N5" s="3065"/>
      <c r="O5" s="3065"/>
      <c r="P5" s="3065"/>
      <c r="Q5" s="3065"/>
      <c r="R5" s="3048">
        <f>SUM(R14,R19,R24,R25,R27,R28)</f>
        <v>0</v>
      </c>
      <c r="S5" s="3037"/>
      <c r="T5" s="3037" t="s">
        <v>3022</v>
      </c>
      <c r="U5" s="3037" t="e">
        <f>ROUND(R5*10000/365/R3,1)</f>
        <v>#DIV/0!</v>
      </c>
      <c r="V5" s="3045"/>
    </row>
    <row r="6" spans="1:22" s="3049" customFormat="1" ht="13.15" customHeight="1" thickBot="1">
      <c r="A6" s="3536" t="s">
        <v>3023</v>
      </c>
      <c r="B6" s="3537"/>
      <c r="C6" s="3538"/>
      <c r="D6" s="3066"/>
      <c r="E6" s="3067"/>
      <c r="F6" s="3068"/>
      <c r="G6" s="3069"/>
      <c r="H6" s="3044"/>
      <c r="I6" s="3045"/>
      <c r="J6" s="3522">
        <v>1</v>
      </c>
      <c r="K6" s="3523" t="s">
        <v>3024</v>
      </c>
      <c r="L6" s="3070" t="s">
        <v>3025</v>
      </c>
      <c r="M6" s="3071" t="s">
        <v>3026</v>
      </c>
      <c r="N6" s="3071" t="s">
        <v>3027</v>
      </c>
      <c r="O6" s="3071" t="s">
        <v>3028</v>
      </c>
      <c r="P6" s="3071" t="s">
        <v>3029</v>
      </c>
      <c r="Q6" s="3071" t="s">
        <v>3030</v>
      </c>
      <c r="R6" s="3054" t="s">
        <v>3031</v>
      </c>
      <c r="S6" s="3037"/>
      <c r="T6" s="3037" t="s">
        <v>3032</v>
      </c>
      <c r="U6" s="3037"/>
      <c r="V6" s="3045"/>
    </row>
    <row r="7" spans="1:22" s="3049" customFormat="1" ht="13.15" customHeight="1">
      <c r="A7" s="3072" t="s">
        <v>3033</v>
      </c>
      <c r="B7" s="3073"/>
      <c r="C7" s="3074"/>
      <c r="D7" s="3075">
        <f>SUM(D9,D10,D11,D17,0)</f>
        <v>0</v>
      </c>
      <c r="E7" s="3076" t="e">
        <f>E9+E10+E11+E17</f>
        <v>#DIV/0!</v>
      </c>
      <c r="F7" s="3077"/>
      <c r="G7" s="3078"/>
      <c r="H7" s="3044"/>
      <c r="I7" s="3045"/>
      <c r="J7" s="3522"/>
      <c r="K7" s="3524"/>
      <c r="L7" s="3079" t="s">
        <v>3034</v>
      </c>
      <c r="M7" s="3080"/>
      <c r="N7" s="3056"/>
      <c r="O7" s="3081"/>
      <c r="P7" s="3081"/>
      <c r="Q7" s="3082">
        <v>365</v>
      </c>
      <c r="R7" s="3083">
        <f>ROUND(M7*N7*O7*P7*Q7/10000,0)</f>
        <v>0</v>
      </c>
      <c r="S7" s="3037"/>
      <c r="T7" s="3037" t="s">
        <v>3035</v>
      </c>
      <c r="U7" s="3037"/>
      <c r="V7" s="3045"/>
    </row>
    <row r="8" spans="1:22" s="3049" customFormat="1" ht="13.15" customHeight="1">
      <c r="A8" s="3084" t="s">
        <v>3036</v>
      </c>
      <c r="B8" s="3539" t="s">
        <v>3037</v>
      </c>
      <c r="C8" s="3540"/>
      <c r="D8" s="3085" t="s">
        <v>3038</v>
      </c>
      <c r="E8" s="3086" t="s">
        <v>3039</v>
      </c>
      <c r="F8" s="3087" t="s">
        <v>3040</v>
      </c>
      <c r="G8" s="3088"/>
      <c r="H8" s="3044"/>
      <c r="I8" s="3045"/>
      <c r="J8" s="3522"/>
      <c r="K8" s="3524"/>
      <c r="L8" s="3079" t="s">
        <v>3041</v>
      </c>
      <c r="M8" s="3080"/>
      <c r="N8" s="3056"/>
      <c r="O8" s="3081"/>
      <c r="P8" s="3081"/>
      <c r="Q8" s="3082">
        <v>365</v>
      </c>
      <c r="R8" s="3083">
        <f t="shared" ref="R8:R13" si="0">ROUND(M8*N8*O8*P8*Q8/10000,0)</f>
        <v>0</v>
      </c>
      <c r="S8" s="3037"/>
      <c r="T8" s="3037" t="s">
        <v>3042</v>
      </c>
      <c r="U8" s="3037"/>
      <c r="V8" s="3045"/>
    </row>
    <row r="9" spans="1:22" s="3049" customFormat="1" ht="13.15" customHeight="1">
      <c r="A9" s="3084">
        <v>1</v>
      </c>
      <c r="B9" s="3539" t="s">
        <v>3043</v>
      </c>
      <c r="C9" s="3540"/>
      <c r="D9" s="3085">
        <f>ROUND(D6*E9,0)</f>
        <v>0</v>
      </c>
      <c r="E9" s="3089"/>
      <c r="F9" s="3090" t="s">
        <v>3044</v>
      </c>
      <c r="G9" s="3069"/>
      <c r="H9" s="3044"/>
      <c r="I9" s="3045"/>
      <c r="J9" s="3522"/>
      <c r="K9" s="3524"/>
      <c r="L9" s="3079" t="s">
        <v>3045</v>
      </c>
      <c r="M9" s="3080"/>
      <c r="N9" s="3056"/>
      <c r="O9" s="3081"/>
      <c r="P9" s="3081"/>
      <c r="Q9" s="3082">
        <v>365</v>
      </c>
      <c r="R9" s="3083">
        <f t="shared" si="0"/>
        <v>0</v>
      </c>
      <c r="S9" s="3037"/>
      <c r="T9" s="3037"/>
      <c r="U9" s="3037"/>
      <c r="V9" s="3045"/>
    </row>
    <row r="10" spans="1:22" s="3049" customFormat="1" ht="13.15" customHeight="1">
      <c r="A10" s="3084">
        <v>2</v>
      </c>
      <c r="B10" s="3539" t="s">
        <v>3046</v>
      </c>
      <c r="C10" s="3540"/>
      <c r="D10" s="3085">
        <f>ROUND(D6*E10,0)</f>
        <v>0</v>
      </c>
      <c r="E10" s="3089"/>
      <c r="F10" s="3090" t="s">
        <v>3047</v>
      </c>
      <c r="G10" s="3069"/>
      <c r="H10" s="3044"/>
      <c r="I10" s="3045"/>
      <c r="J10" s="3522"/>
      <c r="K10" s="3524"/>
      <c r="L10" s="3079" t="s">
        <v>3048</v>
      </c>
      <c r="M10" s="3080"/>
      <c r="N10" s="3056"/>
      <c r="O10" s="3081"/>
      <c r="P10" s="3081"/>
      <c r="Q10" s="3082">
        <v>365</v>
      </c>
      <c r="R10" s="3083">
        <f t="shared" si="0"/>
        <v>0</v>
      </c>
      <c r="S10" s="3037"/>
      <c r="T10" s="3037"/>
      <c r="U10" s="3037"/>
      <c r="V10" s="3045"/>
    </row>
    <row r="11" spans="1:22" s="3049" customFormat="1" ht="13.15" customHeight="1">
      <c r="A11" s="3084">
        <v>3</v>
      </c>
      <c r="B11" s="3539" t="s">
        <v>3049</v>
      </c>
      <c r="C11" s="3540"/>
      <c r="D11" s="3085">
        <f>D12+D14+D15+D16</f>
        <v>0</v>
      </c>
      <c r="E11" s="3091" t="e">
        <f>D11/D6</f>
        <v>#DIV/0!</v>
      </c>
      <c r="F11" s="3087"/>
      <c r="G11" s="3088"/>
      <c r="H11" s="3044"/>
      <c r="I11" s="3045"/>
      <c r="J11" s="3522"/>
      <c r="K11" s="3524"/>
      <c r="L11" s="3079" t="s">
        <v>3050</v>
      </c>
      <c r="M11" s="3080"/>
      <c r="N11" s="3056"/>
      <c r="O11" s="3081"/>
      <c r="P11" s="3081"/>
      <c r="Q11" s="3082">
        <v>365</v>
      </c>
      <c r="R11" s="3083">
        <f t="shared" si="0"/>
        <v>0</v>
      </c>
      <c r="S11" s="3037"/>
      <c r="T11" s="3037"/>
      <c r="U11" s="3037"/>
      <c r="V11" s="3045"/>
    </row>
    <row r="12" spans="1:22" s="3049" customFormat="1" ht="13.15" customHeight="1">
      <c r="A12" s="3092" t="s">
        <v>3051</v>
      </c>
      <c r="B12" s="3532" t="s">
        <v>3052</v>
      </c>
      <c r="C12" s="3533"/>
      <c r="D12" s="3093">
        <f>ROUND(D13*1.2%*(1-30%),0)</f>
        <v>0</v>
      </c>
      <c r="E12" s="3094">
        <v>1.2E-2</v>
      </c>
      <c r="F12" s="3087" t="s">
        <v>3053</v>
      </c>
      <c r="G12" s="3088"/>
      <c r="H12" s="3044"/>
      <c r="I12" s="3045"/>
      <c r="J12" s="3522"/>
      <c r="K12" s="3524"/>
      <c r="L12" s="3079" t="s">
        <v>3054</v>
      </c>
      <c r="M12" s="3080"/>
      <c r="N12" s="3056"/>
      <c r="O12" s="3081"/>
      <c r="P12" s="3081"/>
      <c r="Q12" s="3082">
        <v>365</v>
      </c>
      <c r="R12" s="3083">
        <f t="shared" si="0"/>
        <v>0</v>
      </c>
      <c r="S12" s="3037"/>
      <c r="T12" s="3037"/>
      <c r="U12" s="3037"/>
      <c r="V12" s="3045"/>
    </row>
    <row r="13" spans="1:22" s="3049" customFormat="1" ht="13.15" customHeight="1">
      <c r="A13" s="3092"/>
      <c r="B13" s="3095"/>
      <c r="C13" s="3096" t="s">
        <v>3055</v>
      </c>
      <c r="D13" s="3097"/>
      <c r="E13" s="3098"/>
      <c r="F13" s="3087"/>
      <c r="G13" s="3088"/>
      <c r="H13" s="3044"/>
      <c r="I13" s="3045"/>
      <c r="J13" s="3522"/>
      <c r="K13" s="3524"/>
      <c r="L13" s="3079" t="s">
        <v>3056</v>
      </c>
      <c r="M13" s="3080"/>
      <c r="N13" s="3056"/>
      <c r="O13" s="3081"/>
      <c r="P13" s="3081"/>
      <c r="Q13" s="3082">
        <v>365</v>
      </c>
      <c r="R13" s="3083">
        <f t="shared" si="0"/>
        <v>0</v>
      </c>
      <c r="S13" s="3037"/>
      <c r="T13" s="3037"/>
      <c r="U13" s="3037"/>
      <c r="V13" s="3045"/>
    </row>
    <row r="14" spans="1:22" s="3049" customFormat="1" ht="13.15" customHeight="1">
      <c r="A14" s="3092" t="s">
        <v>3057</v>
      </c>
      <c r="B14" s="3532" t="s">
        <v>3058</v>
      </c>
      <c r="C14" s="3533"/>
      <c r="D14" s="3093">
        <f>ROUND(E14*B5/10000,0)</f>
        <v>0</v>
      </c>
      <c r="E14" s="3082"/>
      <c r="F14" s="3087" t="s">
        <v>3059</v>
      </c>
      <c r="G14" s="3088"/>
      <c r="H14" s="3044"/>
      <c r="I14" s="3045"/>
      <c r="J14" s="3522"/>
      <c r="K14" s="3525"/>
      <c r="L14" s="3099" t="s">
        <v>3060</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3061</v>
      </c>
      <c r="B15" s="3532" t="s">
        <v>3062</v>
      </c>
      <c r="C15" s="3533"/>
      <c r="D15" s="3093">
        <f>ROUND(D6*E15,0)</f>
        <v>0</v>
      </c>
      <c r="E15" s="3094">
        <v>5.5E-2</v>
      </c>
      <c r="F15" s="3087" t="s">
        <v>3063</v>
      </c>
      <c r="G15" s="3069"/>
      <c r="H15" s="3044"/>
      <c r="I15" s="3045"/>
      <c r="J15" s="3522">
        <v>2</v>
      </c>
      <c r="K15" s="3523" t="s">
        <v>3064</v>
      </c>
      <c r="L15" s="3079" t="s">
        <v>3065</v>
      </c>
      <c r="M15" s="3080" t="s">
        <v>3066</v>
      </c>
      <c r="N15" s="3080" t="s">
        <v>3067</v>
      </c>
      <c r="O15" s="3081" t="s">
        <v>3068</v>
      </c>
      <c r="P15" s="3081" t="s">
        <v>3030</v>
      </c>
      <c r="Q15" s="3056" t="s">
        <v>3069</v>
      </c>
      <c r="R15" s="3103" t="s">
        <v>3031</v>
      </c>
      <c r="S15" s="3037"/>
      <c r="T15" s="3037"/>
      <c r="U15" s="3037"/>
      <c r="V15" s="3045"/>
    </row>
    <row r="16" spans="1:22" s="3049" customFormat="1" ht="13.15" customHeight="1">
      <c r="A16" s="3092" t="s">
        <v>3070</v>
      </c>
      <c r="B16" s="3532" t="s">
        <v>3071</v>
      </c>
      <c r="C16" s="3533"/>
      <c r="D16" s="3104">
        <f>D6*E16</f>
        <v>0</v>
      </c>
      <c r="E16" s="3105"/>
      <c r="F16" s="3090" t="s">
        <v>3072</v>
      </c>
      <c r="G16" s="3069"/>
      <c r="H16" s="3044"/>
      <c r="I16" s="3045"/>
      <c r="J16" s="3522"/>
      <c r="K16" s="3524"/>
      <c r="L16" s="3079" t="s">
        <v>3073</v>
      </c>
      <c r="M16" s="3080"/>
      <c r="N16" s="3080"/>
      <c r="O16" s="3081"/>
      <c r="P16" s="3082">
        <v>365</v>
      </c>
      <c r="Q16" s="3056"/>
      <c r="R16" s="3103">
        <f>ROUND(M16*N16*O16*P16/10000,0)</f>
        <v>0</v>
      </c>
      <c r="S16" s="3037"/>
      <c r="T16" s="3037"/>
      <c r="U16" s="3037"/>
      <c r="V16" s="3045"/>
    </row>
    <row r="17" spans="1:22" s="3049" customFormat="1" ht="13.15" customHeight="1" thickBot="1">
      <c r="A17" s="3106">
        <v>4</v>
      </c>
      <c r="B17" s="3534" t="s">
        <v>3074</v>
      </c>
      <c r="C17" s="3535"/>
      <c r="D17" s="3107">
        <f>ROUND(D6*E17,0)</f>
        <v>0</v>
      </c>
      <c r="E17" s="3108"/>
      <c r="F17" s="3109" t="s">
        <v>3075</v>
      </c>
      <c r="G17" s="3069"/>
      <c r="H17" s="3044"/>
      <c r="I17" s="3045"/>
      <c r="J17" s="3522"/>
      <c r="K17" s="3524"/>
      <c r="L17" s="3079" t="s">
        <v>3076</v>
      </c>
      <c r="M17" s="3080"/>
      <c r="N17" s="3080"/>
      <c r="O17" s="3081"/>
      <c r="P17" s="3082">
        <v>365</v>
      </c>
      <c r="Q17" s="3056"/>
      <c r="R17" s="3103">
        <f>ROUND(M17*N17*O17*P17/10000,0)</f>
        <v>0</v>
      </c>
      <c r="S17" s="3037"/>
      <c r="T17" s="3037"/>
      <c r="U17" s="3037"/>
      <c r="V17" s="3045"/>
    </row>
    <row r="18" spans="1:22" s="3049" customFormat="1" ht="13.15" customHeight="1" thickBot="1">
      <c r="A18" s="3072" t="s">
        <v>3077</v>
      </c>
      <c r="B18" s="3073"/>
      <c r="C18" s="3073"/>
      <c r="D18" s="3110">
        <f>ROUND(D6*E18,0)</f>
        <v>0</v>
      </c>
      <c r="E18" s="3111"/>
      <c r="F18" s="3112" t="s">
        <v>3078</v>
      </c>
      <c r="G18" s="3069"/>
      <c r="H18" s="3044"/>
      <c r="I18" s="3045"/>
      <c r="J18" s="3522"/>
      <c r="K18" s="3524"/>
      <c r="L18" s="3079" t="s">
        <v>3079</v>
      </c>
      <c r="M18" s="3080"/>
      <c r="N18" s="3080"/>
      <c r="O18" s="3081"/>
      <c r="P18" s="3082">
        <v>365</v>
      </c>
      <c r="Q18" s="3056"/>
      <c r="R18" s="3103">
        <f>ROUND(M18*N18*O18*P18/10000,0)</f>
        <v>0</v>
      </c>
      <c r="S18" s="3037"/>
      <c r="T18" s="3037"/>
      <c r="U18" s="3037"/>
      <c r="V18" s="3045"/>
    </row>
    <row r="19" spans="1:22" s="3049" customFormat="1" ht="13.15" customHeight="1" thickBot="1">
      <c r="A19" s="3113" t="s">
        <v>3080</v>
      </c>
      <c r="B19" s="3067"/>
      <c r="C19" s="3067"/>
      <c r="D19" s="3067"/>
      <c r="E19" s="3067"/>
      <c r="F19" s="3068"/>
      <c r="G19" s="3088"/>
      <c r="H19" s="3044"/>
      <c r="I19" s="3045"/>
      <c r="J19" s="3522"/>
      <c r="K19" s="3525"/>
      <c r="L19" s="3099" t="s">
        <v>3060</v>
      </c>
      <c r="M19" s="3100"/>
      <c r="N19" s="3100">
        <f>SUM(N16:N18)</f>
        <v>0</v>
      </c>
      <c r="O19" s="3101"/>
      <c r="P19" s="3114" t="s">
        <v>3124</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522">
        <v>3</v>
      </c>
      <c r="K20" s="3523" t="s">
        <v>3081</v>
      </c>
      <c r="L20" s="3079" t="s">
        <v>3082</v>
      </c>
      <c r="M20" s="3080" t="s">
        <v>3083</v>
      </c>
      <c r="N20" s="3117" t="s">
        <v>3084</v>
      </c>
      <c r="O20" s="3081" t="s">
        <v>3085</v>
      </c>
      <c r="P20" s="3082" t="s">
        <v>3086</v>
      </c>
      <c r="Q20" s="3056" t="s">
        <v>3087</v>
      </c>
      <c r="R20" s="3103" t="s">
        <v>3088</v>
      </c>
      <c r="S20" s="3118"/>
      <c r="T20" s="3118"/>
      <c r="U20" s="3118"/>
      <c r="V20" s="3045"/>
    </row>
    <row r="21" spans="1:22" s="3049" customFormat="1" ht="13.15" customHeight="1">
      <c r="A21" s="3072"/>
      <c r="B21" s="3073"/>
      <c r="C21" s="3119" t="s">
        <v>3089</v>
      </c>
      <c r="D21" s="3120" t="s">
        <v>3090</v>
      </c>
      <c r="E21" s="3121" t="s">
        <v>3091</v>
      </c>
      <c r="F21" s="3116"/>
      <c r="G21" s="3088"/>
      <c r="H21" s="3044"/>
      <c r="I21" s="3045"/>
      <c r="J21" s="3522"/>
      <c r="K21" s="3524"/>
      <c r="L21" s="3079" t="s">
        <v>3092</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3093</v>
      </c>
      <c r="D22" s="3124" t="s">
        <v>3094</v>
      </c>
      <c r="E22" s="3125" t="s">
        <v>3095</v>
      </c>
      <c r="F22" s="3116"/>
      <c r="G22" s="3126"/>
      <c r="H22" s="3044"/>
      <c r="I22" s="3045"/>
      <c r="J22" s="3522"/>
      <c r="K22" s="3524"/>
      <c r="L22" s="3079" t="s">
        <v>3096</v>
      </c>
      <c r="M22" s="3080"/>
      <c r="N22" s="3080"/>
      <c r="O22" s="3081"/>
      <c r="P22" s="3082">
        <v>365</v>
      </c>
      <c r="Q22" s="3056"/>
      <c r="R22" s="3122">
        <f>ROUND(M22*N22*O22*P22/10000,0)</f>
        <v>0</v>
      </c>
      <c r="S22" s="3118"/>
      <c r="T22" s="3118"/>
      <c r="U22" s="3118"/>
      <c r="V22" s="3045"/>
    </row>
    <row r="23" spans="1:22" s="3049" customFormat="1" ht="13.15" customHeight="1">
      <c r="A23" s="3127">
        <v>1</v>
      </c>
      <c r="B23" s="3128" t="s">
        <v>3097</v>
      </c>
      <c r="C23" s="3129">
        <f>D6</f>
        <v>0</v>
      </c>
      <c r="D23" s="3130">
        <f>C23*(1+D24)</f>
        <v>0</v>
      </c>
      <c r="E23" s="3131">
        <f>D23*(1+E24)</f>
        <v>0</v>
      </c>
      <c r="F23" s="3132"/>
      <c r="G23" s="3133"/>
      <c r="H23" s="3044"/>
      <c r="I23" s="3045"/>
      <c r="J23" s="3522"/>
      <c r="K23" s="3524"/>
      <c r="L23" s="3079" t="s">
        <v>3098</v>
      </c>
      <c r="M23" s="3080"/>
      <c r="N23" s="3080"/>
      <c r="O23" s="3081"/>
      <c r="P23" s="3082">
        <v>365</v>
      </c>
      <c r="Q23" s="3056"/>
      <c r="R23" s="3122">
        <f>ROUND(M23*N23*O23*P23/10000,0)</f>
        <v>0</v>
      </c>
      <c r="S23" s="3037"/>
      <c r="T23" s="3037"/>
      <c r="U23" s="3037"/>
      <c r="V23" s="3045"/>
    </row>
    <row r="24" spans="1:22" s="3049" customFormat="1" ht="13.15" customHeight="1">
      <c r="A24" s="3134"/>
      <c r="B24" s="3135" t="s">
        <v>3099</v>
      </c>
      <c r="C24" s="3136"/>
      <c r="D24" s="3137"/>
      <c r="E24" s="3138"/>
      <c r="F24" s="3139"/>
      <c r="G24" s="3133"/>
      <c r="H24" s="3044"/>
      <c r="I24" s="3045"/>
      <c r="J24" s="3522"/>
      <c r="K24" s="3525"/>
      <c r="L24" s="3099" t="s">
        <v>3060</v>
      </c>
      <c r="M24" s="3100">
        <f>SUM(M21:M23)</f>
        <v>0</v>
      </c>
      <c r="N24" s="3100"/>
      <c r="O24" s="3101"/>
      <c r="P24" s="3114" t="s">
        <v>3124</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3100</v>
      </c>
      <c r="L25" s="3142"/>
      <c r="M25" s="3142"/>
      <c r="N25" s="3142"/>
      <c r="O25" s="3142"/>
      <c r="P25" s="3143"/>
      <c r="Q25" s="3144">
        <v>0</v>
      </c>
      <c r="R25" s="3115">
        <f>ROUND(R14*Q25,0)</f>
        <v>0</v>
      </c>
      <c r="S25" s="3037"/>
      <c r="T25" s="3037"/>
      <c r="U25" s="3037"/>
      <c r="V25" s="3145"/>
    </row>
    <row r="26" spans="1:22" s="3146" customFormat="1" ht="13.15" customHeight="1">
      <c r="A26" s="3127">
        <v>2</v>
      </c>
      <c r="B26" s="3128" t="s">
        <v>3101</v>
      </c>
      <c r="C26" s="3129">
        <f>D7</f>
        <v>0</v>
      </c>
      <c r="D26" s="3130">
        <f>D23*D27</f>
        <v>0</v>
      </c>
      <c r="E26" s="3131">
        <f>E23*E27</f>
        <v>0</v>
      </c>
      <c r="F26" s="3132"/>
      <c r="G26" s="3133"/>
      <c r="H26" s="3044"/>
      <c r="I26" s="3045"/>
      <c r="J26" s="3526">
        <v>5</v>
      </c>
      <c r="K26" s="3147" t="s">
        <v>3102</v>
      </c>
      <c r="L26" s="3148"/>
      <c r="M26" s="3149"/>
      <c r="N26" s="3150" t="s">
        <v>3103</v>
      </c>
      <c r="O26" s="3150" t="s">
        <v>3104</v>
      </c>
      <c r="P26" s="3151" t="s">
        <v>3105</v>
      </c>
      <c r="Q26" s="3151" t="s">
        <v>3106</v>
      </c>
      <c r="R26" s="3054" t="s">
        <v>3031</v>
      </c>
      <c r="S26" s="3152"/>
      <c r="T26" s="3152"/>
      <c r="U26" s="3152"/>
      <c r="V26" s="3145"/>
    </row>
    <row r="27" spans="1:22" s="3049" customFormat="1" ht="13.15" customHeight="1">
      <c r="A27" s="3134"/>
      <c r="B27" s="3135" t="s">
        <v>3107</v>
      </c>
      <c r="C27" s="3153" t="e">
        <f>E7</f>
        <v>#DIV/0!</v>
      </c>
      <c r="D27" s="3137"/>
      <c r="E27" s="3138"/>
      <c r="F27" s="3139"/>
      <c r="G27" s="3133"/>
      <c r="H27" s="3154"/>
      <c r="I27" s="3145"/>
      <c r="J27" s="3527"/>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3108</v>
      </c>
      <c r="F28" s="3139"/>
      <c r="G28" s="3126"/>
      <c r="H28" s="3154"/>
      <c r="I28" s="3145"/>
      <c r="J28" s="3160">
        <v>6</v>
      </c>
      <c r="K28" s="3161" t="s">
        <v>3109</v>
      </c>
      <c r="L28" s="3162" t="s">
        <v>3110</v>
      </c>
      <c r="M28" s="3163"/>
      <c r="N28" s="3162" t="s">
        <v>3111</v>
      </c>
      <c r="O28" s="3164"/>
      <c r="P28" s="3162" t="s">
        <v>3112</v>
      </c>
      <c r="Q28" s="3165">
        <v>1.4999999999999999E-2</v>
      </c>
      <c r="R28" s="3166"/>
      <c r="S28" s="3118"/>
      <c r="T28" s="3118"/>
      <c r="U28" s="3118"/>
      <c r="V28" s="3145"/>
    </row>
    <row r="29" spans="1:22" s="3146" customFormat="1" ht="13.15" customHeight="1">
      <c r="A29" s="3127">
        <v>3</v>
      </c>
      <c r="B29" s="3128" t="s">
        <v>3113</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3107</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3114</v>
      </c>
      <c r="K31" s="3035"/>
      <c r="L31" s="3035"/>
      <c r="M31" s="3035"/>
      <c r="N31" s="3035"/>
      <c r="O31" s="3035"/>
      <c r="P31" s="3035"/>
      <c r="Q31" s="3035"/>
      <c r="R31" s="3036"/>
      <c r="S31" s="3118"/>
      <c r="T31" s="3037"/>
      <c r="U31" s="3037"/>
      <c r="V31" s="3145"/>
    </row>
    <row r="32" spans="1:22" s="3146" customFormat="1" ht="13.15" customHeight="1">
      <c r="A32" s="3127">
        <v>4</v>
      </c>
      <c r="B32" s="3128" t="s">
        <v>3115</v>
      </c>
      <c r="C32" s="3129">
        <f>C23-C26-C29</f>
        <v>0</v>
      </c>
      <c r="D32" s="3130">
        <f>D23-D26-D29</f>
        <v>0</v>
      </c>
      <c r="E32" s="3131">
        <f>E23-E26-E29</f>
        <v>0</v>
      </c>
      <c r="F32" s="3132"/>
      <c r="G32" s="3126"/>
      <c r="H32" s="3044"/>
      <c r="I32" s="3045"/>
      <c r="J32" s="3528" t="s">
        <v>3007</v>
      </c>
      <c r="K32" s="3529"/>
      <c r="L32" s="3046" t="s">
        <v>3008</v>
      </c>
      <c r="M32" s="3046" t="s">
        <v>3009</v>
      </c>
      <c r="N32" s="3046" t="s">
        <v>3010</v>
      </c>
      <c r="O32" s="3046" t="s">
        <v>3011</v>
      </c>
      <c r="P32" s="3046" t="s">
        <v>3012</v>
      </c>
      <c r="Q32" s="3047" t="s">
        <v>3013</v>
      </c>
      <c r="R32" s="3169" t="s">
        <v>3014</v>
      </c>
      <c r="S32" s="3118"/>
      <c r="T32" s="3037"/>
      <c r="U32" s="3037"/>
      <c r="V32" s="3145"/>
    </row>
    <row r="33" spans="1:23" s="3049" customFormat="1" ht="13.15" customHeight="1">
      <c r="A33" s="3127"/>
      <c r="B33" s="3128"/>
      <c r="C33" s="3129"/>
      <c r="D33" s="3170"/>
      <c r="E33" s="3171"/>
      <c r="F33" s="3132"/>
      <c r="G33" s="3126"/>
      <c r="H33" s="3154"/>
      <c r="I33" s="3145"/>
      <c r="J33" s="3530" t="s">
        <v>3017</v>
      </c>
      <c r="K33" s="3531"/>
      <c r="L33" s="3052"/>
      <c r="M33" s="3052"/>
      <c r="N33" s="3052"/>
      <c r="O33" s="3052"/>
      <c r="P33" s="3052"/>
      <c r="Q33" s="3053"/>
      <c r="R33" s="3172">
        <f>SUM(L33:Q33)</f>
        <v>0</v>
      </c>
      <c r="S33" s="3118"/>
      <c r="T33" s="3037"/>
      <c r="U33" s="3037"/>
      <c r="V33" s="3045"/>
    </row>
    <row r="34" spans="1:23" s="3049" customFormat="1" ht="13.15" customHeight="1">
      <c r="A34" s="3127">
        <v>5</v>
      </c>
      <c r="B34" s="3128" t="s">
        <v>3116</v>
      </c>
      <c r="C34" s="3173"/>
      <c r="D34" s="3174"/>
      <c r="E34" s="3175"/>
      <c r="F34" s="3132"/>
      <c r="G34" s="3126"/>
      <c r="H34" s="3154"/>
      <c r="I34" s="3145"/>
      <c r="J34" s="3530" t="s">
        <v>3019</v>
      </c>
      <c r="K34" s="3531"/>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3117</v>
      </c>
      <c r="C35" s="3177"/>
      <c r="D35" s="3178"/>
      <c r="E35" s="3179"/>
      <c r="F35" s="3132"/>
      <c r="G35" s="3180"/>
      <c r="H35" s="3044"/>
      <c r="I35" s="3145"/>
      <c r="J35" s="3063" t="s">
        <v>3021</v>
      </c>
      <c r="K35" s="3064"/>
      <c r="L35" s="3064"/>
      <c r="M35" s="3065"/>
      <c r="N35" s="3065"/>
      <c r="O35" s="3065"/>
      <c r="P35" s="3065"/>
      <c r="Q35" s="3065"/>
      <c r="R35" s="3181">
        <f>R40+R41+R43</f>
        <v>0</v>
      </c>
      <c r="S35" s="3118"/>
      <c r="T35" s="3037" t="s">
        <v>3022</v>
      </c>
      <c r="U35" s="3037"/>
      <c r="V35" s="3045"/>
    </row>
    <row r="36" spans="1:23" s="3049" customFormat="1" ht="13.15" customHeight="1" thickBot="1">
      <c r="A36" s="3127">
        <v>7</v>
      </c>
      <c r="B36" s="3182" t="s">
        <v>3118</v>
      </c>
      <c r="C36" s="3183"/>
      <c r="D36" s="3184"/>
      <c r="E36" s="3185"/>
      <c r="F36" s="3186">
        <f>C36+D36+E36</f>
        <v>0</v>
      </c>
      <c r="G36" s="3126"/>
      <c r="H36" s="3044"/>
      <c r="I36" s="3045"/>
      <c r="J36" s="3522">
        <v>1</v>
      </c>
      <c r="K36" s="3523" t="s">
        <v>3119</v>
      </c>
      <c r="L36" s="3070"/>
      <c r="M36" s="3071"/>
      <c r="N36" s="3071"/>
      <c r="O36" s="3071"/>
      <c r="P36" s="3071"/>
      <c r="Q36" s="3071"/>
      <c r="R36" s="3054" t="s">
        <v>3031</v>
      </c>
      <c r="S36" s="3118"/>
      <c r="T36" s="3037" t="s">
        <v>3032</v>
      </c>
      <c r="U36" s="3037"/>
      <c r="V36" s="3045"/>
    </row>
    <row r="37" spans="1:23" s="3049" customFormat="1" ht="13.15" customHeight="1">
      <c r="A37" s="3127"/>
      <c r="B37" s="3128"/>
      <c r="C37" s="3128"/>
      <c r="D37" s="3128"/>
      <c r="E37" s="3128"/>
      <c r="F37" s="3132"/>
      <c r="G37" s="3126"/>
      <c r="H37" s="3044"/>
      <c r="I37" s="3045"/>
      <c r="J37" s="3522"/>
      <c r="K37" s="3524"/>
      <c r="L37" s="3079"/>
      <c r="M37" s="3080"/>
      <c r="N37" s="3056"/>
      <c r="O37" s="3081"/>
      <c r="P37" s="3081"/>
      <c r="Q37" s="3082"/>
      <c r="R37" s="3083"/>
      <c r="S37" s="3118"/>
      <c r="T37" s="3037" t="s">
        <v>3035</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522"/>
      <c r="K38" s="3524"/>
      <c r="L38" s="3079"/>
      <c r="M38" s="3080"/>
      <c r="N38" s="3056"/>
      <c r="O38" s="3081"/>
      <c r="P38" s="3081"/>
      <c r="Q38" s="3082"/>
      <c r="R38" s="3083"/>
      <c r="S38" s="3118"/>
      <c r="T38" s="3037" t="s">
        <v>3042</v>
      </c>
      <c r="U38" s="3037"/>
      <c r="V38" s="3045"/>
    </row>
    <row r="39" spans="1:23" s="3049" customFormat="1" ht="13.15" customHeight="1">
      <c r="A39" s="3127">
        <v>9</v>
      </c>
      <c r="B39" s="3128" t="s">
        <v>3120</v>
      </c>
      <c r="C39" s="3093" t="e">
        <f>C38</f>
        <v>#DIV/0!</v>
      </c>
      <c r="D39" s="3128">
        <f>D38/(1+D34)^C36</f>
        <v>0</v>
      </c>
      <c r="E39" s="3128">
        <f>E38/(1+E34)^(C36+D36)</f>
        <v>0</v>
      </c>
      <c r="F39" s="3132"/>
      <c r="G39" s="3187"/>
      <c r="H39" s="3044"/>
      <c r="I39" s="3045"/>
      <c r="J39" s="3522"/>
      <c r="K39" s="3524"/>
      <c r="L39" s="3079"/>
      <c r="M39" s="3080"/>
      <c r="N39" s="3056"/>
      <c r="O39" s="3081"/>
      <c r="P39" s="3081"/>
      <c r="Q39" s="3082"/>
      <c r="R39" s="3083"/>
      <c r="S39" s="3118"/>
      <c r="T39" s="3037"/>
      <c r="U39" s="3037"/>
      <c r="V39" s="3045"/>
    </row>
    <row r="40" spans="1:23" s="3049" customFormat="1" ht="13.15" customHeight="1">
      <c r="A40" s="3188">
        <v>10</v>
      </c>
      <c r="B40" s="3128" t="s">
        <v>3121</v>
      </c>
      <c r="C40" s="3189" t="e">
        <f>C39+D39+E39</f>
        <v>#DIV/0!</v>
      </c>
      <c r="D40" s="3190"/>
      <c r="E40" s="3190"/>
      <c r="F40" s="3191"/>
      <c r="G40" s="3126"/>
      <c r="H40" s="3044"/>
      <c r="I40" s="3045"/>
      <c r="J40" s="3522"/>
      <c r="K40" s="3525"/>
      <c r="L40" s="3099" t="s">
        <v>3060</v>
      </c>
      <c r="M40" s="3100"/>
      <c r="N40" s="3100"/>
      <c r="O40" s="3101"/>
      <c r="P40" s="3101"/>
      <c r="Q40" s="3102"/>
      <c r="R40" s="3048">
        <f>SUM(R37:R39)</f>
        <v>0</v>
      </c>
      <c r="S40" s="3118"/>
      <c r="T40" s="3037"/>
      <c r="U40" s="3037"/>
      <c r="V40" s="3045"/>
    </row>
    <row r="41" spans="1:23" s="3049" customFormat="1" ht="13.15" customHeight="1" thickBot="1">
      <c r="A41" s="3192">
        <v>11</v>
      </c>
      <c r="B41" s="3193" t="s">
        <v>3122</v>
      </c>
      <c r="C41" s="3193" t="e">
        <f>ROUND(C40*10000/B4,0)</f>
        <v>#DIV/0!</v>
      </c>
      <c r="D41" s="3194"/>
      <c r="E41" s="3194"/>
      <c r="F41" s="3195"/>
      <c r="G41" s="3196"/>
      <c r="H41" s="3044"/>
      <c r="I41" s="3045"/>
      <c r="J41" s="3140">
        <v>2</v>
      </c>
      <c r="K41" s="3141" t="s">
        <v>3100</v>
      </c>
      <c r="L41" s="3142"/>
      <c r="M41" s="3142"/>
      <c r="N41" s="3142"/>
      <c r="O41" s="3142"/>
      <c r="P41" s="3143"/>
      <c r="Q41" s="3144"/>
      <c r="R41" s="3115">
        <f>ROUND(R40*Q41,0)</f>
        <v>0</v>
      </c>
      <c r="S41" s="3118"/>
      <c r="T41" s="3037"/>
      <c r="U41" s="3152"/>
      <c r="V41" s="3045"/>
    </row>
    <row r="42" spans="1:23" s="3049" customFormat="1" ht="13.15" customHeight="1">
      <c r="G42" s="3196"/>
      <c r="H42" s="3044"/>
      <c r="I42" s="3045"/>
      <c r="J42" s="3526">
        <v>3</v>
      </c>
      <c r="K42" s="3147" t="s">
        <v>3102</v>
      </c>
      <c r="L42" s="3148"/>
      <c r="M42" s="3149"/>
      <c r="N42" s="3150" t="s">
        <v>3103</v>
      </c>
      <c r="O42" s="3150" t="s">
        <v>3104</v>
      </c>
      <c r="P42" s="3151" t="s">
        <v>3105</v>
      </c>
      <c r="Q42" s="3151" t="s">
        <v>3106</v>
      </c>
      <c r="R42" s="3054" t="s">
        <v>3031</v>
      </c>
      <c r="S42" s="3152"/>
      <c r="T42" s="3152"/>
      <c r="U42" s="3037"/>
      <c r="V42" s="3045"/>
    </row>
    <row r="43" spans="1:23" ht="13.15" customHeight="1">
      <c r="A43" s="3049"/>
      <c r="B43" s="3049"/>
      <c r="C43" s="3049"/>
      <c r="D43" s="3049"/>
      <c r="E43" s="3049"/>
      <c r="F43" s="3049"/>
      <c r="I43" s="3032"/>
      <c r="J43" s="3527"/>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3109</v>
      </c>
      <c r="L44" s="3200" t="s">
        <v>3110</v>
      </c>
      <c r="M44" s="3163"/>
      <c r="N44" s="3200" t="s">
        <v>3111</v>
      </c>
      <c r="O44" s="3163"/>
      <c r="P44" s="3200" t="s">
        <v>3112</v>
      </c>
      <c r="Q44" s="3165">
        <v>1.4999999999999999E-2</v>
      </c>
      <c r="R44" s="31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2287</v>
      </c>
      <c r="B1" s="2020"/>
      <c r="C1" s="2020"/>
      <c r="D1" s="2020"/>
      <c r="E1" s="2021"/>
      <c r="F1" s="2901"/>
      <c r="G1" s="1640"/>
      <c r="H1" s="1640"/>
      <c r="I1" s="1640"/>
      <c r="J1" s="1640"/>
      <c r="K1" s="1640"/>
      <c r="L1" s="1640"/>
      <c r="M1" s="1640"/>
      <c r="N1" s="1640"/>
      <c r="O1" s="1640"/>
      <c r="P1" s="1640"/>
      <c r="Q1" s="1640"/>
      <c r="R1" s="1640"/>
      <c r="S1" s="1640"/>
    </row>
    <row r="2" spans="1:22" ht="15.75">
      <c r="A2" s="2022" t="s">
        <v>2088</v>
      </c>
      <c r="B2" s="2023">
        <f ca="1">SUMIF(B6:B13,"&lt;&gt;#ref!",B6:B13)</f>
        <v>0</v>
      </c>
      <c r="C2" s="2024" t="s">
        <v>2280</v>
      </c>
      <c r="D2" s="2025" t="s">
        <v>2281</v>
      </c>
      <c r="E2" s="2798">
        <f>SUM(E6:E13)</f>
        <v>0</v>
      </c>
      <c r="F2" s="2901"/>
      <c r="G2" s="1640"/>
      <c r="H2" s="1640"/>
      <c r="I2" s="1640"/>
      <c r="J2" s="1640"/>
      <c r="K2" s="1640"/>
      <c r="L2" s="1640"/>
      <c r="M2" s="1640"/>
      <c r="N2" s="1640"/>
      <c r="O2" s="1640"/>
      <c r="P2" s="1640"/>
      <c r="Q2" s="1640"/>
      <c r="R2" s="1640"/>
      <c r="S2" s="1640"/>
    </row>
    <row r="3" spans="1:22" ht="15.75">
      <c r="A3" s="2022" t="s">
        <v>1300</v>
      </c>
      <c r="B3" s="2792" t="e">
        <f ca="1">ROUND(B2*10000/E2,0)</f>
        <v>#DIV/0!</v>
      </c>
      <c r="C3" s="2024" t="s">
        <v>2288</v>
      </c>
      <c r="D3" s="2903"/>
      <c r="E3" s="2905"/>
      <c r="F3" s="2901"/>
      <c r="G3" s="1640"/>
      <c r="H3" s="1640"/>
      <c r="I3" s="1640"/>
      <c r="J3" s="1640"/>
      <c r="K3" s="1640"/>
      <c r="L3" s="1640"/>
      <c r="M3" s="1640"/>
      <c r="N3" s="1640"/>
      <c r="O3" s="1640"/>
      <c r="P3" s="1640"/>
      <c r="Q3" s="1640"/>
      <c r="R3" s="1640"/>
      <c r="S3" s="1640"/>
    </row>
    <row r="4" spans="1:22" ht="15.75">
      <c r="A4" s="2906"/>
      <c r="B4" s="2903"/>
      <c r="C4" s="2903"/>
      <c r="D4" s="2903"/>
      <c r="E4" s="2905"/>
      <c r="F4" s="2901"/>
      <c r="G4" s="1640"/>
      <c r="H4" s="1640"/>
      <c r="I4" s="1640"/>
      <c r="J4" s="1640"/>
      <c r="K4" s="1640"/>
      <c r="L4" s="1640"/>
      <c r="M4" s="1640"/>
      <c r="N4" s="1640"/>
      <c r="O4" s="1640"/>
      <c r="P4" s="1640"/>
      <c r="Q4" s="1640"/>
      <c r="R4" s="1640"/>
      <c r="S4" s="1640"/>
    </row>
    <row r="5" spans="1:22" ht="15">
      <c r="A5" s="2794" t="s">
        <v>2282</v>
      </c>
      <c r="B5" s="3541" t="s">
        <v>2283</v>
      </c>
      <c r="C5" s="3542"/>
      <c r="D5" s="2902"/>
      <c r="E5" s="2026" t="s">
        <v>2284</v>
      </c>
      <c r="F5" s="2027" t="s">
        <v>2285</v>
      </c>
      <c r="G5" s="1640"/>
      <c r="H5" s="1640"/>
      <c r="I5" s="1640"/>
      <c r="J5" s="1640"/>
      <c r="K5" s="1640"/>
      <c r="L5" s="1640"/>
      <c r="M5" s="1640"/>
      <c r="N5" s="1640"/>
      <c r="O5" s="1640"/>
      <c r="P5" s="1640"/>
      <c r="Q5" s="1640"/>
      <c r="R5" s="1640"/>
      <c r="S5" s="1640"/>
    </row>
    <row r="6" spans="1:22">
      <c r="A6" s="2795">
        <f>'数据-取费表'!AN6</f>
        <v>0</v>
      </c>
      <c r="B6" s="2793" t="e">
        <f ca="1">IF(F6="是",'数据-取费表'!AO6,0)</f>
        <v>#REF!</v>
      </c>
      <c r="C6" s="2024" t="s">
        <v>2280</v>
      </c>
      <c r="D6" s="2903"/>
      <c r="E6" s="2797">
        <f>IF(OR(A6=0,F6="否"),0,'数据-取费表'!K6+'数据-取费表'!S6)</f>
        <v>0</v>
      </c>
      <c r="F6" s="2028" t="s">
        <v>2286</v>
      </c>
      <c r="G6" s="1640"/>
      <c r="H6" s="1640"/>
      <c r="I6" s="1640"/>
      <c r="J6" s="1640"/>
      <c r="K6" s="1640"/>
      <c r="L6" s="1640"/>
      <c r="M6" s="1640"/>
      <c r="N6" s="1640"/>
      <c r="O6" s="1640"/>
      <c r="P6" s="1640"/>
      <c r="Q6" s="1640"/>
      <c r="R6" s="1640"/>
      <c r="S6" s="1640"/>
    </row>
    <row r="7" spans="1:22">
      <c r="A7" s="2795">
        <f>'数据-取费表'!AN7</f>
        <v>0</v>
      </c>
      <c r="B7" s="2793" t="e">
        <f ca="1">IF(F7="是",'数据-取费表'!AO7,0)</f>
        <v>#REF!</v>
      </c>
      <c r="C7" s="2024" t="s">
        <v>2280</v>
      </c>
      <c r="D7" s="2903"/>
      <c r="E7" s="2797">
        <f>IF(OR(A7=0,F7="否"),0,'数据-取费表'!K7+'数据-取费表'!S7)</f>
        <v>0</v>
      </c>
      <c r="F7" s="2028" t="s">
        <v>2286</v>
      </c>
      <c r="G7" s="1640"/>
      <c r="H7" s="1640"/>
      <c r="I7" s="1640"/>
      <c r="J7" s="1640"/>
      <c r="K7" s="1640"/>
      <c r="L7" s="1640"/>
      <c r="M7" s="1640"/>
      <c r="N7" s="1640"/>
      <c r="O7" s="1640"/>
      <c r="P7" s="1640"/>
      <c r="Q7" s="1640"/>
      <c r="R7" s="1640"/>
      <c r="S7" s="1640"/>
    </row>
    <row r="8" spans="1:22">
      <c r="A8" s="2795">
        <f>'数据-取费表'!AN8</f>
        <v>0</v>
      </c>
      <c r="B8" s="2793" t="e">
        <f ca="1">IF(F8="是",'数据-取费表'!AO8,0)</f>
        <v>#REF!</v>
      </c>
      <c r="C8" s="2024" t="s">
        <v>2280</v>
      </c>
      <c r="D8" s="2903"/>
      <c r="E8" s="2797">
        <f>IF(OR(A8=0,F8="否"),0,'数据-取费表'!K8+'数据-取费表'!S8)</f>
        <v>0</v>
      </c>
      <c r="F8" s="2028" t="s">
        <v>2286</v>
      </c>
      <c r="G8" s="1640"/>
      <c r="H8" s="1640"/>
      <c r="I8" s="1640"/>
      <c r="J8" s="1640"/>
      <c r="K8" s="1640"/>
      <c r="L8" s="1640"/>
      <c r="M8" s="1640"/>
      <c r="N8" s="1640"/>
      <c r="O8" s="1640"/>
      <c r="P8" s="1640"/>
      <c r="Q8" s="1640"/>
      <c r="R8" s="1640"/>
      <c r="S8" s="1640"/>
    </row>
    <row r="9" spans="1:22">
      <c r="A9" s="2795">
        <f>'数据-取费表'!AN9</f>
        <v>0</v>
      </c>
      <c r="B9" s="2793" t="e">
        <f ca="1">IF(F9="是",'数据-取费表'!AO9,0)</f>
        <v>#REF!</v>
      </c>
      <c r="C9" s="2024" t="s">
        <v>2280</v>
      </c>
      <c r="D9" s="2903"/>
      <c r="E9" s="2797">
        <f>IF(OR(A9=0,F9="否"),0,'数据-取费表'!K9+'数据-取费表'!S9)</f>
        <v>0</v>
      </c>
      <c r="F9" s="2028" t="s">
        <v>2286</v>
      </c>
      <c r="G9" s="1640"/>
      <c r="H9" s="1640"/>
      <c r="I9" s="1640"/>
      <c r="J9" s="1640"/>
      <c r="K9" s="1640"/>
      <c r="L9" s="1640"/>
      <c r="M9" s="1640"/>
      <c r="N9" s="1640"/>
      <c r="O9" s="1640"/>
      <c r="P9" s="1640"/>
      <c r="Q9" s="1640"/>
      <c r="R9" s="1640"/>
      <c r="S9" s="1640"/>
    </row>
    <row r="10" spans="1:22">
      <c r="A10" s="2795">
        <f>'数据-取费表'!AN10</f>
        <v>0</v>
      </c>
      <c r="B10" s="2793" t="e">
        <f ca="1">IF(F10="是",'数据-取费表'!AO10,0)</f>
        <v>#REF!</v>
      </c>
      <c r="C10" s="2024" t="s">
        <v>2280</v>
      </c>
      <c r="D10" s="2903"/>
      <c r="E10" s="2797">
        <f>IF(OR(A10=0,F10="否"),0,'数据-取费表'!K10+'数据-取费表'!S10)</f>
        <v>0</v>
      </c>
      <c r="F10" s="2028" t="s">
        <v>2286</v>
      </c>
      <c r="G10" s="1640"/>
      <c r="H10" s="1640"/>
      <c r="I10" s="1640"/>
      <c r="J10" s="1640"/>
      <c r="K10" s="1640"/>
      <c r="L10" s="1640"/>
      <c r="M10" s="1640"/>
      <c r="N10" s="1640"/>
      <c r="O10" s="1640"/>
      <c r="P10" s="1640"/>
      <c r="Q10" s="1640"/>
      <c r="R10" s="1640"/>
      <c r="S10" s="1640"/>
    </row>
    <row r="11" spans="1:22">
      <c r="A11" s="2795">
        <f>'数据-取费表'!AN11</f>
        <v>0</v>
      </c>
      <c r="B11" s="2793" t="e">
        <f ca="1">IF(F11="是",'数据-取费表'!AO11,0)</f>
        <v>#REF!</v>
      </c>
      <c r="C11" s="2024" t="s">
        <v>2280</v>
      </c>
      <c r="D11" s="2903"/>
      <c r="E11" s="2797">
        <f>IF(OR(A11=0,F11="否"),0,'数据-取费表'!K11+'数据-取费表'!S11)</f>
        <v>0</v>
      </c>
      <c r="F11" s="2028" t="s">
        <v>2286</v>
      </c>
      <c r="G11" s="1640"/>
      <c r="H11" s="1640"/>
      <c r="I11" s="1640"/>
      <c r="J11" s="1640"/>
      <c r="K11" s="1640"/>
      <c r="L11" s="1640"/>
      <c r="M11" s="1640"/>
      <c r="N11" s="1640"/>
      <c r="O11" s="1640"/>
      <c r="P11" s="1640"/>
      <c r="Q11" s="1640"/>
      <c r="R11" s="1640"/>
      <c r="S11" s="1640"/>
    </row>
    <row r="12" spans="1:22">
      <c r="A12" s="2795">
        <f>'数据-取费表'!AN12</f>
        <v>0</v>
      </c>
      <c r="B12" s="2793" t="e">
        <f ca="1">IF(F12="是",'数据-取费表'!AO12,0)</f>
        <v>#REF!</v>
      </c>
      <c r="C12" s="2024" t="s">
        <v>2280</v>
      </c>
      <c r="D12" s="2903"/>
      <c r="E12" s="2797">
        <f>IF(OR(A12=0,F12="否"),0,'数据-取费表'!K12+'数据-取费表'!S12)</f>
        <v>0</v>
      </c>
      <c r="F12" s="2028" t="s">
        <v>2286</v>
      </c>
      <c r="G12" s="1640"/>
      <c r="H12" s="1640"/>
      <c r="I12" s="1640"/>
      <c r="J12" s="1640"/>
      <c r="K12" s="1640"/>
      <c r="L12" s="1640"/>
      <c r="M12" s="1640"/>
      <c r="N12" s="1640"/>
      <c r="O12" s="1640"/>
      <c r="P12" s="1640"/>
      <c r="Q12" s="1640"/>
      <c r="R12" s="1640"/>
      <c r="S12" s="1640"/>
    </row>
    <row r="13" spans="1:22" ht="15" thickBot="1">
      <c r="A13" s="2796">
        <f>'数据-取费表'!AN13</f>
        <v>0</v>
      </c>
      <c r="B13" s="2793" t="e">
        <f ca="1">IF(F13="是",'数据-取费表'!AO13,0)</f>
        <v>#REF!</v>
      </c>
      <c r="C13" s="2029" t="s">
        <v>2280</v>
      </c>
      <c r="D13" s="2904"/>
      <c r="E13" s="2797">
        <f>IF(OR(A13=0,F13="否"),0,'数据-取费表'!K13+'数据-取费表'!S13)</f>
        <v>0</v>
      </c>
      <c r="F13" s="2028" t="s">
        <v>2286</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030" t="s">
        <v>2290</v>
      </c>
      <c r="C1" s="1374" t="s">
        <v>2291</v>
      </c>
      <c r="D1" s="1361"/>
      <c r="E1" s="2510"/>
      <c r="F1" s="2031" t="s">
        <v>2292</v>
      </c>
      <c r="G1" s="1371" t="s">
        <v>2293</v>
      </c>
      <c r="H1" s="1370"/>
      <c r="I1" s="1370"/>
      <c r="J1" s="1370"/>
      <c r="K1" s="1372"/>
      <c r="L1" s="1373"/>
      <c r="M1" s="1374"/>
      <c r="N1" s="1374"/>
      <c r="O1" s="1374"/>
      <c r="P1" s="2032"/>
      <c r="Q1" s="1360"/>
      <c r="R1" s="1360"/>
      <c r="S1" s="1360"/>
      <c r="T1" s="1360"/>
      <c r="U1" s="1360"/>
      <c r="V1" s="1360"/>
      <c r="W1" s="1360"/>
      <c r="X1" s="1360"/>
      <c r="Y1" s="1360"/>
      <c r="Z1" s="1360"/>
      <c r="AA1" s="1360"/>
      <c r="AB1" s="1360"/>
      <c r="AC1" s="1368"/>
    </row>
    <row r="2" spans="1:29" s="352" customFormat="1" ht="28.5" customHeight="1" thickTop="1">
      <c r="A2" s="1357" t="s">
        <v>1299</v>
      </c>
      <c r="B2" s="1294" t="e">
        <f ca="1">IF(C2="——",ROUND(C49*D3/10000,0),ROUND(C49*D3/10000,0)-D2)</f>
        <v>#DIV/0!</v>
      </c>
      <c r="C2" s="2033"/>
      <c r="D2" s="1243" t="e">
        <f ca="1">SUMIF(INDIRECT("'"&amp;F2&amp;"'"&amp;"!A:A"),"承租人权益价值",INDIRECT("'"&amp;F2&amp;"'"&amp;"!c:c"))</f>
        <v>#REF!</v>
      </c>
      <c r="E2" s="2034" t="s">
        <v>2294</v>
      </c>
      <c r="F2" s="2035"/>
      <c r="G2" s="1036"/>
      <c r="H2" s="1036"/>
      <c r="I2" s="1036"/>
      <c r="J2" s="1036"/>
      <c r="K2" s="2036"/>
      <c r="L2" s="2907"/>
      <c r="M2" s="2908"/>
      <c r="N2" s="2908"/>
      <c r="O2" s="2908"/>
      <c r="P2" s="2037"/>
      <c r="Q2" s="2038"/>
      <c r="R2" s="2038"/>
      <c r="S2" s="2038"/>
      <c r="T2" s="2038"/>
      <c r="U2" s="2038"/>
      <c r="V2" s="2038"/>
      <c r="W2" s="2038"/>
      <c r="X2" s="2038"/>
      <c r="Y2" s="2038"/>
      <c r="Z2" s="2038"/>
      <c r="AA2" s="2038"/>
      <c r="AB2" s="2038"/>
      <c r="AC2" s="2039"/>
    </row>
    <row r="3" spans="1:29" s="352" customFormat="1" ht="28.5" customHeight="1" thickBot="1">
      <c r="A3" s="208" t="s">
        <v>1300</v>
      </c>
      <c r="B3" s="358" t="e">
        <f ca="1">IF(C2="——",C49,ROUND(B2*10000/D3,0))</f>
        <v>#DIV/0!</v>
      </c>
      <c r="C3" s="359" t="s">
        <v>2295</v>
      </c>
      <c r="D3" s="358">
        <f>IF(D1="",'数据-汇总表'!E3,SUMIF('数据-汇总表'!$C19:$C33,D1,'数据-汇总表'!$E19:$E33))</f>
        <v>63761.02</v>
      </c>
      <c r="E3" s="1036"/>
      <c r="F3" s="2040"/>
      <c r="G3" s="1036"/>
      <c r="H3" s="1036"/>
      <c r="I3" s="1036"/>
      <c r="J3" s="1036"/>
      <c r="K3" s="2036"/>
      <c r="L3" s="2907"/>
      <c r="M3" s="2908"/>
      <c r="N3" s="2908"/>
      <c r="O3" s="2908"/>
      <c r="P3" s="2037"/>
      <c r="Q3" s="2038"/>
      <c r="R3" s="2038"/>
      <c r="S3" s="2038"/>
      <c r="T3" s="2038"/>
      <c r="U3" s="2038"/>
      <c r="V3" s="2038"/>
      <c r="W3" s="2038"/>
      <c r="X3" s="2038"/>
      <c r="Y3" s="2038"/>
      <c r="Z3" s="2038"/>
      <c r="AA3" s="2038"/>
      <c r="AB3" s="2038"/>
      <c r="AC3" s="1189"/>
    </row>
    <row r="4" spans="1:29" ht="15">
      <c r="A4" s="360" t="s">
        <v>2296</v>
      </c>
      <c r="B4" s="361"/>
      <c r="C4" s="3562" t="s">
        <v>2297</v>
      </c>
      <c r="D4" s="3563"/>
      <c r="E4" s="3564" t="s">
        <v>2298</v>
      </c>
      <c r="F4" s="3565"/>
      <c r="G4" s="3562" t="s">
        <v>2299</v>
      </c>
      <c r="H4" s="3563"/>
      <c r="I4" s="3562" t="s">
        <v>2300</v>
      </c>
      <c r="J4" s="3563"/>
      <c r="K4" s="2041" t="s">
        <v>2301</v>
      </c>
      <c r="L4" s="2909"/>
      <c r="M4" s="2910"/>
      <c r="N4" s="2910"/>
      <c r="O4" s="2910"/>
      <c r="P4" s="3566" t="s">
        <v>2302</v>
      </c>
      <c r="Q4" s="3567"/>
      <c r="R4" s="3572" t="s">
        <v>2298</v>
      </c>
      <c r="S4" s="3573"/>
      <c r="T4" s="3572" t="s">
        <v>2299</v>
      </c>
      <c r="U4" s="3573"/>
      <c r="V4" s="3578" t="s">
        <v>2300</v>
      </c>
      <c r="W4" s="3578"/>
      <c r="X4" s="1505"/>
      <c r="Y4" s="3572" t="s">
        <v>2302</v>
      </c>
      <c r="Z4" s="3573"/>
      <c r="AA4" s="3559" t="s">
        <v>2298</v>
      </c>
      <c r="AB4" s="3559" t="s">
        <v>2299</v>
      </c>
      <c r="AC4" s="3559" t="s">
        <v>2300</v>
      </c>
    </row>
    <row r="5" spans="1:29" ht="15">
      <c r="A5" s="363"/>
      <c r="B5" s="364"/>
      <c r="C5" s="3581" t="s">
        <v>2303</v>
      </c>
      <c r="D5" s="3582"/>
      <c r="E5" s="3588" t="s">
        <v>2304</v>
      </c>
      <c r="F5" s="3589"/>
      <c r="G5" s="3581" t="s">
        <v>2305</v>
      </c>
      <c r="H5" s="3582"/>
      <c r="I5" s="3581" t="s">
        <v>2306</v>
      </c>
      <c r="J5" s="3582"/>
      <c r="K5" s="2042"/>
      <c r="L5" s="2909"/>
      <c r="M5" s="2910"/>
      <c r="N5" s="2910"/>
      <c r="O5" s="2910"/>
      <c r="P5" s="3568"/>
      <c r="Q5" s="3569"/>
      <c r="R5" s="3574"/>
      <c r="S5" s="3575"/>
      <c r="T5" s="3574"/>
      <c r="U5" s="3575"/>
      <c r="V5" s="3578"/>
      <c r="W5" s="3578"/>
      <c r="X5" s="1505"/>
      <c r="Y5" s="3574"/>
      <c r="Z5" s="3575"/>
      <c r="AA5" s="3560"/>
      <c r="AB5" s="3560"/>
      <c r="AC5" s="3560"/>
    </row>
    <row r="6" spans="1:29" ht="15.75" thickBot="1">
      <c r="A6" s="365"/>
      <c r="B6" s="366"/>
      <c r="C6" s="3579" t="s">
        <v>2307</v>
      </c>
      <c r="D6" s="3580"/>
      <c r="E6" s="3586" t="s">
        <v>2307</v>
      </c>
      <c r="F6" s="3587"/>
      <c r="G6" s="3579" t="s">
        <v>2307</v>
      </c>
      <c r="H6" s="3580"/>
      <c r="I6" s="3579" t="s">
        <v>2307</v>
      </c>
      <c r="J6" s="3580"/>
      <c r="K6" s="2042" t="s">
        <v>2308</v>
      </c>
      <c r="L6" s="2909"/>
      <c r="M6" s="2910"/>
      <c r="N6" s="2910"/>
      <c r="O6" s="2910"/>
      <c r="P6" s="3570"/>
      <c r="Q6" s="3571"/>
      <c r="R6" s="3574"/>
      <c r="S6" s="3575"/>
      <c r="T6" s="3576"/>
      <c r="U6" s="3577"/>
      <c r="V6" s="3578"/>
      <c r="W6" s="3578"/>
      <c r="X6" s="1505"/>
      <c r="Y6" s="3576"/>
      <c r="Z6" s="3577"/>
      <c r="AA6" s="3561"/>
      <c r="AB6" s="3561"/>
      <c r="AC6" s="3561"/>
    </row>
    <row r="7" spans="1:29" s="112"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3"/>
      <c r="L7" s="2911"/>
      <c r="M7" s="2912"/>
      <c r="N7" s="2912"/>
      <c r="O7" s="2912"/>
      <c r="P7" s="3583" t="s">
        <v>2310</v>
      </c>
      <c r="Q7" s="3585"/>
      <c r="R7" s="708" t="s">
        <v>23</v>
      </c>
      <c r="S7" s="709">
        <f t="shared" ref="S7:S15" si="0">F7</f>
        <v>0</v>
      </c>
      <c r="T7" s="708" t="s">
        <v>23</v>
      </c>
      <c r="U7" s="709">
        <f t="shared" ref="U7:U15" si="1">H7</f>
        <v>0</v>
      </c>
      <c r="V7" s="708" t="s">
        <v>23</v>
      </c>
      <c r="W7" s="709">
        <f t="shared" ref="W7:W15" si="2">J7</f>
        <v>0</v>
      </c>
      <c r="X7" s="710"/>
      <c r="Y7" s="3583" t="s">
        <v>2310</v>
      </c>
      <c r="Z7" s="3584"/>
      <c r="AA7" s="711" t="e">
        <f>D7/F7</f>
        <v>#DIV/0!</v>
      </c>
      <c r="AB7" s="711" t="e">
        <f>D7/H7</f>
        <v>#DIV/0!</v>
      </c>
      <c r="AC7" s="711" t="e">
        <f>D7/J7</f>
        <v>#DIV/0!</v>
      </c>
    </row>
    <row r="8" spans="1:29" s="112" customFormat="1" ht="15.75" thickBot="1">
      <c r="A8" s="367" t="s">
        <v>2311</v>
      </c>
      <c r="B8" s="368"/>
      <c r="C8" s="373" t="s">
        <v>2312</v>
      </c>
      <c r="D8" s="370">
        <v>100</v>
      </c>
      <c r="E8" s="2044"/>
      <c r="F8" s="372">
        <f>SUMIF(61:61,E8,62:62)-SUMIF(61:61,C8,62:62)+100</f>
        <v>0</v>
      </c>
      <c r="G8" s="373"/>
      <c r="H8" s="370">
        <f>SUMIF(61:61,G8,62:62)-SUMIF(61:61,C8,62:62)+100</f>
        <v>0</v>
      </c>
      <c r="I8" s="2044"/>
      <c r="J8" s="370">
        <f>SUMIF(61:61,I8,62:62)-SUMIF(61:61,C8,62:62)+100</f>
        <v>0</v>
      </c>
      <c r="K8" s="2043"/>
      <c r="L8" s="2911"/>
      <c r="M8" s="2912"/>
      <c r="N8" s="2912"/>
      <c r="O8" s="2912"/>
      <c r="P8" s="3583" t="s">
        <v>2313</v>
      </c>
      <c r="Q8" s="3584"/>
      <c r="R8" s="708" t="s">
        <v>23</v>
      </c>
      <c r="S8" s="709">
        <f t="shared" si="0"/>
        <v>0</v>
      </c>
      <c r="T8" s="708" t="s">
        <v>23</v>
      </c>
      <c r="U8" s="709">
        <f t="shared" si="1"/>
        <v>0</v>
      </c>
      <c r="V8" s="708" t="s">
        <v>23</v>
      </c>
      <c r="W8" s="709">
        <f t="shared" si="2"/>
        <v>0</v>
      </c>
      <c r="X8" s="710"/>
      <c r="Y8" s="3583" t="s">
        <v>2313</v>
      </c>
      <c r="Z8" s="3584"/>
      <c r="AA8" s="711" t="e">
        <f t="shared" ref="AA8:AA19" si="3">D8/F8</f>
        <v>#DIV/0!</v>
      </c>
      <c r="AB8" s="711" t="e">
        <f t="shared" ref="AB8:AB19" si="4">D8/H8</f>
        <v>#DIV/0!</v>
      </c>
      <c r="AC8" s="711" t="e">
        <f t="shared" ref="AC8:AC19" si="5">D8/J8</f>
        <v>#DIV/0!</v>
      </c>
    </row>
    <row r="9" spans="1:29" s="112"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3"/>
      <c r="L9" s="2911"/>
      <c r="M9" s="2912"/>
      <c r="N9" s="2912"/>
      <c r="O9" s="2912"/>
      <c r="P9" s="3557" t="s">
        <v>2316</v>
      </c>
      <c r="Q9" s="1493" t="str">
        <f t="shared" ref="Q9:Q15" si="6">B9</f>
        <v>用途</v>
      </c>
      <c r="R9" s="708" t="s">
        <v>17</v>
      </c>
      <c r="S9" s="709">
        <f t="shared" si="0"/>
        <v>100</v>
      </c>
      <c r="T9" s="708" t="s">
        <v>17</v>
      </c>
      <c r="U9" s="709">
        <f t="shared" si="1"/>
        <v>100</v>
      </c>
      <c r="V9" s="708" t="s">
        <v>17</v>
      </c>
      <c r="W9" s="709">
        <f t="shared" si="2"/>
        <v>100</v>
      </c>
      <c r="X9" s="710"/>
      <c r="Y9" s="3558"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3"/>
      <c r="M10" s="2914"/>
      <c r="N10" s="2914"/>
      <c r="O10" s="2914"/>
      <c r="P10" s="3557"/>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5"/>
      <c r="M11" s="2910"/>
      <c r="N11" s="2910"/>
      <c r="O11" s="2910"/>
      <c r="P11" s="3557"/>
      <c r="Q11" s="1493" t="str">
        <f t="shared" si="6"/>
        <v>容积率</v>
      </c>
      <c r="R11" s="708" t="s">
        <v>21</v>
      </c>
      <c r="S11" s="709" t="e">
        <f t="shared" si="0"/>
        <v>#N/A</v>
      </c>
      <c r="T11" s="708" t="s">
        <v>21</v>
      </c>
      <c r="U11" s="709" t="e">
        <f t="shared" si="1"/>
        <v>#N/A</v>
      </c>
      <c r="V11" s="708" t="s">
        <v>21</v>
      </c>
      <c r="W11" s="709" t="e">
        <f t="shared" si="2"/>
        <v>#N/A</v>
      </c>
      <c r="X11" s="710"/>
      <c r="Y11" s="3558"/>
      <c r="Z11" s="55" t="str">
        <f t="shared" si="7"/>
        <v>容积率</v>
      </c>
      <c r="AA11" s="711" t="e">
        <f t="shared" si="3"/>
        <v>#N/A</v>
      </c>
      <c r="AB11" s="711" t="e">
        <f t="shared" si="4"/>
        <v>#N/A</v>
      </c>
      <c r="AC11" s="711" t="e">
        <f t="shared" si="5"/>
        <v>#N/A</v>
      </c>
    </row>
    <row r="12" spans="1:29" s="112" customFormat="1" ht="15">
      <c r="A12" s="389"/>
      <c r="B12" s="2045">
        <v>111</v>
      </c>
      <c r="C12" s="390"/>
      <c r="D12" s="391">
        <v>100</v>
      </c>
      <c r="E12" s="390"/>
      <c r="F12" s="383">
        <f>SUMIF(70:70,E12,71:71)-SUMIF(70:70,C12,71:71)+100</f>
        <v>100</v>
      </c>
      <c r="G12" s="390"/>
      <c r="H12" s="131">
        <f>SUMIF(70:70,G12,71:71)-SUMIF(70:70,C12,71:71)+100</f>
        <v>100</v>
      </c>
      <c r="I12" s="390"/>
      <c r="J12" s="131">
        <f>SUMIF(70:70,I12,71:71)-SUMIF(70:70,C12,71:71)+100</f>
        <v>100</v>
      </c>
      <c r="K12" s="2046"/>
      <c r="L12" s="2911"/>
      <c r="M12" s="2912"/>
      <c r="N12" s="2912"/>
      <c r="O12" s="2912"/>
      <c r="P12" s="3557"/>
      <c r="Q12" s="1493">
        <f t="shared" si="6"/>
        <v>111</v>
      </c>
      <c r="R12" s="708" t="s">
        <v>21</v>
      </c>
      <c r="S12" s="709">
        <f t="shared" si="0"/>
        <v>100</v>
      </c>
      <c r="T12" s="708" t="s">
        <v>21</v>
      </c>
      <c r="U12" s="709">
        <f t="shared" si="1"/>
        <v>100</v>
      </c>
      <c r="V12" s="708" t="s">
        <v>21</v>
      </c>
      <c r="W12" s="709">
        <f t="shared" si="2"/>
        <v>100</v>
      </c>
      <c r="X12" s="710"/>
      <c r="Y12" s="3558"/>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2046"/>
      <c r="L13" s="2916"/>
      <c r="M13" s="2910"/>
      <c r="N13" s="2910"/>
      <c r="O13" s="2910"/>
      <c r="P13" s="3557"/>
      <c r="Q13" s="1493">
        <f t="shared" si="6"/>
        <v>111</v>
      </c>
      <c r="R13" s="708" t="s">
        <v>21</v>
      </c>
      <c r="S13" s="709">
        <f t="shared" si="0"/>
        <v>100</v>
      </c>
      <c r="T13" s="708" t="s">
        <v>21</v>
      </c>
      <c r="U13" s="709">
        <f t="shared" si="1"/>
        <v>100</v>
      </c>
      <c r="V13" s="708" t="s">
        <v>21</v>
      </c>
      <c r="W13" s="709">
        <f t="shared" si="2"/>
        <v>100</v>
      </c>
      <c r="X13" s="710"/>
      <c r="Y13" s="3558"/>
      <c r="Z13" s="55">
        <f t="shared" si="7"/>
        <v>111</v>
      </c>
      <c r="AA13" s="711">
        <f t="shared" si="3"/>
        <v>1</v>
      </c>
      <c r="AB13" s="711">
        <f t="shared" si="4"/>
        <v>1</v>
      </c>
      <c r="AC13" s="711">
        <f t="shared" si="5"/>
        <v>1</v>
      </c>
    </row>
    <row r="14" spans="1:29" ht="15.75" thickBot="1">
      <c r="A14" s="394"/>
      <c r="B14" s="2047">
        <v>111</v>
      </c>
      <c r="C14" s="395"/>
      <c r="D14" s="396">
        <v>100</v>
      </c>
      <c r="E14" s="395"/>
      <c r="F14" s="397">
        <f>SUMIF(74:74,E14,75:75)-SUMIF(74:74,C14,75:75)+100</f>
        <v>100</v>
      </c>
      <c r="G14" s="395"/>
      <c r="H14" s="396">
        <f>SUMIF(74:74,G14,75:75)-SUMIF(74:74,C14,75:75)+100</f>
        <v>100</v>
      </c>
      <c r="I14" s="395"/>
      <c r="J14" s="396">
        <f>SUMIF(74:74,I14,75:75)-SUMIF(74:74,C14,75:75)+100</f>
        <v>100</v>
      </c>
      <c r="K14" s="2046"/>
      <c r="L14" s="2916"/>
      <c r="M14" s="2910"/>
      <c r="N14" s="2910"/>
      <c r="O14" s="2910"/>
      <c r="P14" s="3557"/>
      <c r="Q14" s="1493">
        <f t="shared" si="6"/>
        <v>111</v>
      </c>
      <c r="R14" s="708" t="s">
        <v>21</v>
      </c>
      <c r="S14" s="709">
        <f t="shared" si="0"/>
        <v>100</v>
      </c>
      <c r="T14" s="708" t="s">
        <v>21</v>
      </c>
      <c r="U14" s="709">
        <f t="shared" si="1"/>
        <v>100</v>
      </c>
      <c r="V14" s="708" t="s">
        <v>21</v>
      </c>
      <c r="W14" s="709">
        <f t="shared" si="2"/>
        <v>100</v>
      </c>
      <c r="X14" s="710"/>
      <c r="Y14" s="3558"/>
      <c r="Z14" s="55">
        <f t="shared" si="7"/>
        <v>111</v>
      </c>
      <c r="AA14" s="711">
        <f t="shared" si="3"/>
        <v>1</v>
      </c>
      <c r="AB14" s="711">
        <f t="shared" si="4"/>
        <v>1</v>
      </c>
      <c r="AC14" s="711">
        <f t="shared" si="5"/>
        <v>1</v>
      </c>
    </row>
    <row r="15" spans="1:29" ht="99.75">
      <c r="A15" s="398" t="s">
        <v>2320</v>
      </c>
      <c r="B15" s="65" t="s">
        <v>1883</v>
      </c>
      <c r="C15" s="204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6"/>
      <c r="M15" s="2910"/>
      <c r="N15" s="2910"/>
      <c r="O15" s="2910"/>
      <c r="P15" s="3555" t="s">
        <v>2321</v>
      </c>
      <c r="Q15" s="1502" t="str">
        <f t="shared" si="6"/>
        <v>居住社区成熟度</v>
      </c>
      <c r="R15" s="712" t="s">
        <v>21</v>
      </c>
      <c r="S15" s="713">
        <f t="shared" si="0"/>
        <v>100</v>
      </c>
      <c r="T15" s="712" t="s">
        <v>21</v>
      </c>
      <c r="U15" s="713">
        <f t="shared" si="1"/>
        <v>100</v>
      </c>
      <c r="V15" s="712" t="s">
        <v>21</v>
      </c>
      <c r="W15" s="713">
        <f t="shared" si="2"/>
        <v>100</v>
      </c>
      <c r="X15" s="1505"/>
      <c r="Y15" s="3548" t="s">
        <v>2321</v>
      </c>
      <c r="Z15" s="1506" t="str">
        <f t="shared" si="7"/>
        <v>居住社区成熟度</v>
      </c>
      <c r="AA15" s="1503">
        <f t="shared" si="3"/>
        <v>1</v>
      </c>
      <c r="AB15" s="1503">
        <f t="shared" si="4"/>
        <v>1</v>
      </c>
      <c r="AC15" s="1503">
        <f t="shared" si="5"/>
        <v>1</v>
      </c>
    </row>
    <row r="16" spans="1:29" ht="15">
      <c r="A16" s="386"/>
      <c r="B16" s="404"/>
      <c r="C16" s="405"/>
      <c r="D16" s="406"/>
      <c r="E16" s="2049"/>
      <c r="F16" s="406"/>
      <c r="G16" s="2050"/>
      <c r="H16" s="408"/>
      <c r="I16" s="2050"/>
      <c r="J16" s="406"/>
      <c r="K16" s="2051"/>
      <c r="L16" s="2916"/>
      <c r="M16" s="2910"/>
      <c r="N16" s="2910"/>
      <c r="O16" s="2910"/>
      <c r="P16" s="3556"/>
      <c r="Q16" s="1502"/>
      <c r="R16" s="712"/>
      <c r="S16" s="713"/>
      <c r="T16" s="712"/>
      <c r="U16" s="713"/>
      <c r="V16" s="712"/>
      <c r="W16" s="713"/>
      <c r="X16" s="1505"/>
      <c r="Y16" s="3549"/>
      <c r="Z16" s="1506"/>
      <c r="AA16" s="1503">
        <v>1</v>
      </c>
      <c r="AB16" s="1503">
        <v>1</v>
      </c>
      <c r="AC16" s="1503">
        <v>1</v>
      </c>
    </row>
    <row r="17" spans="1:29" ht="85.5">
      <c r="A17" s="386"/>
      <c r="B17" s="409" t="s">
        <v>1885</v>
      </c>
      <c r="C17" s="205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6"/>
      <c r="M17" s="2910"/>
      <c r="N17" s="2910"/>
      <c r="O17" s="2910"/>
      <c r="P17" s="3556"/>
      <c r="Q17" s="1502" t="str">
        <f>B17</f>
        <v>交通便捷度</v>
      </c>
      <c r="R17" s="712" t="s">
        <v>21</v>
      </c>
      <c r="S17" s="713">
        <f>F17</f>
        <v>100</v>
      </c>
      <c r="T17" s="712" t="s">
        <v>21</v>
      </c>
      <c r="U17" s="713">
        <f>H17</f>
        <v>100</v>
      </c>
      <c r="V17" s="712" t="s">
        <v>21</v>
      </c>
      <c r="W17" s="713">
        <f>J17</f>
        <v>100</v>
      </c>
      <c r="X17" s="1505"/>
      <c r="Y17" s="3549"/>
      <c r="Z17" s="1506" t="str">
        <f>Q17</f>
        <v>交通便捷度</v>
      </c>
      <c r="AA17" s="1503">
        <f t="shared" si="3"/>
        <v>1</v>
      </c>
      <c r="AB17" s="1503">
        <f t="shared" si="4"/>
        <v>1</v>
      </c>
      <c r="AC17" s="1503">
        <f t="shared" si="5"/>
        <v>1</v>
      </c>
    </row>
    <row r="18" spans="1:29" ht="15">
      <c r="A18" s="386"/>
      <c r="B18" s="414"/>
      <c r="C18" s="2053"/>
      <c r="D18" s="408"/>
      <c r="E18" s="2054"/>
      <c r="F18" s="408"/>
      <c r="G18" s="2055"/>
      <c r="H18" s="406"/>
      <c r="I18" s="2055"/>
      <c r="J18" s="406"/>
      <c r="K18" s="2051"/>
      <c r="L18" s="2916"/>
      <c r="M18" s="2910"/>
      <c r="N18" s="2910"/>
      <c r="O18" s="2910"/>
      <c r="P18" s="3556"/>
      <c r="Q18" s="1502"/>
      <c r="R18" s="712"/>
      <c r="S18" s="713"/>
      <c r="T18" s="712"/>
      <c r="U18" s="713"/>
      <c r="V18" s="712"/>
      <c r="W18" s="713"/>
      <c r="X18" s="1505"/>
      <c r="Y18" s="3549"/>
      <c r="Z18" s="1506"/>
      <c r="AA18" s="1503">
        <v>1</v>
      </c>
      <c r="AB18" s="1503">
        <v>1</v>
      </c>
      <c r="AC18" s="1503">
        <v>1</v>
      </c>
    </row>
    <row r="19" spans="1:29" ht="42.75">
      <c r="A19" s="386"/>
      <c r="B19" s="409" t="s">
        <v>1884</v>
      </c>
      <c r="C19" s="205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6"/>
      <c r="M19" s="2910"/>
      <c r="N19" s="2910"/>
      <c r="O19" s="2910"/>
      <c r="P19" s="3556"/>
      <c r="Q19" s="1502" t="str">
        <f>B19</f>
        <v>公共配套设施</v>
      </c>
      <c r="R19" s="712" t="s">
        <v>21</v>
      </c>
      <c r="S19" s="713">
        <f>F19</f>
        <v>100</v>
      </c>
      <c r="T19" s="712" t="s">
        <v>21</v>
      </c>
      <c r="U19" s="713">
        <f>H19</f>
        <v>100</v>
      </c>
      <c r="V19" s="712" t="s">
        <v>21</v>
      </c>
      <c r="W19" s="713">
        <f>J19</f>
        <v>100</v>
      </c>
      <c r="X19" s="1505"/>
      <c r="Y19" s="3549"/>
      <c r="Z19" s="1506" t="str">
        <f>Q19</f>
        <v>公共配套设施</v>
      </c>
      <c r="AA19" s="1503">
        <f t="shared" si="3"/>
        <v>1</v>
      </c>
      <c r="AB19" s="1503">
        <f t="shared" si="4"/>
        <v>1</v>
      </c>
      <c r="AC19" s="1503">
        <f t="shared" si="5"/>
        <v>1</v>
      </c>
    </row>
    <row r="20" spans="1:29" ht="15">
      <c r="A20" s="386"/>
      <c r="B20" s="414"/>
      <c r="C20" s="405"/>
      <c r="D20" s="406"/>
      <c r="E20" s="2049"/>
      <c r="F20" s="406"/>
      <c r="G20" s="2050"/>
      <c r="H20" s="406"/>
      <c r="I20" s="2050"/>
      <c r="J20" s="406"/>
      <c r="K20" s="2051"/>
      <c r="L20" s="2916"/>
      <c r="M20" s="2910"/>
      <c r="N20" s="2910"/>
      <c r="O20" s="2910"/>
      <c r="P20" s="3556"/>
      <c r="Q20" s="1502"/>
      <c r="R20" s="712"/>
      <c r="S20" s="713"/>
      <c r="T20" s="712"/>
      <c r="U20" s="713"/>
      <c r="V20" s="712"/>
      <c r="W20" s="713"/>
      <c r="X20" s="1505"/>
      <c r="Y20" s="3549"/>
      <c r="Z20" s="1506"/>
      <c r="AA20" s="1503">
        <v>1</v>
      </c>
      <c r="AB20" s="1503">
        <v>1</v>
      </c>
      <c r="AC20" s="1503">
        <v>1</v>
      </c>
    </row>
    <row r="21" spans="1:29" ht="28.5">
      <c r="A21" s="386"/>
      <c r="B21" s="1261" t="s">
        <v>1886</v>
      </c>
      <c r="C21" s="205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6"/>
      <c r="M21" s="2910"/>
      <c r="N21" s="2910"/>
      <c r="O21" s="2910"/>
      <c r="P21" s="3556"/>
      <c r="Q21" s="1502" t="str">
        <f>B21</f>
        <v>基础设施水平</v>
      </c>
      <c r="R21" s="712" t="s">
        <v>17</v>
      </c>
      <c r="S21" s="713">
        <f>F21</f>
        <v>100</v>
      </c>
      <c r="T21" s="712" t="s">
        <v>17</v>
      </c>
      <c r="U21" s="713">
        <f>H21</f>
        <v>100</v>
      </c>
      <c r="V21" s="712" t="s">
        <v>17</v>
      </c>
      <c r="W21" s="713">
        <f>J21</f>
        <v>100</v>
      </c>
      <c r="X21" s="1505"/>
      <c r="Y21" s="3549"/>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6"/>
      <c r="G22" s="2056"/>
      <c r="H22" s="406"/>
      <c r="I22" s="405"/>
      <c r="J22" s="406"/>
      <c r="K22" s="2057"/>
      <c r="L22" s="2916"/>
      <c r="M22" s="2910"/>
      <c r="N22" s="2910"/>
      <c r="O22" s="2910"/>
      <c r="P22" s="3556"/>
      <c r="Q22" s="1502"/>
      <c r="R22" s="712"/>
      <c r="S22" s="713"/>
      <c r="T22" s="712"/>
      <c r="U22" s="713"/>
      <c r="V22" s="712"/>
      <c r="W22" s="713"/>
      <c r="X22" s="1505"/>
      <c r="Y22" s="3549"/>
      <c r="Z22" s="1506"/>
      <c r="AA22" s="1503">
        <v>1</v>
      </c>
      <c r="AB22" s="1503">
        <v>1</v>
      </c>
      <c r="AC22" s="1503">
        <v>1</v>
      </c>
    </row>
    <row r="23" spans="1:29" ht="57">
      <c r="A23" s="386"/>
      <c r="B23" s="409" t="s">
        <v>1887</v>
      </c>
      <c r="C23" s="205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6"/>
      <c r="M23" s="2910"/>
      <c r="N23" s="2910"/>
      <c r="O23" s="2910"/>
      <c r="P23" s="3556"/>
      <c r="Q23" s="1502" t="str">
        <f>B23</f>
        <v>自然及人文环境</v>
      </c>
      <c r="R23" s="712" t="s">
        <v>21</v>
      </c>
      <c r="S23" s="713">
        <f>F23</f>
        <v>100</v>
      </c>
      <c r="T23" s="712" t="s">
        <v>21</v>
      </c>
      <c r="U23" s="713">
        <f>H23</f>
        <v>100</v>
      </c>
      <c r="V23" s="712" t="s">
        <v>21</v>
      </c>
      <c r="W23" s="713">
        <f>J23</f>
        <v>100</v>
      </c>
      <c r="X23" s="1505"/>
      <c r="Y23" s="3549"/>
      <c r="Z23" s="1506" t="str">
        <f>Q23</f>
        <v>自然及人文环境</v>
      </c>
      <c r="AA23" s="1503">
        <f>D23/F23</f>
        <v>1</v>
      </c>
      <c r="AB23" s="1503">
        <f>D23/H23</f>
        <v>1</v>
      </c>
      <c r="AC23" s="1503">
        <f>D23/J23</f>
        <v>1</v>
      </c>
    </row>
    <row r="24" spans="1:29" ht="15">
      <c r="A24" s="386"/>
      <c r="B24" s="414"/>
      <c r="C24" s="405"/>
      <c r="D24" s="406"/>
      <c r="E24" s="2049"/>
      <c r="F24" s="406"/>
      <c r="G24" s="2050"/>
      <c r="H24" s="406"/>
      <c r="I24" s="2050"/>
      <c r="J24" s="406"/>
      <c r="K24" s="2051"/>
      <c r="L24" s="2916"/>
      <c r="M24" s="2910"/>
      <c r="N24" s="2910"/>
      <c r="O24" s="2910"/>
      <c r="P24" s="3556"/>
      <c r="Q24" s="1502"/>
      <c r="R24" s="712"/>
      <c r="S24" s="713"/>
      <c r="T24" s="712"/>
      <c r="U24" s="713"/>
      <c r="V24" s="712"/>
      <c r="W24" s="713"/>
      <c r="X24" s="1505"/>
      <c r="Y24" s="3549"/>
      <c r="Z24" s="1506"/>
      <c r="AA24" s="1503">
        <v>1</v>
      </c>
      <c r="AB24" s="1503">
        <v>1</v>
      </c>
      <c r="AC24" s="1503">
        <v>1</v>
      </c>
    </row>
    <row r="25" spans="1:29" ht="15">
      <c r="A25" s="386"/>
      <c r="B25" s="380" t="s">
        <v>2322</v>
      </c>
      <c r="C25" s="418"/>
      <c r="D25" s="393">
        <v>100</v>
      </c>
      <c r="E25" s="2058"/>
      <c r="F25" s="393">
        <f>SUMIF(86:86,E25,87:87)-SUMIF(86:86,C25,87:87)+100</f>
        <v>100</v>
      </c>
      <c r="G25" s="2059"/>
      <c r="H25" s="393">
        <f>SUMIF(86:86,G25,87:87)-SUMIF(86:86,C25,87:87)+100</f>
        <v>100</v>
      </c>
      <c r="I25" s="2059"/>
      <c r="J25" s="393">
        <f>SUMIF(86:86,I25,87:87)-SUMIF(86:86,C25,87:87)+100</f>
        <v>100</v>
      </c>
      <c r="K25" s="384"/>
      <c r="L25" s="2916"/>
      <c r="M25" s="2910"/>
      <c r="N25" s="2910"/>
      <c r="O25" s="2910"/>
      <c r="P25" s="3556"/>
      <c r="Q25" s="1502" t="str">
        <f t="shared" ref="Q25:Q46" si="11">B25</f>
        <v>楼层-1</v>
      </c>
      <c r="R25" s="712" t="s">
        <v>21</v>
      </c>
      <c r="S25" s="713">
        <f t="shared" ref="S25:S46" si="12">F25</f>
        <v>100</v>
      </c>
      <c r="T25" s="712" t="s">
        <v>21</v>
      </c>
      <c r="U25" s="713">
        <f t="shared" ref="U25:U46" si="13">H25</f>
        <v>100</v>
      </c>
      <c r="V25" s="712" t="s">
        <v>21</v>
      </c>
      <c r="W25" s="713">
        <f t="shared" ref="W25:W46" si="14">J25</f>
        <v>100</v>
      </c>
      <c r="X25" s="1505"/>
      <c r="Y25" s="3549"/>
      <c r="Z25" s="1506" t="str">
        <f>Q25</f>
        <v>楼层-1</v>
      </c>
      <c r="AA25" s="1503">
        <f t="shared" ref="AA25:AA46" si="15">D25/F25</f>
        <v>1</v>
      </c>
      <c r="AB25" s="1503">
        <f t="shared" ref="AB25:AB46" si="16">D25/H25</f>
        <v>1</v>
      </c>
      <c r="AC25" s="1503">
        <f t="shared" ref="AC25:AC46" si="17">D25/J25</f>
        <v>1</v>
      </c>
    </row>
    <row r="26" spans="1:29" ht="15">
      <c r="A26" s="386"/>
      <c r="B26" s="380" t="s">
        <v>2323</v>
      </c>
      <c r="C26" s="418"/>
      <c r="D26" s="393">
        <v>100</v>
      </c>
      <c r="E26" s="2058"/>
      <c r="F26" s="393">
        <f>SUMIF(88:88,E26,89:89)-SUMIF(88:88,C26,89:89)+100</f>
        <v>100</v>
      </c>
      <c r="G26" s="2059"/>
      <c r="H26" s="393">
        <f>SUMIF(88:88,G26,89:89)-SUMIF(88:88,C26,89:89)+100</f>
        <v>100</v>
      </c>
      <c r="I26" s="2059"/>
      <c r="J26" s="393">
        <f>SUMIF(88:88,I26,89:89)-SUMIF(88:88,C26,89:89)+100</f>
        <v>100</v>
      </c>
      <c r="K26" s="384"/>
      <c r="L26" s="2916"/>
      <c r="M26" s="2910"/>
      <c r="N26" s="2910"/>
      <c r="O26" s="2910"/>
      <c r="P26" s="3556"/>
      <c r="Q26" s="1502" t="str">
        <f t="shared" si="11"/>
        <v>朝向</v>
      </c>
      <c r="R26" s="712" t="s">
        <v>21</v>
      </c>
      <c r="S26" s="713">
        <f t="shared" si="12"/>
        <v>100</v>
      </c>
      <c r="T26" s="712" t="s">
        <v>21</v>
      </c>
      <c r="U26" s="713">
        <f t="shared" si="13"/>
        <v>100</v>
      </c>
      <c r="V26" s="712" t="s">
        <v>21</v>
      </c>
      <c r="W26" s="713">
        <f t="shared" si="14"/>
        <v>100</v>
      </c>
      <c r="X26" s="1505"/>
      <c r="Y26" s="3549"/>
      <c r="Z26" s="1506" t="str">
        <f>Q26</f>
        <v>朝向</v>
      </c>
      <c r="AA26" s="1503">
        <f t="shared" si="15"/>
        <v>1</v>
      </c>
      <c r="AB26" s="1503">
        <f t="shared" si="16"/>
        <v>1</v>
      </c>
      <c r="AC26" s="1503">
        <f t="shared" si="17"/>
        <v>1</v>
      </c>
    </row>
    <row r="27" spans="1:29" s="112" customFormat="1" ht="15">
      <c r="A27" s="389"/>
      <c r="B27" s="1263">
        <v>111</v>
      </c>
      <c r="C27" s="390"/>
      <c r="D27" s="420">
        <v>100</v>
      </c>
      <c r="E27" s="423"/>
      <c r="F27" s="420">
        <f>SUMIF(90:90,E27,91:91)-SUMIF(90:90,C27,91:91)+100</f>
        <v>100</v>
      </c>
      <c r="G27" s="421"/>
      <c r="H27" s="420">
        <f>SUMIF(90:90,G27,91:91)-SUMIF(90:90,C27,91:91)+100</f>
        <v>100</v>
      </c>
      <c r="I27" s="421"/>
      <c r="J27" s="420">
        <f>SUMIF(90:90,I27,91:91)-SUMIF(90:90,C27,91:91)+100</f>
        <v>100</v>
      </c>
      <c r="K27" s="2046"/>
      <c r="L27" s="2911"/>
      <c r="M27" s="2912"/>
      <c r="N27" s="2912"/>
      <c r="O27" s="2912"/>
      <c r="P27" s="3556"/>
      <c r="Q27" s="1493">
        <f t="shared" si="11"/>
        <v>111</v>
      </c>
      <c r="R27" s="708" t="s">
        <v>21</v>
      </c>
      <c r="S27" s="709">
        <f t="shared" si="12"/>
        <v>100</v>
      </c>
      <c r="T27" s="708" t="s">
        <v>21</v>
      </c>
      <c r="U27" s="709">
        <f t="shared" si="13"/>
        <v>100</v>
      </c>
      <c r="V27" s="708" t="s">
        <v>21</v>
      </c>
      <c r="W27" s="709">
        <f t="shared" si="14"/>
        <v>100</v>
      </c>
      <c r="X27" s="710"/>
      <c r="Y27" s="3549"/>
      <c r="Z27" s="55">
        <f>Q27</f>
        <v>111</v>
      </c>
      <c r="AA27" s="1503">
        <f t="shared" si="15"/>
        <v>1</v>
      </c>
      <c r="AB27" s="1503">
        <f t="shared" si="16"/>
        <v>1</v>
      </c>
      <c r="AC27" s="1503">
        <f t="shared" si="17"/>
        <v>1</v>
      </c>
    </row>
    <row r="28" spans="1:29" ht="15">
      <c r="A28" s="386"/>
      <c r="B28" s="1263">
        <v>111</v>
      </c>
      <c r="C28" s="392"/>
      <c r="D28" s="393">
        <v>100</v>
      </c>
      <c r="E28" s="392"/>
      <c r="F28" s="393">
        <f>SUMIF(92:92,E28,93:93)-SUMIF(92:92,C28,93:93)+100</f>
        <v>100</v>
      </c>
      <c r="G28" s="2060"/>
      <c r="H28" s="393">
        <f>SUMIF(92:92,G28,93:93)-SUMIF(92:92,C28,93:93)+100</f>
        <v>100</v>
      </c>
      <c r="I28" s="392"/>
      <c r="J28" s="393">
        <f>SUMIF(92:92,I28,93:93)-SUMIF(92:92,C28,93:93)+100</f>
        <v>100</v>
      </c>
      <c r="K28" s="2046"/>
      <c r="L28" s="2916"/>
      <c r="M28" s="2910"/>
      <c r="N28" s="2910"/>
      <c r="O28" s="2910"/>
      <c r="P28" s="3556"/>
      <c r="Q28" s="1502">
        <f t="shared" si="11"/>
        <v>111</v>
      </c>
      <c r="R28" s="712" t="s">
        <v>21</v>
      </c>
      <c r="S28" s="713">
        <f t="shared" si="12"/>
        <v>100</v>
      </c>
      <c r="T28" s="712" t="s">
        <v>21</v>
      </c>
      <c r="U28" s="713">
        <f t="shared" si="13"/>
        <v>100</v>
      </c>
      <c r="V28" s="712" t="s">
        <v>21</v>
      </c>
      <c r="W28" s="713">
        <f t="shared" si="14"/>
        <v>100</v>
      </c>
      <c r="X28" s="1505"/>
      <c r="Y28" s="3549"/>
      <c r="Z28" s="1506">
        <f t="shared" ref="Z28:Z46" si="18">Q28</f>
        <v>111</v>
      </c>
      <c r="AA28" s="1503">
        <f t="shared" si="15"/>
        <v>1</v>
      </c>
      <c r="AB28" s="1503">
        <f t="shared" si="16"/>
        <v>1</v>
      </c>
      <c r="AC28" s="1503">
        <f t="shared" si="17"/>
        <v>1</v>
      </c>
    </row>
    <row r="29" spans="1:29" ht="15">
      <c r="A29" s="386"/>
      <c r="B29" s="1263">
        <v>111</v>
      </c>
      <c r="C29" s="392"/>
      <c r="D29" s="393">
        <v>100</v>
      </c>
      <c r="E29" s="392"/>
      <c r="F29" s="393">
        <f>SUMIF(94:94,E29,95:95)-SUMIF(94:94,C29,95:95)+100</f>
        <v>100</v>
      </c>
      <c r="G29" s="2060"/>
      <c r="H29" s="393">
        <f>SUMIF(94:94,G29,95:95)-SUMIF(94:94,C29,95:95)+100</f>
        <v>100</v>
      </c>
      <c r="I29" s="392"/>
      <c r="J29" s="393">
        <f>SUMIF(94:94,I29,95:95)-SUMIF(94:94,C29,95:95)+100</f>
        <v>100</v>
      </c>
      <c r="K29" s="2046"/>
      <c r="L29" s="2916"/>
      <c r="M29" s="2910"/>
      <c r="N29" s="2910"/>
      <c r="O29" s="2910"/>
      <c r="P29" s="3556"/>
      <c r="Q29" s="1502">
        <f t="shared" si="11"/>
        <v>111</v>
      </c>
      <c r="R29" s="712" t="s">
        <v>21</v>
      </c>
      <c r="S29" s="713">
        <f t="shared" si="12"/>
        <v>100</v>
      </c>
      <c r="T29" s="712" t="s">
        <v>21</v>
      </c>
      <c r="U29" s="713">
        <f t="shared" si="13"/>
        <v>100</v>
      </c>
      <c r="V29" s="712" t="s">
        <v>21</v>
      </c>
      <c r="W29" s="713">
        <f t="shared" si="14"/>
        <v>100</v>
      </c>
      <c r="X29" s="1505"/>
      <c r="Y29" s="3549"/>
      <c r="Z29" s="1506">
        <f t="shared" si="18"/>
        <v>111</v>
      </c>
      <c r="AA29" s="1503">
        <f t="shared" si="15"/>
        <v>1</v>
      </c>
      <c r="AB29" s="1503">
        <f t="shared" si="16"/>
        <v>1</v>
      </c>
      <c r="AC29" s="1503">
        <f t="shared" si="17"/>
        <v>1</v>
      </c>
    </row>
    <row r="30" spans="1:29" ht="15">
      <c r="A30" s="386"/>
      <c r="B30" s="1263">
        <v>111</v>
      </c>
      <c r="C30" s="392"/>
      <c r="D30" s="393">
        <v>100</v>
      </c>
      <c r="E30" s="392"/>
      <c r="F30" s="393">
        <f>SUMIF(96:96,E30,97:97)-SUMIF(96:96,C30,97:97)+100</f>
        <v>100</v>
      </c>
      <c r="G30" s="2060"/>
      <c r="H30" s="393">
        <f>SUMIF(96:96,G30,97:97)-SUMIF(96:96,C30,97:97)+100</f>
        <v>100</v>
      </c>
      <c r="I30" s="392"/>
      <c r="J30" s="393">
        <f>SUMIF(96:96,I30,97:97)-SUMIF(96:96,C30,97:97)+100</f>
        <v>100</v>
      </c>
      <c r="K30" s="2046"/>
      <c r="L30" s="2916"/>
      <c r="M30" s="2910"/>
      <c r="N30" s="2910"/>
      <c r="O30" s="2910"/>
      <c r="P30" s="3556"/>
      <c r="Q30" s="1502">
        <f t="shared" si="11"/>
        <v>111</v>
      </c>
      <c r="R30" s="712" t="s">
        <v>21</v>
      </c>
      <c r="S30" s="713">
        <f t="shared" si="12"/>
        <v>100</v>
      </c>
      <c r="T30" s="712" t="s">
        <v>21</v>
      </c>
      <c r="U30" s="713">
        <f t="shared" si="13"/>
        <v>100</v>
      </c>
      <c r="V30" s="712" t="s">
        <v>21</v>
      </c>
      <c r="W30" s="713">
        <f t="shared" si="14"/>
        <v>100</v>
      </c>
      <c r="X30" s="1505"/>
      <c r="Y30" s="3549"/>
      <c r="Z30" s="1506">
        <f t="shared" si="18"/>
        <v>111</v>
      </c>
      <c r="AA30" s="1503">
        <f t="shared" si="15"/>
        <v>1</v>
      </c>
      <c r="AB30" s="1503">
        <f t="shared" si="16"/>
        <v>1</v>
      </c>
      <c r="AC30" s="1503">
        <f t="shared" si="17"/>
        <v>1</v>
      </c>
    </row>
    <row r="31" spans="1:29" ht="15.75" thickBot="1">
      <c r="A31" s="394"/>
      <c r="B31" s="1263">
        <v>111</v>
      </c>
      <c r="C31" s="395"/>
      <c r="D31" s="396">
        <v>100</v>
      </c>
      <c r="E31" s="395"/>
      <c r="F31" s="396">
        <f>SUMIF(98:98,E31,99:99)-SUMIF(98:98,C31,99:99)+100</f>
        <v>100</v>
      </c>
      <c r="G31" s="2061"/>
      <c r="H31" s="396">
        <f>SUMIF(98:98,G31,99:99)-SUMIF(98:98,C31,99:99)+100</f>
        <v>100</v>
      </c>
      <c r="I31" s="395"/>
      <c r="J31" s="396">
        <f>SUMIF(98:98,I31,99:99)-SUMIF(98:98,C31,99:99)+100</f>
        <v>100</v>
      </c>
      <c r="K31" s="2046"/>
      <c r="L31" s="2916"/>
      <c r="M31" s="2910"/>
      <c r="N31" s="2910"/>
      <c r="O31" s="2910"/>
      <c r="P31" s="3556"/>
      <c r="Q31" s="1502">
        <f t="shared" si="11"/>
        <v>111</v>
      </c>
      <c r="R31" s="712" t="s">
        <v>21</v>
      </c>
      <c r="S31" s="713">
        <f t="shared" si="12"/>
        <v>100</v>
      </c>
      <c r="T31" s="712" t="s">
        <v>21</v>
      </c>
      <c r="U31" s="713">
        <f t="shared" si="13"/>
        <v>100</v>
      </c>
      <c r="V31" s="712" t="s">
        <v>21</v>
      </c>
      <c r="W31" s="713">
        <f t="shared" si="14"/>
        <v>100</v>
      </c>
      <c r="X31" s="1505"/>
      <c r="Y31" s="3549"/>
      <c r="Z31" s="1506">
        <f t="shared" si="18"/>
        <v>111</v>
      </c>
      <c r="AA31" s="1503">
        <f t="shared" si="15"/>
        <v>1</v>
      </c>
      <c r="AB31" s="1503">
        <f t="shared" si="16"/>
        <v>1</v>
      </c>
      <c r="AC31" s="1503">
        <f t="shared" si="17"/>
        <v>1</v>
      </c>
    </row>
    <row r="32" spans="1:29" ht="15">
      <c r="A32" s="398" t="s">
        <v>2324</v>
      </c>
      <c r="B32" s="67" t="s">
        <v>2325</v>
      </c>
      <c r="C32" s="2062"/>
      <c r="D32" s="425">
        <v>100</v>
      </c>
      <c r="E32" s="2063"/>
      <c r="F32" s="419">
        <f>SUMIF(100:100,E32,101:101)-SUMIF(100:100,C32,101:101)+100</f>
        <v>100</v>
      </c>
      <c r="G32" s="2062"/>
      <c r="H32" s="425">
        <f>SUMIF(100:100,G32,101:101)-SUMIF(100:100,C32,101:101)+100</f>
        <v>100</v>
      </c>
      <c r="I32" s="2063"/>
      <c r="J32" s="393">
        <f>SUMIF(100:100,I32,101:101)-SUMIF(100:100,C32,101:101)+100</f>
        <v>100</v>
      </c>
      <c r="K32" s="384"/>
      <c r="L32" s="2916"/>
      <c r="M32" s="2910"/>
      <c r="N32" s="2910"/>
      <c r="O32" s="2910"/>
      <c r="P32" s="3550" t="s">
        <v>2326</v>
      </c>
      <c r="Q32" s="1502" t="str">
        <f t="shared" si="11"/>
        <v>建筑类型</v>
      </c>
      <c r="R32" s="712" t="s">
        <v>21</v>
      </c>
      <c r="S32" s="713">
        <f t="shared" si="12"/>
        <v>100</v>
      </c>
      <c r="T32" s="712" t="s">
        <v>21</v>
      </c>
      <c r="U32" s="713">
        <f t="shared" si="13"/>
        <v>100</v>
      </c>
      <c r="V32" s="712" t="s">
        <v>21</v>
      </c>
      <c r="W32" s="713">
        <f t="shared" si="14"/>
        <v>100</v>
      </c>
      <c r="X32" s="1505"/>
      <c r="Y32" s="3553" t="s">
        <v>2326</v>
      </c>
      <c r="Z32" s="1506" t="str">
        <f t="shared" si="18"/>
        <v>建筑类型</v>
      </c>
      <c r="AA32" s="1503">
        <f t="shared" si="15"/>
        <v>1</v>
      </c>
      <c r="AB32" s="1503">
        <f t="shared" si="16"/>
        <v>1</v>
      </c>
      <c r="AC32" s="1503">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6"/>
      <c r="L33" s="2915"/>
      <c r="M33" s="2917"/>
      <c r="N33" s="2917"/>
      <c r="O33" s="2917"/>
      <c r="P33" s="3551"/>
      <c r="Q33" s="714" t="str">
        <f t="shared" si="11"/>
        <v>项目建筑规模</v>
      </c>
      <c r="R33" s="715" t="s">
        <v>21</v>
      </c>
      <c r="S33" s="716" t="e">
        <f t="shared" si="12"/>
        <v>#N/A</v>
      </c>
      <c r="T33" s="715" t="s">
        <v>21</v>
      </c>
      <c r="U33" s="716" t="e">
        <f t="shared" si="13"/>
        <v>#N/A</v>
      </c>
      <c r="V33" s="715" t="s">
        <v>21</v>
      </c>
      <c r="W33" s="716" t="e">
        <f t="shared" si="14"/>
        <v>#N/A</v>
      </c>
      <c r="X33" s="717"/>
      <c r="Y33" s="3553"/>
      <c r="Z33" s="718" t="str">
        <f t="shared" si="18"/>
        <v>项目建筑规模</v>
      </c>
      <c r="AA33" s="1503" t="e">
        <f t="shared" si="15"/>
        <v>#N/A</v>
      </c>
      <c r="AB33" s="1503" t="e">
        <f t="shared" si="16"/>
        <v>#N/A</v>
      </c>
      <c r="AC33" s="1503" t="e">
        <f t="shared" si="17"/>
        <v>#N/A</v>
      </c>
    </row>
    <row r="34" spans="1:29" ht="15">
      <c r="A34" s="430"/>
      <c r="B34" s="380" t="s">
        <v>2328</v>
      </c>
      <c r="C34" s="2064"/>
      <c r="D34" s="393">
        <v>100</v>
      </c>
      <c r="E34" s="2065"/>
      <c r="F34" s="419">
        <f>SUMIF(105:105,E34,106:106)-SUMIF(105:105,C34,106:106)+100</f>
        <v>100</v>
      </c>
      <c r="G34" s="2064"/>
      <c r="H34" s="393">
        <f>SUMIF(105:105,G34,106:106)-SUMIF(105:105,C34,106:106)+100</f>
        <v>100</v>
      </c>
      <c r="I34" s="2065"/>
      <c r="J34" s="393">
        <f>SUMIF(105:105,I34,106:106)-SUMIF(105:105,C34,106:106)+100</f>
        <v>100</v>
      </c>
      <c r="K34" s="384"/>
      <c r="L34" s="2916"/>
      <c r="M34" s="2910"/>
      <c r="N34" s="2910"/>
      <c r="O34" s="2910"/>
      <c r="P34" s="3551"/>
      <c r="Q34" s="1502" t="str">
        <f t="shared" si="11"/>
        <v>建筑结构</v>
      </c>
      <c r="R34" s="712" t="s">
        <v>21</v>
      </c>
      <c r="S34" s="713">
        <f t="shared" si="12"/>
        <v>100</v>
      </c>
      <c r="T34" s="712" t="s">
        <v>21</v>
      </c>
      <c r="U34" s="713">
        <f t="shared" si="13"/>
        <v>100</v>
      </c>
      <c r="V34" s="712" t="s">
        <v>21</v>
      </c>
      <c r="W34" s="713">
        <f t="shared" si="14"/>
        <v>100</v>
      </c>
      <c r="X34" s="1505"/>
      <c r="Y34" s="3553"/>
      <c r="Z34" s="1506" t="str">
        <f t="shared" si="18"/>
        <v>建筑结构</v>
      </c>
      <c r="AA34" s="1503">
        <f t="shared" si="15"/>
        <v>1</v>
      </c>
      <c r="AB34" s="1503">
        <f t="shared" si="16"/>
        <v>1</v>
      </c>
      <c r="AC34" s="1503">
        <f t="shared" si="17"/>
        <v>1</v>
      </c>
    </row>
    <row r="35" spans="1:29" ht="15">
      <c r="A35" s="430"/>
      <c r="B35" s="380" t="s">
        <v>2329</v>
      </c>
      <c r="C35" s="2058"/>
      <c r="D35" s="393">
        <v>100</v>
      </c>
      <c r="E35" s="2059"/>
      <c r="F35" s="419">
        <f>SUMIF(107:107,E35,108:108)-SUMIF(107:107,C35,108:108)+100</f>
        <v>100</v>
      </c>
      <c r="G35" s="2058"/>
      <c r="H35" s="393">
        <f>SUMIF(107:107,G35,108:108)-SUMIF(107:107,C35,108:108)+100</f>
        <v>100</v>
      </c>
      <c r="I35" s="2059"/>
      <c r="J35" s="393">
        <f>SUMIF(107:107,I35,108:108)-SUMIF(107:107,C35,108:108)+100</f>
        <v>100</v>
      </c>
      <c r="K35" s="384"/>
      <c r="L35" s="2916"/>
      <c r="M35" s="2910"/>
      <c r="N35" s="2910"/>
      <c r="O35" s="2910"/>
      <c r="P35" s="3551"/>
      <c r="Q35" s="1502" t="str">
        <f t="shared" si="11"/>
        <v>建筑品质</v>
      </c>
      <c r="R35" s="712" t="s">
        <v>21</v>
      </c>
      <c r="S35" s="713">
        <f t="shared" si="12"/>
        <v>100</v>
      </c>
      <c r="T35" s="712" t="s">
        <v>21</v>
      </c>
      <c r="U35" s="713">
        <f t="shared" si="13"/>
        <v>100</v>
      </c>
      <c r="V35" s="712" t="s">
        <v>21</v>
      </c>
      <c r="W35" s="713">
        <f t="shared" si="14"/>
        <v>100</v>
      </c>
      <c r="X35" s="1505"/>
      <c r="Y35" s="3553"/>
      <c r="Z35" s="1506" t="str">
        <f t="shared" si="18"/>
        <v>建筑品质</v>
      </c>
      <c r="AA35" s="1503">
        <f t="shared" si="15"/>
        <v>1</v>
      </c>
      <c r="AB35" s="1503">
        <f t="shared" si="16"/>
        <v>1</v>
      </c>
      <c r="AC35" s="1503">
        <f t="shared" si="17"/>
        <v>1</v>
      </c>
    </row>
    <row r="36" spans="1:29" ht="15">
      <c r="A36" s="430"/>
      <c r="B36" s="380" t="s">
        <v>2330</v>
      </c>
      <c r="C36" s="2058"/>
      <c r="D36" s="393">
        <v>100</v>
      </c>
      <c r="E36" s="2059"/>
      <c r="F36" s="419">
        <f>SUMIF(109:109,E36,110:110)-SUMIF(109:109,C36,110:110)+100</f>
        <v>100</v>
      </c>
      <c r="G36" s="2058"/>
      <c r="H36" s="393">
        <f>SUMIF(109:109,G36,110:110)-SUMIF(109:109,C36,110:110)+100</f>
        <v>100</v>
      </c>
      <c r="I36" s="2059"/>
      <c r="J36" s="393">
        <f>SUMIF(109:109,I36,110:110)-SUMIF(109:109,C36,110:110)+100</f>
        <v>100</v>
      </c>
      <c r="K36" s="384"/>
      <c r="L36" s="2916"/>
      <c r="M36" s="2910"/>
      <c r="N36" s="2910"/>
      <c r="O36" s="2910"/>
      <c r="P36" s="3551"/>
      <c r="Q36" s="1502" t="str">
        <f t="shared" si="11"/>
        <v>公共部分装修</v>
      </c>
      <c r="R36" s="712" t="s">
        <v>21</v>
      </c>
      <c r="S36" s="713">
        <f t="shared" si="12"/>
        <v>100</v>
      </c>
      <c r="T36" s="712" t="s">
        <v>21</v>
      </c>
      <c r="U36" s="713">
        <f t="shared" si="13"/>
        <v>100</v>
      </c>
      <c r="V36" s="712" t="s">
        <v>21</v>
      </c>
      <c r="W36" s="713">
        <f t="shared" si="14"/>
        <v>100</v>
      </c>
      <c r="X36" s="1505"/>
      <c r="Y36" s="3553"/>
      <c r="Z36" s="1506" t="str">
        <f t="shared" si="18"/>
        <v>公共部分装修</v>
      </c>
      <c r="AA36" s="1503">
        <f t="shared" si="15"/>
        <v>1</v>
      </c>
      <c r="AB36" s="1503">
        <f t="shared" si="16"/>
        <v>1</v>
      </c>
      <c r="AC36" s="1503">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1"/>
      <c r="M37" s="2912"/>
      <c r="N37" s="2912"/>
      <c r="O37" s="2912"/>
      <c r="P37" s="3551"/>
      <c r="Q37" s="1493" t="str">
        <f t="shared" si="11"/>
        <v>成新度</v>
      </c>
      <c r="R37" s="708" t="s">
        <v>21</v>
      </c>
      <c r="S37" s="709" t="e">
        <f t="shared" si="12"/>
        <v>#N/A</v>
      </c>
      <c r="T37" s="708" t="s">
        <v>21</v>
      </c>
      <c r="U37" s="709" t="e">
        <f t="shared" si="13"/>
        <v>#N/A</v>
      </c>
      <c r="V37" s="708" t="s">
        <v>21</v>
      </c>
      <c r="W37" s="709" t="e">
        <f t="shared" si="14"/>
        <v>#N/A</v>
      </c>
      <c r="X37" s="710"/>
      <c r="Y37" s="3553"/>
      <c r="Z37" s="55" t="str">
        <f t="shared" si="18"/>
        <v>成新度</v>
      </c>
      <c r="AA37" s="711" t="e">
        <f t="shared" si="15"/>
        <v>#N/A</v>
      </c>
      <c r="AB37" s="711" t="e">
        <f t="shared" si="16"/>
        <v>#N/A</v>
      </c>
      <c r="AC37" s="711" t="e">
        <f t="shared" si="17"/>
        <v>#N/A</v>
      </c>
    </row>
    <row r="38" spans="1:29" ht="15">
      <c r="A38" s="430"/>
      <c r="B38" s="380" t="s">
        <v>2332</v>
      </c>
      <c r="C38" s="2058"/>
      <c r="D38" s="393">
        <v>100</v>
      </c>
      <c r="E38" s="2059"/>
      <c r="F38" s="419">
        <f>SUMIF(114:114,E38,115:115)-SUMIF(114:114,C38,115:115)+100</f>
        <v>100</v>
      </c>
      <c r="G38" s="2058"/>
      <c r="H38" s="393">
        <f>SUMIF(114:114,G38,115:115)-SUMIF(114:114,C38,115:115)+100</f>
        <v>100</v>
      </c>
      <c r="I38" s="2059"/>
      <c r="J38" s="393">
        <f>SUMIF(114:114,I38,115:115)-SUMIF(114:114,C38,115:115)+100</f>
        <v>100</v>
      </c>
      <c r="K38" s="384"/>
      <c r="L38" s="2916"/>
      <c r="M38" s="2910"/>
      <c r="N38" s="2910"/>
      <c r="O38" s="2910"/>
      <c r="P38" s="3551" t="s">
        <v>2326</v>
      </c>
      <c r="Q38" s="1502" t="str">
        <f t="shared" si="11"/>
        <v>物业管理</v>
      </c>
      <c r="R38" s="712" t="s">
        <v>21</v>
      </c>
      <c r="S38" s="713">
        <f t="shared" si="12"/>
        <v>100</v>
      </c>
      <c r="T38" s="712" t="s">
        <v>21</v>
      </c>
      <c r="U38" s="713">
        <f t="shared" si="13"/>
        <v>100</v>
      </c>
      <c r="V38" s="712" t="s">
        <v>21</v>
      </c>
      <c r="W38" s="713">
        <f t="shared" si="14"/>
        <v>100</v>
      </c>
      <c r="X38" s="1505"/>
      <c r="Y38" s="3553" t="s">
        <v>2326</v>
      </c>
      <c r="Z38" s="1506" t="str">
        <f t="shared" si="18"/>
        <v>物业管理</v>
      </c>
      <c r="AA38" s="1503">
        <f t="shared" si="15"/>
        <v>1</v>
      </c>
      <c r="AB38" s="1503">
        <f t="shared" si="16"/>
        <v>1</v>
      </c>
      <c r="AC38" s="1503">
        <f t="shared" si="17"/>
        <v>1</v>
      </c>
    </row>
    <row r="39" spans="1:29" ht="15">
      <c r="A39" s="430"/>
      <c r="B39" s="380" t="s">
        <v>2333</v>
      </c>
      <c r="C39" s="2058"/>
      <c r="D39" s="393">
        <v>100</v>
      </c>
      <c r="E39" s="2059"/>
      <c r="F39" s="419">
        <f>SUMIF(116:116,E39,117:117)-SUMIF(116:116,C39,117:117)+100</f>
        <v>100</v>
      </c>
      <c r="G39" s="2058"/>
      <c r="H39" s="393">
        <f>SUMIF(116:116,G39,117:117)-SUMIF(116:116,C39,117:117)+100</f>
        <v>100</v>
      </c>
      <c r="I39" s="2059"/>
      <c r="J39" s="393">
        <f>SUMIF(116:116,I39,117:117)-SUMIF(116:116,C39,117:117)+100</f>
        <v>100</v>
      </c>
      <c r="K39" s="384"/>
      <c r="L39" s="2916"/>
      <c r="M39" s="2910"/>
      <c r="N39" s="2910"/>
      <c r="O39" s="2910"/>
      <c r="P39" s="3551"/>
      <c r="Q39" s="1502" t="str">
        <f t="shared" si="11"/>
        <v>市政基础设施</v>
      </c>
      <c r="R39" s="712" t="s">
        <v>21</v>
      </c>
      <c r="S39" s="713">
        <f t="shared" si="12"/>
        <v>100</v>
      </c>
      <c r="T39" s="712" t="s">
        <v>21</v>
      </c>
      <c r="U39" s="713">
        <f t="shared" si="13"/>
        <v>100</v>
      </c>
      <c r="V39" s="712" t="s">
        <v>21</v>
      </c>
      <c r="W39" s="713">
        <f t="shared" si="14"/>
        <v>100</v>
      </c>
      <c r="X39" s="1505"/>
      <c r="Y39" s="3553"/>
      <c r="Z39" s="1506" t="str">
        <f t="shared" si="18"/>
        <v>市政基础设施</v>
      </c>
      <c r="AA39" s="1503">
        <f t="shared" si="15"/>
        <v>1</v>
      </c>
      <c r="AB39" s="1503">
        <f t="shared" si="16"/>
        <v>1</v>
      </c>
      <c r="AC39" s="1503">
        <f t="shared" si="17"/>
        <v>1</v>
      </c>
    </row>
    <row r="40" spans="1:29" ht="15">
      <c r="A40" s="430"/>
      <c r="B40" s="380" t="s">
        <v>2334</v>
      </c>
      <c r="C40" s="2058"/>
      <c r="D40" s="393">
        <v>100</v>
      </c>
      <c r="E40" s="2059"/>
      <c r="F40" s="419">
        <f>SUMIF(118:118,E40,119:119)-SUMIF(118:118,C40,119:119)+100</f>
        <v>100</v>
      </c>
      <c r="G40" s="2058"/>
      <c r="H40" s="393">
        <f>SUMIF(118:118,G40,119:119)-SUMIF(118:118,C40,119:119)+100</f>
        <v>100</v>
      </c>
      <c r="I40" s="2059"/>
      <c r="J40" s="393">
        <f>SUMIF(118:118,I40,119:119)-SUMIF(118:118,C40,119:119)+100</f>
        <v>100</v>
      </c>
      <c r="K40" s="384"/>
      <c r="L40" s="2916"/>
      <c r="M40" s="2910"/>
      <c r="N40" s="2910"/>
      <c r="O40" s="2910"/>
      <c r="P40" s="3551"/>
      <c r="Q40" s="1502" t="str">
        <f t="shared" si="11"/>
        <v>房型</v>
      </c>
      <c r="R40" s="712" t="s">
        <v>21</v>
      </c>
      <c r="S40" s="713">
        <f t="shared" si="12"/>
        <v>100</v>
      </c>
      <c r="T40" s="712" t="s">
        <v>21</v>
      </c>
      <c r="U40" s="713">
        <f t="shared" si="13"/>
        <v>100</v>
      </c>
      <c r="V40" s="712" t="s">
        <v>21</v>
      </c>
      <c r="W40" s="713">
        <f t="shared" si="14"/>
        <v>100</v>
      </c>
      <c r="X40" s="1505"/>
      <c r="Y40" s="3553"/>
      <c r="Z40" s="1506" t="str">
        <f t="shared" si="18"/>
        <v>房型</v>
      </c>
      <c r="AA40" s="1503">
        <f t="shared" si="15"/>
        <v>1</v>
      </c>
      <c r="AB40" s="1503">
        <f t="shared" si="16"/>
        <v>1</v>
      </c>
      <c r="AC40" s="1503">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6"/>
      <c r="L41" s="2915"/>
      <c r="M41" s="2917"/>
      <c r="N41" s="2917"/>
      <c r="O41" s="2917"/>
      <c r="P41" s="3551"/>
      <c r="Q41" s="714" t="str">
        <f t="shared" si="11"/>
        <v>单套/主力户型建筑面积</v>
      </c>
      <c r="R41" s="715" t="s">
        <v>21</v>
      </c>
      <c r="S41" s="716">
        <f t="shared" si="12"/>
        <v>100</v>
      </c>
      <c r="T41" s="715" t="s">
        <v>21</v>
      </c>
      <c r="U41" s="716">
        <f t="shared" si="13"/>
        <v>100</v>
      </c>
      <c r="V41" s="715" t="s">
        <v>21</v>
      </c>
      <c r="W41" s="716">
        <f t="shared" si="14"/>
        <v>100</v>
      </c>
      <c r="X41" s="717"/>
      <c r="Y41" s="3553"/>
      <c r="Z41" s="718" t="str">
        <f t="shared" si="18"/>
        <v>单套/主力户型建筑面积</v>
      </c>
      <c r="AA41" s="1503">
        <f t="shared" si="15"/>
        <v>1</v>
      </c>
      <c r="AB41" s="1503">
        <f t="shared" si="16"/>
        <v>1</v>
      </c>
      <c r="AC41" s="1503">
        <f t="shared" si="17"/>
        <v>1</v>
      </c>
    </row>
    <row r="42" spans="1:29" ht="15">
      <c r="A42" s="430"/>
      <c r="B42" s="380" t="s">
        <v>2336</v>
      </c>
      <c r="C42" s="2058"/>
      <c r="D42" s="393">
        <v>100</v>
      </c>
      <c r="E42" s="2059"/>
      <c r="F42" s="419">
        <f>SUMIF(122:122,E42,123:123)-SUMIF(122:122,C42,123:123)+100</f>
        <v>100</v>
      </c>
      <c r="G42" s="2058"/>
      <c r="H42" s="393">
        <f>SUMIF(122:122,G42,123:123)-SUMIF(122:122,C42,123:123)+100</f>
        <v>100</v>
      </c>
      <c r="I42" s="2059"/>
      <c r="J42" s="393">
        <f>SUMIF(122:122,I42,123:123)-SUMIF(122:122,C42,123:123)+100</f>
        <v>100</v>
      </c>
      <c r="K42" s="384"/>
      <c r="L42" s="2916"/>
      <c r="M42" s="2910"/>
      <c r="N42" s="2910"/>
      <c r="O42" s="2910"/>
      <c r="P42" s="3551"/>
      <c r="Q42" s="1502" t="str">
        <f t="shared" si="11"/>
        <v>内部装修</v>
      </c>
      <c r="R42" s="712" t="s">
        <v>21</v>
      </c>
      <c r="S42" s="713">
        <f t="shared" si="12"/>
        <v>100</v>
      </c>
      <c r="T42" s="712" t="s">
        <v>21</v>
      </c>
      <c r="U42" s="713">
        <f t="shared" si="13"/>
        <v>100</v>
      </c>
      <c r="V42" s="712" t="s">
        <v>21</v>
      </c>
      <c r="W42" s="713">
        <f t="shared" si="14"/>
        <v>100</v>
      </c>
      <c r="X42" s="1505"/>
      <c r="Y42" s="3553"/>
      <c r="Z42" s="1506" t="str">
        <f t="shared" si="18"/>
        <v>内部装修</v>
      </c>
      <c r="AA42" s="1503">
        <f t="shared" si="15"/>
        <v>1</v>
      </c>
      <c r="AB42" s="1503">
        <f t="shared" si="16"/>
        <v>1</v>
      </c>
      <c r="AC42" s="1503">
        <f t="shared" si="17"/>
        <v>1</v>
      </c>
    </row>
    <row r="43" spans="1:29" ht="15">
      <c r="A43" s="430"/>
      <c r="B43" s="380" t="s">
        <v>2337</v>
      </c>
      <c r="C43" s="2058"/>
      <c r="D43" s="393">
        <v>100</v>
      </c>
      <c r="E43" s="2059"/>
      <c r="F43" s="419">
        <f>SUMIF(124:124,E43,125:125)-SUMIF(124:124,C43,125:125)+100</f>
        <v>100</v>
      </c>
      <c r="G43" s="2058"/>
      <c r="H43" s="393">
        <f>SUMIF(124:124,G43,125:125)-SUMIF(124:124,C43,125:125)+100</f>
        <v>100</v>
      </c>
      <c r="I43" s="2059"/>
      <c r="J43" s="393">
        <f>SUMIF(124:124,I43,125:125)-SUMIF(124:124,C43,125:125)+100</f>
        <v>100</v>
      </c>
      <c r="K43" s="384"/>
      <c r="L43" s="2916"/>
      <c r="M43" s="2910"/>
      <c r="N43" s="2910"/>
      <c r="O43" s="2910"/>
      <c r="P43" s="3551"/>
      <c r="Q43" s="1502" t="str">
        <f t="shared" si="11"/>
        <v>内部装修维护情况</v>
      </c>
      <c r="R43" s="712" t="s">
        <v>21</v>
      </c>
      <c r="S43" s="713">
        <f t="shared" si="12"/>
        <v>100</v>
      </c>
      <c r="T43" s="712" t="s">
        <v>21</v>
      </c>
      <c r="U43" s="713">
        <f t="shared" si="13"/>
        <v>100</v>
      </c>
      <c r="V43" s="712" t="s">
        <v>21</v>
      </c>
      <c r="W43" s="713">
        <f t="shared" si="14"/>
        <v>100</v>
      </c>
      <c r="X43" s="1505"/>
      <c r="Y43" s="3553"/>
      <c r="Z43" s="1506" t="str">
        <f t="shared" si="18"/>
        <v>内部装修维护情况</v>
      </c>
      <c r="AA43" s="1503">
        <f t="shared" si="15"/>
        <v>1</v>
      </c>
      <c r="AB43" s="1503">
        <f t="shared" si="16"/>
        <v>1</v>
      </c>
      <c r="AC43" s="1503">
        <f t="shared" si="17"/>
        <v>1</v>
      </c>
    </row>
    <row r="44" spans="1:29" s="112" customFormat="1" ht="15">
      <c r="A44" s="431"/>
      <c r="B44" s="126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6"/>
      <c r="L44" s="2911"/>
      <c r="M44" s="2912"/>
      <c r="N44" s="2912"/>
      <c r="O44" s="2912"/>
      <c r="P44" s="3551"/>
      <c r="Q44" s="1493">
        <f t="shared" si="11"/>
        <v>111</v>
      </c>
      <c r="R44" s="708" t="s">
        <v>21</v>
      </c>
      <c r="S44" s="709">
        <f t="shared" si="12"/>
        <v>100</v>
      </c>
      <c r="T44" s="708" t="s">
        <v>21</v>
      </c>
      <c r="U44" s="709">
        <f t="shared" si="13"/>
        <v>100</v>
      </c>
      <c r="V44" s="708" t="s">
        <v>21</v>
      </c>
      <c r="W44" s="709">
        <f t="shared" si="14"/>
        <v>100</v>
      </c>
      <c r="X44" s="710"/>
      <c r="Y44" s="3553"/>
      <c r="Z44" s="55">
        <f t="shared" si="18"/>
        <v>111</v>
      </c>
      <c r="AA44" s="711">
        <f t="shared" si="15"/>
        <v>1</v>
      </c>
      <c r="AB44" s="711">
        <f t="shared" si="16"/>
        <v>1</v>
      </c>
      <c r="AC44" s="711">
        <f t="shared" si="17"/>
        <v>1</v>
      </c>
    </row>
    <row r="45" spans="1:29" ht="15">
      <c r="A45" s="430"/>
      <c r="B45" s="126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6"/>
      <c r="L45" s="2916"/>
      <c r="M45" s="2910"/>
      <c r="N45" s="2910"/>
      <c r="O45" s="2910"/>
      <c r="P45" s="3551"/>
      <c r="Q45" s="1502">
        <f t="shared" si="11"/>
        <v>111</v>
      </c>
      <c r="R45" s="712" t="s">
        <v>21</v>
      </c>
      <c r="S45" s="713">
        <f t="shared" si="12"/>
        <v>100</v>
      </c>
      <c r="T45" s="712" t="s">
        <v>21</v>
      </c>
      <c r="U45" s="713">
        <f t="shared" si="13"/>
        <v>100</v>
      </c>
      <c r="V45" s="712" t="s">
        <v>21</v>
      </c>
      <c r="W45" s="713">
        <f t="shared" si="14"/>
        <v>100</v>
      </c>
      <c r="X45" s="1505"/>
      <c r="Y45" s="3553"/>
      <c r="Z45" s="1506">
        <f t="shared" si="18"/>
        <v>111</v>
      </c>
      <c r="AA45" s="1503">
        <f t="shared" si="15"/>
        <v>1</v>
      </c>
      <c r="AB45" s="1503">
        <f t="shared" si="16"/>
        <v>1</v>
      </c>
      <c r="AC45" s="1503">
        <f t="shared" si="17"/>
        <v>1</v>
      </c>
    </row>
    <row r="46" spans="1:29" ht="15.75" thickBot="1">
      <c r="A46" s="436"/>
      <c r="B46" s="204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6"/>
      <c r="L46" s="2916"/>
      <c r="M46" s="2910"/>
      <c r="N46" s="2910"/>
      <c r="O46" s="2910"/>
      <c r="P46" s="3552"/>
      <c r="Q46" s="1502">
        <f t="shared" si="11"/>
        <v>111</v>
      </c>
      <c r="R46" s="712" t="s">
        <v>20</v>
      </c>
      <c r="S46" s="713">
        <f t="shared" si="12"/>
        <v>100</v>
      </c>
      <c r="T46" s="712" t="s">
        <v>20</v>
      </c>
      <c r="U46" s="713">
        <f t="shared" si="13"/>
        <v>100</v>
      </c>
      <c r="V46" s="712" t="s">
        <v>20</v>
      </c>
      <c r="W46" s="713">
        <f t="shared" si="14"/>
        <v>100</v>
      </c>
      <c r="X46" s="1505"/>
      <c r="Y46" s="3554"/>
      <c r="Z46" s="1506">
        <f t="shared" si="18"/>
        <v>111</v>
      </c>
      <c r="AA46" s="1503">
        <f t="shared" si="15"/>
        <v>1</v>
      </c>
      <c r="AB46" s="1503">
        <f t="shared" si="16"/>
        <v>1</v>
      </c>
      <c r="AC46" s="1503">
        <f t="shared" si="17"/>
        <v>1</v>
      </c>
    </row>
    <row r="47" spans="1:29" ht="15">
      <c r="A47" s="437" t="s">
        <v>2338</v>
      </c>
      <c r="B47" s="438"/>
      <c r="C47" s="1284" t="s">
        <v>19</v>
      </c>
      <c r="D47" s="1285"/>
      <c r="E47" s="1286"/>
      <c r="F47" s="1287"/>
      <c r="G47" s="1288"/>
      <c r="H47" s="1289"/>
      <c r="I47" s="1286"/>
      <c r="J47" s="1289"/>
      <c r="K47" s="2066"/>
      <c r="L47" s="2918"/>
      <c r="M47" s="2919"/>
      <c r="N47" s="2910"/>
      <c r="O47" s="2919"/>
      <c r="P47" s="3546" t="str">
        <f>A47</f>
        <v>成交单价（元/平方米）</v>
      </c>
      <c r="Q47" s="3546"/>
      <c r="R47" s="3547">
        <f>E47</f>
        <v>0</v>
      </c>
      <c r="S47" s="3547"/>
      <c r="T47" s="3547">
        <f>G47</f>
        <v>0</v>
      </c>
      <c r="U47" s="3547"/>
      <c r="V47" s="3547">
        <f>I47</f>
        <v>0</v>
      </c>
      <c r="W47" s="3547"/>
      <c r="X47" s="697"/>
      <c r="Y47" s="719"/>
      <c r="Z47" s="697"/>
      <c r="AA47" s="697"/>
      <c r="AB47" s="697"/>
      <c r="AC47" s="697"/>
    </row>
    <row r="48" spans="1:29" ht="15.75" thickBot="1">
      <c r="A48" s="444" t="s">
        <v>2339</v>
      </c>
      <c r="B48" s="445"/>
      <c r="C48" s="1290" t="e">
        <f>R49</f>
        <v>#DIV/0!</v>
      </c>
      <c r="D48" s="2504" t="s">
        <v>2819</v>
      </c>
      <c r="E48" s="1291" t="e">
        <f>R48</f>
        <v>#DIV/0!</v>
      </c>
      <c r="F48" s="2505"/>
      <c r="G48" s="1290" t="e">
        <f>T48</f>
        <v>#DIV/0!</v>
      </c>
      <c r="H48" s="2505"/>
      <c r="I48" s="1291" t="e">
        <f>V48</f>
        <v>#DIV/0!</v>
      </c>
      <c r="J48" s="2505"/>
      <c r="K48" s="2506">
        <f>F48+H48+J48</f>
        <v>0</v>
      </c>
      <c r="L48" s="2918"/>
      <c r="M48" s="2919"/>
      <c r="N48" s="2919"/>
      <c r="O48" s="2919"/>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97"/>
      <c r="Y48" s="697"/>
      <c r="Z48" s="697"/>
      <c r="AA48" s="697"/>
      <c r="AB48" s="697"/>
      <c r="AC48" s="697"/>
    </row>
    <row r="49" spans="1:29" ht="15.75" thickBot="1">
      <c r="A49" s="448" t="s">
        <v>2340</v>
      </c>
      <c r="B49" s="449"/>
      <c r="C49" s="1292" t="e">
        <f>R49</f>
        <v>#DIV/0!</v>
      </c>
      <c r="D49" s="1293"/>
      <c r="E49" s="1293"/>
      <c r="F49" s="1293"/>
      <c r="G49" s="1293"/>
      <c r="H49" s="1293"/>
      <c r="I49" s="1293"/>
      <c r="J49" s="1293"/>
      <c r="K49" s="2067"/>
      <c r="L49" s="2918"/>
      <c r="M49" s="2919"/>
      <c r="N49" s="2919"/>
      <c r="O49" s="2919"/>
      <c r="P49" s="3543" t="str">
        <f>A49</f>
        <v>估价对象XX用房的比较价值（楼面单价，元/平方米）</v>
      </c>
      <c r="Q49" s="3544"/>
      <c r="R49" s="3545" t="e">
        <f>IF(F1="售价",ROUND(IF(D48="简单平均",AVERAGE(R48:V48),R48*F48+T48*H48+V48*J48),0),ROUND(IF(D48="简单平均",AVERAGE(R48:V48),R48*F48+T48*H48+V48*J48),1))</f>
        <v>#DIV/0!</v>
      </c>
      <c r="S49" s="3545"/>
      <c r="T49" s="3545"/>
      <c r="U49" s="3545"/>
      <c r="V49" s="3545"/>
      <c r="W49" s="3545"/>
      <c r="X49" s="697"/>
      <c r="Y49" s="697"/>
      <c r="Z49" s="697"/>
      <c r="AA49" s="697"/>
      <c r="AB49" s="697"/>
      <c r="AC49" s="697"/>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4"/>
      <c r="L52" s="2920"/>
      <c r="M52" s="2919"/>
      <c r="N52" s="2919"/>
      <c r="O52" s="2919"/>
    </row>
    <row r="53" spans="1:29" ht="13.5" customHeight="1">
      <c r="A53" s="2919"/>
      <c r="B53" s="2919"/>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4"/>
      <c r="L53" s="2920"/>
      <c r="M53" s="2919"/>
      <c r="N53" s="2919"/>
      <c r="O53" s="2919"/>
    </row>
    <row r="54" spans="1:29" s="458" customFormat="1" ht="13.5" customHeight="1">
      <c r="A54" s="2922"/>
      <c r="B54" s="2922"/>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7"/>
      <c r="L54" s="2921"/>
      <c r="M54" s="2922"/>
      <c r="N54" s="2922"/>
      <c r="O54" s="2922"/>
      <c r="P54" s="2069"/>
    </row>
    <row r="55" spans="1:29" s="458" customFormat="1">
      <c r="A55" s="2922"/>
      <c r="B55" s="2925"/>
      <c r="C55" s="2926"/>
      <c r="D55" s="2922"/>
      <c r="E55" s="2922"/>
      <c r="F55" s="2922"/>
      <c r="G55" s="2922"/>
      <c r="H55" s="2922"/>
      <c r="I55" s="2922"/>
      <c r="J55" s="2922"/>
      <c r="K55" s="2927"/>
      <c r="L55" s="2921"/>
      <c r="M55" s="2922"/>
      <c r="N55" s="2922"/>
      <c r="O55" s="2922"/>
      <c r="P55" s="2069"/>
    </row>
    <row r="56" spans="1:29">
      <c r="A56" s="2919"/>
      <c r="B56" s="2925"/>
      <c r="C56" s="2926"/>
      <c r="D56" s="2919"/>
      <c r="E56" s="2919"/>
      <c r="F56" s="2919"/>
      <c r="G56" s="2919"/>
      <c r="H56" s="2919"/>
      <c r="I56" s="2919"/>
      <c r="J56" s="2919"/>
      <c r="K56" s="2924"/>
      <c r="L56" s="2920"/>
      <c r="M56" s="2919"/>
      <c r="N56" s="2919"/>
      <c r="O56" s="2919"/>
    </row>
    <row r="57" spans="1:29" ht="21.75" thickBot="1">
      <c r="A57" s="701" t="s">
        <v>2344</v>
      </c>
      <c r="B57" s="697"/>
      <c r="C57" s="702"/>
      <c r="D57" s="702"/>
      <c r="E57" s="702"/>
      <c r="F57" s="703"/>
      <c r="G57" s="703"/>
      <c r="H57" s="702"/>
      <c r="I57" s="702"/>
      <c r="J57" s="702"/>
      <c r="K57" s="1070"/>
      <c r="L57" s="1071"/>
      <c r="M57" s="1069"/>
      <c r="N57" s="1069"/>
      <c r="O57" s="1069"/>
      <c r="P57" s="2070"/>
      <c r="Q57" s="460"/>
    </row>
    <row r="58" spans="1:29" s="464" customFormat="1" ht="15">
      <c r="A58" s="461" t="s">
        <v>2345</v>
      </c>
      <c r="B58" s="462"/>
      <c r="C58" s="1316" t="str">
        <f>YEAR(C7)&amp;"-"&amp;MONTH(C7)</f>
        <v>2022-2</v>
      </c>
      <c r="D58" s="1315">
        <f>EDATE(C58,-1)</f>
        <v>44562</v>
      </c>
      <c r="E58" s="1315">
        <f>EDATE(D58,-1)</f>
        <v>44531</v>
      </c>
      <c r="F58" s="1315">
        <f t="shared" ref="F58:O58" si="19">EDATE(E58,-1)</f>
        <v>44501</v>
      </c>
      <c r="G58" s="1315">
        <f t="shared" si="19"/>
        <v>44470</v>
      </c>
      <c r="H58" s="1315">
        <f t="shared" si="19"/>
        <v>44440</v>
      </c>
      <c r="I58" s="1315">
        <f t="shared" si="19"/>
        <v>44409</v>
      </c>
      <c r="J58" s="1315">
        <f t="shared" si="19"/>
        <v>44378</v>
      </c>
      <c r="K58" s="1315">
        <f t="shared" si="19"/>
        <v>44348</v>
      </c>
      <c r="L58" s="1315">
        <f t="shared" si="19"/>
        <v>44317</v>
      </c>
      <c r="M58" s="1315">
        <f t="shared" si="19"/>
        <v>44287</v>
      </c>
      <c r="N58" s="1315">
        <f t="shared" si="19"/>
        <v>44256</v>
      </c>
      <c r="O58" s="1315">
        <f t="shared" si="19"/>
        <v>44228</v>
      </c>
      <c r="P58" s="1311"/>
    </row>
    <row r="59" spans="1:29" s="112" customFormat="1" ht="15">
      <c r="A59" s="465"/>
      <c r="B59" s="2071"/>
      <c r="C59" s="1313">
        <v>100</v>
      </c>
      <c r="D59" s="467"/>
      <c r="E59" s="468"/>
      <c r="F59" s="468"/>
      <c r="G59" s="468"/>
      <c r="H59" s="468"/>
      <c r="I59" s="468"/>
      <c r="J59" s="468"/>
      <c r="K59" s="468"/>
      <c r="L59" s="468"/>
      <c r="M59" s="469"/>
      <c r="N59" s="468"/>
      <c r="O59" s="469"/>
      <c r="P59" s="2072"/>
    </row>
    <row r="60" spans="1:29" s="112" customFormat="1" ht="15.75" thickBot="1">
      <c r="A60" s="471" t="s">
        <v>2346</v>
      </c>
      <c r="B60" s="472"/>
      <c r="C60" s="473"/>
      <c r="D60" s="474"/>
      <c r="E60" s="474"/>
      <c r="F60" s="474"/>
      <c r="G60" s="474"/>
      <c r="H60" s="474"/>
      <c r="I60" s="474"/>
      <c r="J60" s="474"/>
      <c r="K60" s="474"/>
      <c r="L60" s="474"/>
      <c r="M60" s="475"/>
      <c r="N60" s="474"/>
      <c r="O60" s="475"/>
      <c r="P60" s="2072"/>
      <c r="Q60" s="460"/>
    </row>
    <row r="61" spans="1:29" s="112" customFormat="1" ht="15">
      <c r="A61" s="477" t="s">
        <v>2347</v>
      </c>
      <c r="B61" s="466"/>
      <c r="C61" s="478" t="s">
        <v>2348</v>
      </c>
      <c r="D61" s="479"/>
      <c r="E61" s="479"/>
      <c r="F61" s="479"/>
      <c r="G61" s="479"/>
      <c r="H61" s="479"/>
      <c r="I61" s="479"/>
      <c r="J61" s="479"/>
      <c r="K61" s="479"/>
      <c r="L61" s="480"/>
      <c r="M61" s="481"/>
      <c r="N61" s="1061"/>
      <c r="O61" s="1061"/>
      <c r="P61" s="2073"/>
      <c r="Q61" s="460"/>
    </row>
    <row r="62" spans="1:29" s="112" customFormat="1" ht="15.75" thickBot="1">
      <c r="A62" s="477"/>
      <c r="B62" s="466"/>
      <c r="C62" s="467">
        <v>100</v>
      </c>
      <c r="D62" s="468"/>
      <c r="E62" s="468"/>
      <c r="F62" s="468"/>
      <c r="G62" s="468"/>
      <c r="H62" s="468"/>
      <c r="I62" s="468"/>
      <c r="J62" s="468"/>
      <c r="K62" s="468"/>
      <c r="L62" s="468"/>
      <c r="M62" s="470"/>
      <c r="N62" s="1061"/>
      <c r="O62" s="1061"/>
      <c r="P62" s="2072"/>
      <c r="Q62" s="460"/>
    </row>
    <row r="63" spans="1:29">
      <c r="A63" s="483" t="s">
        <v>2349</v>
      </c>
      <c r="B63" s="484" t="s">
        <v>2315</v>
      </c>
      <c r="C63" s="485">
        <f>C9</f>
        <v>0</v>
      </c>
      <c r="D63" s="486"/>
      <c r="E63" s="486"/>
      <c r="F63" s="486"/>
      <c r="G63" s="486"/>
      <c r="H63" s="486"/>
      <c r="I63" s="486"/>
      <c r="J63" s="486"/>
      <c r="K63" s="487"/>
      <c r="L63" s="488"/>
      <c r="M63" s="489"/>
      <c r="N63" s="1062"/>
      <c r="O63" s="1062"/>
      <c r="P63" s="2074"/>
      <c r="Q63" s="460"/>
    </row>
    <row r="64" spans="1:29" ht="15.75" thickBot="1">
      <c r="A64" s="490"/>
      <c r="B64" s="491"/>
      <c r="C64" s="492">
        <v>100</v>
      </c>
      <c r="D64" s="492"/>
      <c r="E64" s="492"/>
      <c r="F64" s="492"/>
      <c r="G64" s="492"/>
      <c r="H64" s="492"/>
      <c r="I64" s="492"/>
      <c r="J64" s="492"/>
      <c r="K64" s="492"/>
      <c r="L64" s="492"/>
      <c r="M64" s="493"/>
      <c r="N64" s="1063"/>
      <c r="O64" s="1063"/>
      <c r="P64" s="2074"/>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4"/>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4"/>
      <c r="Q67" s="460"/>
    </row>
    <row r="68" spans="1:17" ht="15">
      <c r="A68" s="490"/>
      <c r="B68" s="504"/>
      <c r="C68" s="505"/>
      <c r="D68" s="505"/>
      <c r="E68" s="505"/>
      <c r="F68" s="505"/>
      <c r="G68" s="505"/>
      <c r="H68" s="505"/>
      <c r="I68" s="505"/>
      <c r="J68" s="505"/>
      <c r="K68" s="506"/>
      <c r="L68" s="507"/>
      <c r="M68" s="508"/>
      <c r="N68" s="1062"/>
      <c r="O68" s="1062"/>
      <c r="P68" s="207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4"/>
      <c r="Q69" s="460"/>
    </row>
    <row r="70" spans="1:17" s="429" customFormat="1" ht="15.75" thickTop="1">
      <c r="A70" s="509"/>
      <c r="B70" s="494">
        <f>B12</f>
        <v>111</v>
      </c>
      <c r="C70" s="510"/>
      <c r="D70" s="510"/>
      <c r="E70" s="510"/>
      <c r="F70" s="510"/>
      <c r="G70" s="510"/>
      <c r="H70" s="511"/>
      <c r="I70" s="511"/>
      <c r="J70" s="511"/>
      <c r="K70" s="511"/>
      <c r="L70" s="512"/>
      <c r="M70" s="513"/>
      <c r="N70" s="1064"/>
      <c r="O70" s="1064"/>
      <c r="P70" s="2075"/>
      <c r="Q70" s="515"/>
    </row>
    <row r="71" spans="1:17" s="429" customFormat="1" ht="15.75" thickBot="1">
      <c r="A71" s="509"/>
      <c r="B71" s="499"/>
      <c r="C71" s="516"/>
      <c r="D71" s="492"/>
      <c r="E71" s="492"/>
      <c r="F71" s="492"/>
      <c r="G71" s="492"/>
      <c r="H71" s="492"/>
      <c r="I71" s="492"/>
      <c r="J71" s="492"/>
      <c r="K71" s="492"/>
      <c r="L71" s="492"/>
      <c r="M71" s="493"/>
      <c r="N71" s="1063"/>
      <c r="O71" s="1063"/>
      <c r="P71" s="2075"/>
      <c r="Q71" s="515"/>
    </row>
    <row r="72" spans="1:17" s="429" customFormat="1" ht="15.75" thickTop="1">
      <c r="A72" s="509"/>
      <c r="B72" s="494">
        <f>B13</f>
        <v>111</v>
      </c>
      <c r="C72" s="510"/>
      <c r="D72" s="510"/>
      <c r="E72" s="510"/>
      <c r="F72" s="510"/>
      <c r="G72" s="510"/>
      <c r="H72" s="511"/>
      <c r="I72" s="511"/>
      <c r="J72" s="511"/>
      <c r="K72" s="511"/>
      <c r="L72" s="512"/>
      <c r="M72" s="513"/>
      <c r="N72" s="1064"/>
      <c r="O72" s="1064"/>
      <c r="P72" s="2076"/>
      <c r="Q72" s="517"/>
    </row>
    <row r="73" spans="1:17" s="429" customFormat="1" ht="15.75" thickBot="1">
      <c r="A73" s="509"/>
      <c r="B73" s="499"/>
      <c r="C73" s="516"/>
      <c r="D73" s="516"/>
      <c r="E73" s="516"/>
      <c r="F73" s="516"/>
      <c r="G73" s="516"/>
      <c r="H73" s="518"/>
      <c r="I73" s="518"/>
      <c r="J73" s="518"/>
      <c r="K73" s="518"/>
      <c r="L73" s="518"/>
      <c r="M73" s="519"/>
      <c r="N73" s="1064"/>
      <c r="O73" s="1064"/>
      <c r="P73" s="2075"/>
      <c r="Q73" s="515"/>
    </row>
    <row r="74" spans="1:17" s="429" customFormat="1" ht="15.75" thickTop="1">
      <c r="A74" s="509"/>
      <c r="B74" s="502">
        <f>B14</f>
        <v>111</v>
      </c>
      <c r="C74" s="510"/>
      <c r="D74" s="510"/>
      <c r="E74" s="510"/>
      <c r="F74" s="510"/>
      <c r="G74" s="479"/>
      <c r="H74" s="520"/>
      <c r="I74" s="520"/>
      <c r="J74" s="520"/>
      <c r="K74" s="520"/>
      <c r="L74" s="521"/>
      <c r="M74" s="522"/>
      <c r="N74" s="1064"/>
      <c r="O74" s="1064"/>
      <c r="P74" s="2077"/>
      <c r="Q74" s="515"/>
    </row>
    <row r="75" spans="1:17" s="429" customFormat="1" ht="15.75" thickBot="1">
      <c r="A75" s="524"/>
      <c r="B75" s="525"/>
      <c r="C75" s="526"/>
      <c r="D75" s="526"/>
      <c r="E75" s="526"/>
      <c r="F75" s="526"/>
      <c r="G75" s="526"/>
      <c r="H75" s="527"/>
      <c r="I75" s="527"/>
      <c r="J75" s="527"/>
      <c r="K75" s="527"/>
      <c r="L75" s="527"/>
      <c r="M75" s="528"/>
      <c r="N75" s="1064"/>
      <c r="O75" s="1064"/>
      <c r="P75" s="2075"/>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4"/>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4"/>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4"/>
      <c r="Q81" s="460"/>
    </row>
    <row r="82" spans="1:17" ht="15.75" thickTop="1">
      <c r="A82" s="490"/>
      <c r="B82" s="502" t="s">
        <v>1886</v>
      </c>
      <c r="C82" s="495" t="s">
        <v>2365</v>
      </c>
      <c r="D82" s="495" t="s">
        <v>2366</v>
      </c>
      <c r="E82" s="495" t="s">
        <v>2367</v>
      </c>
      <c r="F82" s="495" t="s">
        <v>2368</v>
      </c>
      <c r="G82" s="495" t="s">
        <v>2369</v>
      </c>
      <c r="H82" s="495"/>
      <c r="I82" s="495"/>
      <c r="J82" s="495"/>
      <c r="K82" s="495"/>
      <c r="L82" s="495"/>
      <c r="M82" s="1259"/>
      <c r="N82" s="1063"/>
      <c r="O82" s="1063"/>
      <c r="P82" s="207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4"/>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4"/>
      <c r="Q85" s="460"/>
    </row>
    <row r="86" spans="1:17" s="112" customFormat="1" ht="15.75" thickTop="1">
      <c r="A86" s="535"/>
      <c r="B86" s="494" t="s">
        <v>2371</v>
      </c>
      <c r="C86" s="510"/>
      <c r="D86" s="510"/>
      <c r="E86" s="510"/>
      <c r="F86" s="510"/>
      <c r="G86" s="510"/>
      <c r="H86" s="510"/>
      <c r="I86" s="510"/>
      <c r="J86" s="510"/>
      <c r="K86" s="510"/>
      <c r="L86" s="536"/>
      <c r="M86" s="537"/>
      <c r="N86" s="1061"/>
      <c r="O86" s="1061"/>
      <c r="P86" s="207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4"/>
      <c r="Q87" s="460"/>
    </row>
    <row r="88" spans="1:17" s="112" customFormat="1" ht="15.75" thickTop="1">
      <c r="A88" s="535"/>
      <c r="B88" s="494" t="s">
        <v>2372</v>
      </c>
      <c r="C88" s="510"/>
      <c r="D88" s="510"/>
      <c r="E88" s="510"/>
      <c r="F88" s="2079"/>
      <c r="G88" s="510"/>
      <c r="H88" s="510"/>
      <c r="I88" s="510"/>
      <c r="J88" s="510"/>
      <c r="K88" s="510"/>
      <c r="L88" s="510"/>
      <c r="M88" s="537"/>
      <c r="N88" s="1061"/>
      <c r="O88" s="1061"/>
      <c r="P88" s="207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4"/>
      <c r="Q89" s="460"/>
    </row>
    <row r="90" spans="1:17" s="429" customFormat="1" ht="15.75" thickTop="1">
      <c r="A90" s="509"/>
      <c r="B90" s="494">
        <f>B27</f>
        <v>111</v>
      </c>
      <c r="C90" s="510"/>
      <c r="D90" s="510"/>
      <c r="E90" s="510"/>
      <c r="F90" s="510"/>
      <c r="G90" s="510"/>
      <c r="H90" s="511"/>
      <c r="I90" s="511"/>
      <c r="J90" s="511"/>
      <c r="K90" s="511"/>
      <c r="L90" s="512"/>
      <c r="M90" s="513"/>
      <c r="N90" s="1064"/>
      <c r="O90" s="1064"/>
      <c r="P90" s="2075"/>
      <c r="Q90" s="515"/>
    </row>
    <row r="91" spans="1:17" s="429" customFormat="1" ht="15.75" thickBot="1">
      <c r="A91" s="509"/>
      <c r="B91" s="499"/>
      <c r="C91" s="516"/>
      <c r="D91" s="516"/>
      <c r="E91" s="516"/>
      <c r="F91" s="516"/>
      <c r="G91" s="516"/>
      <c r="H91" s="518"/>
      <c r="I91" s="518"/>
      <c r="J91" s="518"/>
      <c r="K91" s="518"/>
      <c r="L91" s="518"/>
      <c r="M91" s="519"/>
      <c r="N91" s="1064"/>
      <c r="O91" s="1064"/>
      <c r="P91" s="2075"/>
      <c r="Q91" s="515"/>
    </row>
    <row r="92" spans="1:17" ht="15.75" thickTop="1">
      <c r="A92" s="490"/>
      <c r="B92" s="494">
        <f>B28</f>
        <v>111</v>
      </c>
      <c r="C92" s="510"/>
      <c r="D92" s="510"/>
      <c r="E92" s="510"/>
      <c r="F92" s="510"/>
      <c r="G92" s="539"/>
      <c r="H92" s="539"/>
      <c r="I92" s="539"/>
      <c r="J92" s="539"/>
      <c r="K92" s="540"/>
      <c r="L92" s="541"/>
      <c r="M92" s="542"/>
      <c r="N92" s="1062"/>
      <c r="O92" s="1062"/>
      <c r="P92" s="2074"/>
      <c r="Q92" s="460"/>
    </row>
    <row r="93" spans="1:17" ht="15.75" thickBot="1">
      <c r="A93" s="490"/>
      <c r="B93" s="499"/>
      <c r="C93" s="516"/>
      <c r="D93" s="492"/>
      <c r="E93" s="492"/>
      <c r="F93" s="492"/>
      <c r="G93" s="492"/>
      <c r="H93" s="492"/>
      <c r="I93" s="492"/>
      <c r="J93" s="492"/>
      <c r="K93" s="492"/>
      <c r="L93" s="492"/>
      <c r="M93" s="493"/>
      <c r="N93" s="1063"/>
      <c r="O93" s="1063"/>
      <c r="P93" s="2074"/>
      <c r="Q93" s="460"/>
    </row>
    <row r="94" spans="1:17" ht="15.75" thickTop="1">
      <c r="A94" s="490"/>
      <c r="B94" s="494">
        <f>B29</f>
        <v>111</v>
      </c>
      <c r="C94" s="510"/>
      <c r="D94" s="510"/>
      <c r="E94" s="510"/>
      <c r="F94" s="510"/>
      <c r="G94" s="539"/>
      <c r="H94" s="539"/>
      <c r="I94" s="539"/>
      <c r="J94" s="539"/>
      <c r="K94" s="540"/>
      <c r="L94" s="541"/>
      <c r="M94" s="542"/>
      <c r="N94" s="1062"/>
      <c r="O94" s="1062"/>
      <c r="P94" s="2074"/>
      <c r="Q94" s="460"/>
    </row>
    <row r="95" spans="1:17" ht="15.75" thickBot="1">
      <c r="A95" s="490"/>
      <c r="B95" s="499"/>
      <c r="C95" s="516"/>
      <c r="D95" s="516"/>
      <c r="E95" s="516"/>
      <c r="F95" s="516"/>
      <c r="G95" s="492"/>
      <c r="H95" s="492"/>
      <c r="I95" s="492"/>
      <c r="J95" s="492"/>
      <c r="K95" s="492"/>
      <c r="L95" s="492"/>
      <c r="M95" s="493"/>
      <c r="N95" s="1063"/>
      <c r="O95" s="1063"/>
      <c r="P95" s="2074"/>
      <c r="Q95" s="460"/>
    </row>
    <row r="96" spans="1:17" ht="15.75" thickTop="1">
      <c r="A96" s="490"/>
      <c r="B96" s="494">
        <f>B30</f>
        <v>111</v>
      </c>
      <c r="C96" s="510"/>
      <c r="D96" s="510"/>
      <c r="E96" s="510"/>
      <c r="F96" s="510"/>
      <c r="G96" s="539"/>
      <c r="H96" s="539"/>
      <c r="I96" s="539"/>
      <c r="J96" s="539"/>
      <c r="K96" s="540"/>
      <c r="L96" s="541"/>
      <c r="M96" s="542"/>
      <c r="N96" s="1062"/>
      <c r="O96" s="1062"/>
      <c r="P96" s="2074"/>
      <c r="Q96" s="460"/>
    </row>
    <row r="97" spans="1:17" ht="15.75" thickBot="1">
      <c r="A97" s="490"/>
      <c r="B97" s="499"/>
      <c r="C97" s="526"/>
      <c r="D97" s="526"/>
      <c r="E97" s="526"/>
      <c r="F97" s="526"/>
      <c r="G97" s="492"/>
      <c r="H97" s="492"/>
      <c r="I97" s="492"/>
      <c r="J97" s="492"/>
      <c r="K97" s="492"/>
      <c r="L97" s="492"/>
      <c r="M97" s="493"/>
      <c r="N97" s="1063"/>
      <c r="O97" s="1063"/>
      <c r="P97" s="2074"/>
      <c r="Q97" s="460"/>
    </row>
    <row r="98" spans="1:17" ht="15.75" thickTop="1">
      <c r="A98" s="490"/>
      <c r="B98" s="502">
        <f>B31</f>
        <v>111</v>
      </c>
      <c r="C98" s="543"/>
      <c r="D98" s="543"/>
      <c r="E98" s="543"/>
      <c r="F98" s="543"/>
      <c r="G98" s="543"/>
      <c r="H98" s="543"/>
      <c r="I98" s="543"/>
      <c r="J98" s="543"/>
      <c r="K98" s="544"/>
      <c r="L98" s="545"/>
      <c r="M98" s="546"/>
      <c r="N98" s="1062"/>
      <c r="O98" s="1062"/>
      <c r="P98" s="2074"/>
      <c r="Q98" s="460"/>
    </row>
    <row r="99" spans="1:17" ht="15.75" thickBot="1">
      <c r="A99" s="2080"/>
      <c r="B99" s="525"/>
      <c r="C99" s="547"/>
      <c r="D99" s="547"/>
      <c r="E99" s="547"/>
      <c r="F99" s="547"/>
      <c r="G99" s="547"/>
      <c r="H99" s="547"/>
      <c r="I99" s="547"/>
      <c r="J99" s="547"/>
      <c r="K99" s="547"/>
      <c r="L99" s="547"/>
      <c r="M99" s="548"/>
      <c r="N99" s="1063"/>
      <c r="O99" s="1063"/>
      <c r="P99" s="2074"/>
      <c r="Q99" s="460"/>
    </row>
    <row r="100" spans="1:17">
      <c r="A100" s="483" t="s">
        <v>2324</v>
      </c>
      <c r="B100" s="484" t="s">
        <v>2373</v>
      </c>
      <c r="C100" s="486"/>
      <c r="D100" s="486"/>
      <c r="E100" s="486"/>
      <c r="F100" s="486"/>
      <c r="G100" s="486"/>
      <c r="H100" s="486"/>
      <c r="I100" s="486"/>
      <c r="J100" s="486"/>
      <c r="K100" s="487"/>
      <c r="L100" s="488"/>
      <c r="M100" s="489"/>
      <c r="N100" s="1062"/>
      <c r="O100" s="1062"/>
      <c r="P100" s="207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4"/>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4"/>
      <c r="Q102" s="460"/>
    </row>
    <row r="103" spans="1:17" s="429" customFormat="1">
      <c r="A103" s="549"/>
      <c r="B103" s="550"/>
      <c r="C103" s="551"/>
      <c r="D103" s="551"/>
      <c r="E103" s="551"/>
      <c r="F103" s="551"/>
      <c r="G103" s="551"/>
      <c r="H103" s="551"/>
      <c r="I103" s="551"/>
      <c r="J103" s="552"/>
      <c r="K103" s="552"/>
      <c r="L103" s="553"/>
      <c r="M103" s="554"/>
      <c r="N103" s="1064"/>
      <c r="O103" s="1064"/>
      <c r="P103" s="207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5"/>
      <c r="Q104" s="515"/>
    </row>
    <row r="105" spans="1:17" ht="15" thickTop="1">
      <c r="A105" s="555"/>
      <c r="B105" s="494" t="s">
        <v>2375</v>
      </c>
      <c r="C105" s="510"/>
      <c r="D105" s="510"/>
      <c r="E105" s="539"/>
      <c r="F105" s="539"/>
      <c r="G105" s="539"/>
      <c r="H105" s="539"/>
      <c r="I105" s="539"/>
      <c r="J105" s="539"/>
      <c r="K105" s="540"/>
      <c r="L105" s="541"/>
      <c r="M105" s="542"/>
      <c r="N105" s="1062"/>
      <c r="O105" s="1062"/>
      <c r="P105" s="207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4"/>
      <c r="Q106" s="460"/>
    </row>
    <row r="107" spans="1:17" ht="15" thickTop="1">
      <c r="A107" s="555"/>
      <c r="B107" s="494" t="s">
        <v>2376</v>
      </c>
      <c r="C107" s="539"/>
      <c r="D107" s="539"/>
      <c r="E107" s="539"/>
      <c r="F107" s="539"/>
      <c r="G107" s="539"/>
      <c r="H107" s="539"/>
      <c r="I107" s="539"/>
      <c r="J107" s="539"/>
      <c r="K107" s="540"/>
      <c r="L107" s="541"/>
      <c r="M107" s="542"/>
      <c r="N107" s="1062"/>
      <c r="O107" s="1062"/>
      <c r="P107" s="207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4"/>
      <c r="Q108" s="460"/>
    </row>
    <row r="109" spans="1:17" ht="15" thickTop="1">
      <c r="A109" s="555"/>
      <c r="B109" s="494" t="s">
        <v>2377</v>
      </c>
      <c r="C109" s="510"/>
      <c r="D109" s="510"/>
      <c r="E109" s="510"/>
      <c r="F109" s="539"/>
      <c r="G109" s="539"/>
      <c r="H109" s="539"/>
      <c r="I109" s="539"/>
      <c r="J109" s="539"/>
      <c r="K109" s="540"/>
      <c r="L109" s="541"/>
      <c r="M109" s="542"/>
      <c r="N109" s="1062"/>
      <c r="O109" s="1062"/>
      <c r="P109" s="207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4"/>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5"/>
      <c r="Q113" s="515"/>
    </row>
    <row r="114" spans="1:17" ht="15" thickTop="1">
      <c r="A114" s="555"/>
      <c r="B114" s="494" t="s">
        <v>2378</v>
      </c>
      <c r="C114" s="510"/>
      <c r="D114" s="510"/>
      <c r="E114" s="539"/>
      <c r="F114" s="539"/>
      <c r="G114" s="539"/>
      <c r="H114" s="539"/>
      <c r="I114" s="539"/>
      <c r="J114" s="539"/>
      <c r="K114" s="540"/>
      <c r="L114" s="541"/>
      <c r="M114" s="542"/>
      <c r="N114" s="1062"/>
      <c r="O114" s="1062"/>
      <c r="P114" s="207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4"/>
      <c r="Q115" s="460"/>
    </row>
    <row r="116" spans="1:17" ht="15" thickTop="1">
      <c r="A116" s="555"/>
      <c r="B116" s="494" t="s">
        <v>2379</v>
      </c>
      <c r="C116" s="510"/>
      <c r="D116" s="510"/>
      <c r="E116" s="510"/>
      <c r="F116" s="510"/>
      <c r="G116" s="510"/>
      <c r="H116" s="539"/>
      <c r="I116" s="539"/>
      <c r="J116" s="539"/>
      <c r="K116" s="540"/>
      <c r="L116" s="541"/>
      <c r="M116" s="542"/>
      <c r="N116" s="1062"/>
      <c r="O116" s="1062"/>
      <c r="P116" s="207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4"/>
      <c r="Q117" s="460"/>
    </row>
    <row r="118" spans="1:17" ht="15" thickTop="1">
      <c r="A118" s="555"/>
      <c r="B118" s="494" t="s">
        <v>2380</v>
      </c>
      <c r="C118" s="539"/>
      <c r="D118" s="539"/>
      <c r="E118" s="539"/>
      <c r="F118" s="539"/>
      <c r="G118" s="539"/>
      <c r="H118" s="539"/>
      <c r="I118" s="539"/>
      <c r="J118" s="539"/>
      <c r="K118" s="540"/>
      <c r="L118" s="541"/>
      <c r="M118" s="542"/>
      <c r="N118" s="1062"/>
      <c r="O118" s="1062"/>
      <c r="P118" s="207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4"/>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5"/>
      <c r="Q121" s="515"/>
    </row>
    <row r="122" spans="1:17" ht="15" thickTop="1">
      <c r="A122" s="555"/>
      <c r="B122" s="494" t="s">
        <v>2381</v>
      </c>
      <c r="C122" s="510"/>
      <c r="D122" s="510"/>
      <c r="E122" s="510"/>
      <c r="F122" s="539"/>
      <c r="G122" s="539"/>
      <c r="H122" s="539"/>
      <c r="I122" s="539"/>
      <c r="J122" s="539"/>
      <c r="K122" s="540"/>
      <c r="L122" s="541"/>
      <c r="M122" s="542"/>
      <c r="N122" s="1062"/>
      <c r="O122" s="1062"/>
      <c r="P122" s="207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4"/>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5"/>
      <c r="Q127" s="515"/>
    </row>
    <row r="128" spans="1:17" ht="15" thickTop="1">
      <c r="A128" s="555"/>
      <c r="B128" s="494">
        <f>B45</f>
        <v>111</v>
      </c>
      <c r="C128" s="510"/>
      <c r="D128" s="510"/>
      <c r="E128" s="510"/>
      <c r="F128" s="510"/>
      <c r="G128" s="539"/>
      <c r="H128" s="539"/>
      <c r="I128" s="539"/>
      <c r="J128" s="539"/>
      <c r="K128" s="540"/>
      <c r="L128" s="541"/>
      <c r="M128" s="542"/>
      <c r="N128" s="1062"/>
      <c r="O128" s="1062"/>
      <c r="P128" s="2074"/>
      <c r="Q128" s="460"/>
    </row>
    <row r="129" spans="1:17" ht="15.75" thickBot="1">
      <c r="A129" s="490"/>
      <c r="B129" s="499"/>
      <c r="C129" s="516"/>
      <c r="D129" s="516"/>
      <c r="E129" s="516"/>
      <c r="F129" s="516"/>
      <c r="G129" s="492"/>
      <c r="H129" s="492"/>
      <c r="I129" s="492"/>
      <c r="J129" s="492"/>
      <c r="K129" s="492"/>
      <c r="L129" s="492"/>
      <c r="M129" s="493"/>
      <c r="N129" s="1063"/>
      <c r="O129" s="1063"/>
      <c r="P129" s="2074"/>
      <c r="Q129" s="460"/>
    </row>
    <row r="130" spans="1:17" ht="15" thickTop="1">
      <c r="A130" s="555"/>
      <c r="B130" s="502">
        <f>B46</f>
        <v>111</v>
      </c>
      <c r="C130" s="510"/>
      <c r="D130" s="510"/>
      <c r="E130" s="510"/>
      <c r="F130" s="510"/>
      <c r="G130" s="543"/>
      <c r="H130" s="543"/>
      <c r="I130" s="543"/>
      <c r="J130" s="543"/>
      <c r="K130" s="479"/>
      <c r="L130" s="480"/>
      <c r="M130" s="546"/>
      <c r="N130" s="1062"/>
      <c r="O130" s="1062"/>
      <c r="P130" s="2074"/>
      <c r="Q130" s="460"/>
    </row>
    <row r="131" spans="1:17" ht="15.75" thickBot="1">
      <c r="A131" s="2080"/>
      <c r="B131" s="525"/>
      <c r="C131" s="526"/>
      <c r="D131" s="526"/>
      <c r="E131" s="526"/>
      <c r="F131" s="526"/>
      <c r="G131" s="547"/>
      <c r="H131" s="547"/>
      <c r="I131" s="547"/>
      <c r="J131" s="547"/>
      <c r="K131" s="547"/>
      <c r="L131" s="547"/>
      <c r="M131" s="548"/>
      <c r="N131" s="1063"/>
      <c r="O131" s="1063"/>
      <c r="P131" s="2074"/>
      <c r="Q131" s="460"/>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41" t="s">
        <v>2386</v>
      </c>
      <c r="D138" s="141" t="s">
        <v>2387</v>
      </c>
      <c r="E138" s="2089" t="s">
        <v>2388</v>
      </c>
      <c r="F138" s="2090" t="s">
        <v>2389</v>
      </c>
      <c r="G138" s="141" t="s">
        <v>2387</v>
      </c>
      <c r="H138" s="142" t="s">
        <v>2388</v>
      </c>
      <c r="I138" s="2091"/>
      <c r="J138" s="141" t="s">
        <v>2390</v>
      </c>
      <c r="K138" s="142" t="s">
        <v>2391</v>
      </c>
    </row>
    <row r="139" spans="1:17" ht="15">
      <c r="B139" s="996">
        <v>6</v>
      </c>
      <c r="C139" s="997">
        <v>96</v>
      </c>
      <c r="D139" s="2092" t="s">
        <v>2392</v>
      </c>
      <c r="E139" s="998">
        <v>100</v>
      </c>
      <c r="F139" s="999">
        <v>102.5</v>
      </c>
      <c r="G139" s="2092" t="s">
        <v>2392</v>
      </c>
      <c r="H139" s="1000">
        <v>105</v>
      </c>
      <c r="I139" s="2093" t="s">
        <v>2393</v>
      </c>
      <c r="J139" s="997">
        <v>20</v>
      </c>
      <c r="K139" s="1001">
        <f>C145/(J139-2)</f>
        <v>4.0555555555555553E-3</v>
      </c>
    </row>
    <row r="140" spans="1:17" ht="15">
      <c r="B140" s="1002">
        <v>5</v>
      </c>
      <c r="C140" s="1003">
        <v>100</v>
      </c>
      <c r="D140" s="1003"/>
      <c r="E140" s="1004"/>
      <c r="F140" s="1005">
        <v>102</v>
      </c>
      <c r="G140" s="1003"/>
      <c r="H140" s="1006"/>
      <c r="I140" s="2094" t="s">
        <v>2394</v>
      </c>
      <c r="J140" s="276">
        <f>ROUNDUP((J139-1)/2,0)</f>
        <v>10</v>
      </c>
      <c r="K140" s="1007">
        <v>100</v>
      </c>
    </row>
    <row r="141" spans="1:17" ht="15">
      <c r="B141" s="1002">
        <v>4</v>
      </c>
      <c r="C141" s="1003">
        <v>102</v>
      </c>
      <c r="D141" s="1003"/>
      <c r="E141" s="1004"/>
      <c r="F141" s="1005">
        <v>101.5</v>
      </c>
      <c r="G141" s="1003"/>
      <c r="H141" s="1006"/>
      <c r="I141" s="2094" t="s">
        <v>2395</v>
      </c>
      <c r="J141" s="276">
        <v>1</v>
      </c>
      <c r="K141" s="1008">
        <f>ROUND(100+(J141-J140)*K139*100,1)</f>
        <v>96.4</v>
      </c>
    </row>
    <row r="142" spans="1:17" ht="15">
      <c r="B142" s="1002">
        <v>3</v>
      </c>
      <c r="C142" s="1003">
        <v>103</v>
      </c>
      <c r="D142" s="1003"/>
      <c r="E142" s="1004"/>
      <c r="F142" s="1005">
        <v>101</v>
      </c>
      <c r="G142" s="1003"/>
      <c r="H142" s="1006"/>
      <c r="I142" s="2094" t="s">
        <v>2396</v>
      </c>
      <c r="J142" s="276">
        <f>J139</f>
        <v>20</v>
      </c>
      <c r="K142" s="1009">
        <v>95</v>
      </c>
    </row>
    <row r="143" spans="1:17" ht="15">
      <c r="B143" s="1002">
        <v>2</v>
      </c>
      <c r="C143" s="1003">
        <v>100</v>
      </c>
      <c r="D143" s="1003"/>
      <c r="E143" s="1004"/>
      <c r="F143" s="1005">
        <v>100.5</v>
      </c>
      <c r="G143" s="1003"/>
      <c r="H143" s="1006"/>
      <c r="I143" s="2094" t="s">
        <v>2397</v>
      </c>
      <c r="J143" s="1003">
        <v>15</v>
      </c>
      <c r="K143" s="1008">
        <f>ROUND(100+(J143-J140)*K139*100,1)</f>
        <v>102</v>
      </c>
    </row>
    <row r="144" spans="1:17" ht="15">
      <c r="B144" s="1002">
        <v>1</v>
      </c>
      <c r="C144" s="1003">
        <v>98</v>
      </c>
      <c r="D144" s="2095" t="s">
        <v>2398</v>
      </c>
      <c r="E144" s="1004">
        <v>102</v>
      </c>
      <c r="F144" s="1010">
        <v>100</v>
      </c>
      <c r="G144" s="2095" t="s">
        <v>2398</v>
      </c>
      <c r="H144" s="1006">
        <v>105</v>
      </c>
      <c r="I144" s="2094" t="s">
        <v>2397</v>
      </c>
      <c r="J144" s="1003">
        <v>18</v>
      </c>
      <c r="K144" s="1008">
        <f>ROUND(100+(J144-J140)*K139*100,1)</f>
        <v>103.2</v>
      </c>
    </row>
    <row r="145" spans="2:11" ht="15.75" thickBot="1">
      <c r="B145" s="2096" t="s">
        <v>2399</v>
      </c>
      <c r="C145" s="1011">
        <f>ROUND(MAX(C139:C144)/MIN(C139:C144)-1,3)</f>
        <v>7.2999999999999995E-2</v>
      </c>
      <c r="D145" s="1012"/>
      <c r="E145" s="1012"/>
      <c r="F145" s="2097" t="s">
        <v>2400</v>
      </c>
      <c r="G145" s="2098"/>
      <c r="H145" s="2099"/>
      <c r="I145" s="2100" t="s">
        <v>2397</v>
      </c>
      <c r="J145" s="1013">
        <v>8</v>
      </c>
      <c r="K145" s="1014">
        <f>ROUND(100+(J145-J140)*K139*100,1)</f>
        <v>99.2</v>
      </c>
    </row>
    <row r="147" spans="2:11">
      <c r="B147" s="2081" t="s">
        <v>2401</v>
      </c>
    </row>
    <row r="148" spans="2:11">
      <c r="B148" s="2081"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030" t="s">
        <v>2403</v>
      </c>
      <c r="C1" s="1374" t="s">
        <v>2291</v>
      </c>
      <c r="D1" s="1361"/>
      <c r="E1" s="2509"/>
      <c r="F1" s="2031"/>
      <c r="G1" s="1371" t="s">
        <v>2404</v>
      </c>
      <c r="H1" s="1370"/>
      <c r="I1" s="1370"/>
      <c r="J1" s="1370"/>
      <c r="K1" s="1372"/>
      <c r="L1" s="1373"/>
      <c r="M1" s="1374"/>
      <c r="N1" s="1374"/>
      <c r="O1" s="1374"/>
      <c r="P1" s="2101"/>
      <c r="Q1" s="2102"/>
      <c r="R1" s="2102"/>
      <c r="S1" s="2102"/>
      <c r="T1" s="2102"/>
      <c r="U1" s="2102"/>
      <c r="V1" s="2102"/>
      <c r="W1" s="2102"/>
      <c r="X1" s="2102"/>
      <c r="Y1" s="2102"/>
      <c r="Z1" s="2102"/>
      <c r="AA1" s="2102"/>
      <c r="AB1" s="2102"/>
      <c r="AC1" s="2103"/>
    </row>
    <row r="2" spans="1:29" s="357" customFormat="1" ht="28.5" customHeight="1" thickTop="1">
      <c r="A2" s="1357" t="s">
        <v>2088</v>
      </c>
      <c r="B2" s="1294" t="e">
        <f ca="1">IF(C2="——",ROUND(C49*D3/10000,0),ROUND(C49*D3/10000,0)-D2)</f>
        <v>#DIV/0!</v>
      </c>
      <c r="C2" s="2033"/>
      <c r="D2" s="1243" t="e">
        <f ca="1">SUMIF(INDIRECT("'"&amp;F2&amp;"'"&amp;"!A:A"),"承租人权益价值",INDIRECT("'"&amp;F2&amp;"'"&amp;"!c:c"))</f>
        <v>#REF!</v>
      </c>
      <c r="E2" s="2034" t="s">
        <v>2089</v>
      </c>
      <c r="F2" s="2035"/>
      <c r="G2" s="1037"/>
      <c r="H2" s="1037"/>
      <c r="I2" s="1037"/>
      <c r="J2" s="1037"/>
      <c r="K2" s="1037"/>
      <c r="L2" s="2928"/>
      <c r="M2" s="2929"/>
      <c r="N2" s="2929"/>
      <c r="O2" s="2929"/>
      <c r="P2" s="2104"/>
      <c r="Q2" s="1041"/>
      <c r="R2" s="1041"/>
      <c r="S2" s="1041"/>
      <c r="T2" s="1041"/>
      <c r="U2" s="1041"/>
      <c r="V2" s="1041"/>
      <c r="W2" s="1041"/>
      <c r="X2" s="1041"/>
      <c r="Y2" s="1041"/>
      <c r="Z2" s="1041"/>
      <c r="AA2" s="1041"/>
      <c r="AB2" s="1041"/>
      <c r="AC2" s="2105"/>
    </row>
    <row r="3" spans="1:29" s="357" customFormat="1" ht="28.5" customHeight="1" thickBot="1">
      <c r="A3" s="208" t="s">
        <v>2090</v>
      </c>
      <c r="B3" s="565" t="e">
        <f ca="1">IF(C2="——",C49,ROUND(B2*10000/D3,0))</f>
        <v>#DIV/0!</v>
      </c>
      <c r="C3" s="359" t="s">
        <v>2405</v>
      </c>
      <c r="D3" s="358">
        <f>IF(D1="",'数据-汇总表'!E3,SUMIF('数据-汇总表'!$C19:$C33,D1,'数据-汇总表'!$E19:$E33))</f>
        <v>63761.02</v>
      </c>
      <c r="E3" s="2106"/>
      <c r="F3" s="1038"/>
      <c r="G3" s="1037"/>
      <c r="H3" s="1037"/>
      <c r="I3" s="1037"/>
      <c r="J3" s="1037"/>
      <c r="K3" s="1039"/>
      <c r="L3" s="2928"/>
      <c r="M3" s="2929"/>
      <c r="N3" s="2929"/>
      <c r="O3" s="2929"/>
      <c r="P3" s="2104"/>
      <c r="Q3" s="1041"/>
      <c r="R3" s="1041"/>
      <c r="S3" s="1041"/>
      <c r="T3" s="1041"/>
      <c r="U3" s="1041"/>
      <c r="V3" s="1041"/>
      <c r="W3" s="1041"/>
      <c r="X3" s="1041"/>
      <c r="Y3" s="1041"/>
      <c r="Z3" s="1041"/>
      <c r="AA3" s="1041"/>
      <c r="AB3" s="1041"/>
      <c r="AC3" s="2106"/>
    </row>
    <row r="4" spans="1:29" ht="15">
      <c r="A4" s="360" t="s">
        <v>2406</v>
      </c>
      <c r="B4" s="361"/>
      <c r="C4" s="3562" t="s">
        <v>2407</v>
      </c>
      <c r="D4" s="3563"/>
      <c r="E4" s="3564" t="s">
        <v>2408</v>
      </c>
      <c r="F4" s="3565"/>
      <c r="G4" s="3562" t="s">
        <v>2409</v>
      </c>
      <c r="H4" s="3563"/>
      <c r="I4" s="3562" t="s">
        <v>2410</v>
      </c>
      <c r="J4" s="3563"/>
      <c r="K4" s="566" t="s">
        <v>2411</v>
      </c>
      <c r="L4" s="2909"/>
      <c r="M4" s="2910"/>
      <c r="N4" s="2910"/>
      <c r="O4" s="2910"/>
      <c r="P4" s="3566" t="s">
        <v>2412</v>
      </c>
      <c r="Q4" s="3567"/>
      <c r="R4" s="3572" t="s">
        <v>2408</v>
      </c>
      <c r="S4" s="3573"/>
      <c r="T4" s="3572" t="s">
        <v>2409</v>
      </c>
      <c r="U4" s="3573"/>
      <c r="V4" s="3578" t="s">
        <v>2410</v>
      </c>
      <c r="W4" s="3578"/>
      <c r="X4" s="1505"/>
      <c r="Y4" s="3572" t="s">
        <v>2412</v>
      </c>
      <c r="Z4" s="3573"/>
      <c r="AA4" s="3559" t="s">
        <v>2408</v>
      </c>
      <c r="AB4" s="3578" t="s">
        <v>2409</v>
      </c>
      <c r="AC4" s="3559" t="s">
        <v>2410</v>
      </c>
    </row>
    <row r="5" spans="1:29" ht="15">
      <c r="A5" s="363"/>
      <c r="B5" s="364"/>
      <c r="C5" s="3581" t="s">
        <v>2303</v>
      </c>
      <c r="D5" s="3582"/>
      <c r="E5" s="3588" t="s">
        <v>2304</v>
      </c>
      <c r="F5" s="3589"/>
      <c r="G5" s="3581" t="s">
        <v>2305</v>
      </c>
      <c r="H5" s="3582"/>
      <c r="I5" s="3581" t="s">
        <v>2306</v>
      </c>
      <c r="J5" s="3582"/>
      <c r="K5" s="566"/>
      <c r="L5" s="2909"/>
      <c r="M5" s="2910"/>
      <c r="N5" s="2910"/>
      <c r="O5" s="2910"/>
      <c r="P5" s="3568"/>
      <c r="Q5" s="3569"/>
      <c r="R5" s="3574"/>
      <c r="S5" s="3575"/>
      <c r="T5" s="3574"/>
      <c r="U5" s="3575"/>
      <c r="V5" s="3578"/>
      <c r="W5" s="3578"/>
      <c r="X5" s="1505"/>
      <c r="Y5" s="3574"/>
      <c r="Z5" s="3575"/>
      <c r="AA5" s="3560"/>
      <c r="AB5" s="3578"/>
      <c r="AC5" s="3560"/>
    </row>
    <row r="6" spans="1:29" ht="15.75" thickBot="1">
      <c r="A6" s="365"/>
      <c r="B6" s="366"/>
      <c r="C6" s="3579" t="s">
        <v>2307</v>
      </c>
      <c r="D6" s="3580"/>
      <c r="E6" s="3586" t="s">
        <v>2307</v>
      </c>
      <c r="F6" s="3587"/>
      <c r="G6" s="3579" t="s">
        <v>2307</v>
      </c>
      <c r="H6" s="3580"/>
      <c r="I6" s="3579" t="s">
        <v>2307</v>
      </c>
      <c r="J6" s="3580"/>
      <c r="K6" s="566" t="s">
        <v>2308</v>
      </c>
      <c r="L6" s="2909"/>
      <c r="M6" s="2910"/>
      <c r="N6" s="2910"/>
      <c r="O6" s="2910"/>
      <c r="P6" s="3570"/>
      <c r="Q6" s="3571"/>
      <c r="R6" s="3574"/>
      <c r="S6" s="3575"/>
      <c r="T6" s="3576"/>
      <c r="U6" s="3577"/>
      <c r="V6" s="3578"/>
      <c r="W6" s="3578"/>
      <c r="X6" s="1505"/>
      <c r="Y6" s="3576"/>
      <c r="Z6" s="3577"/>
      <c r="AA6" s="3561"/>
      <c r="AB6" s="3578"/>
      <c r="AC6" s="3561"/>
    </row>
    <row r="7" spans="1:29" s="112"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1"/>
      <c r="M7" s="2912"/>
      <c r="N7" s="2912"/>
      <c r="O7" s="2912"/>
      <c r="P7" s="3583" t="s">
        <v>2310</v>
      </c>
      <c r="Q7" s="3585"/>
      <c r="R7" s="708" t="s">
        <v>17</v>
      </c>
      <c r="S7" s="709">
        <f t="shared" ref="S7:S15" si="0">F7</f>
        <v>0</v>
      </c>
      <c r="T7" s="708" t="s">
        <v>17</v>
      </c>
      <c r="U7" s="709">
        <f t="shared" ref="U7:U15" si="1">H7</f>
        <v>0</v>
      </c>
      <c r="V7" s="708" t="s">
        <v>17</v>
      </c>
      <c r="W7" s="709">
        <f t="shared" ref="W7:W15" si="2">J7</f>
        <v>0</v>
      </c>
      <c r="X7" s="710"/>
      <c r="Y7" s="3583" t="s">
        <v>2310</v>
      </c>
      <c r="Z7" s="3584"/>
      <c r="AA7" s="711" t="e">
        <f>D7/F7</f>
        <v>#DIV/0!</v>
      </c>
      <c r="AB7" s="711" t="e">
        <f>D7/H7</f>
        <v>#DIV/0!</v>
      </c>
      <c r="AC7" s="711"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1"/>
      <c r="M8" s="2912"/>
      <c r="N8" s="2912"/>
      <c r="O8" s="2912"/>
      <c r="P8" s="3583" t="s">
        <v>2313</v>
      </c>
      <c r="Q8" s="3584"/>
      <c r="R8" s="708" t="s">
        <v>17</v>
      </c>
      <c r="S8" s="709">
        <f t="shared" si="0"/>
        <v>0</v>
      </c>
      <c r="T8" s="708" t="s">
        <v>17</v>
      </c>
      <c r="U8" s="709">
        <f t="shared" si="1"/>
        <v>0</v>
      </c>
      <c r="V8" s="708" t="s">
        <v>17</v>
      </c>
      <c r="W8" s="709">
        <f t="shared" si="2"/>
        <v>0</v>
      </c>
      <c r="X8" s="710"/>
      <c r="Y8" s="3583" t="s">
        <v>2313</v>
      </c>
      <c r="Z8" s="3584"/>
      <c r="AA8" s="711" t="e">
        <f t="shared" ref="AA8:AA46" si="3">D8/F8</f>
        <v>#DIV/0!</v>
      </c>
      <c r="AB8" s="711" t="e">
        <f t="shared" ref="AB8:AB46" si="4">D8/H8</f>
        <v>#DIV/0!</v>
      </c>
      <c r="AC8" s="711" t="e">
        <f t="shared" ref="AC8:AC46" si="5">D8/J8</f>
        <v>#DIV/0!</v>
      </c>
    </row>
    <row r="9" spans="1:29" s="112"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1"/>
      <c r="M9" s="2912"/>
      <c r="N9" s="2912"/>
      <c r="O9" s="2912"/>
      <c r="P9" s="3557" t="s">
        <v>2316</v>
      </c>
      <c r="Q9" s="1493" t="str">
        <f t="shared" ref="Q9:Q15" si="6">B9</f>
        <v>用途</v>
      </c>
      <c r="R9" s="708" t="s">
        <v>17</v>
      </c>
      <c r="S9" s="709">
        <f t="shared" si="0"/>
        <v>100</v>
      </c>
      <c r="T9" s="708" t="s">
        <v>17</v>
      </c>
      <c r="U9" s="709">
        <f t="shared" si="1"/>
        <v>100</v>
      </c>
      <c r="V9" s="708" t="s">
        <v>17</v>
      </c>
      <c r="W9" s="709">
        <f t="shared" si="2"/>
        <v>100</v>
      </c>
      <c r="X9" s="710"/>
      <c r="Y9" s="3558"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3"/>
      <c r="M10" s="2914"/>
      <c r="N10" s="2914"/>
      <c r="O10" s="2914"/>
      <c r="P10" s="3557"/>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5"/>
      <c r="M11" s="2910"/>
      <c r="N11" s="2910"/>
      <c r="O11" s="2910"/>
      <c r="P11" s="3557"/>
      <c r="Q11" s="1493" t="str">
        <f t="shared" si="6"/>
        <v>容积率</v>
      </c>
      <c r="R11" s="708" t="s">
        <v>17</v>
      </c>
      <c r="S11" s="709" t="e">
        <f t="shared" si="0"/>
        <v>#N/A</v>
      </c>
      <c r="T11" s="708" t="s">
        <v>17</v>
      </c>
      <c r="U11" s="709" t="e">
        <f t="shared" si="1"/>
        <v>#N/A</v>
      </c>
      <c r="V11" s="708" t="s">
        <v>17</v>
      </c>
      <c r="W11" s="709" t="e">
        <f t="shared" si="2"/>
        <v>#N/A</v>
      </c>
      <c r="X11" s="710"/>
      <c r="Y11" s="3558"/>
      <c r="Z11" s="55" t="str">
        <f t="shared" si="7"/>
        <v>容积率</v>
      </c>
      <c r="AA11" s="711" t="e">
        <f t="shared" si="3"/>
        <v>#N/A</v>
      </c>
      <c r="AB11" s="711" t="e">
        <f t="shared" si="4"/>
        <v>#N/A</v>
      </c>
      <c r="AC11" s="711" t="e">
        <f t="shared" si="5"/>
        <v>#N/A</v>
      </c>
    </row>
    <row r="12" spans="1:29" s="112" customFormat="1" ht="15">
      <c r="A12" s="389"/>
      <c r="B12" s="2045">
        <v>111</v>
      </c>
      <c r="C12" s="390"/>
      <c r="D12" s="391">
        <v>100</v>
      </c>
      <c r="E12" s="392"/>
      <c r="F12" s="383">
        <f>SUMIF(70:70,E12,71:71)-SUMIF(70:70,C12,71:71)+100</f>
        <v>100</v>
      </c>
      <c r="G12" s="392"/>
      <c r="H12" s="131">
        <f>SUMIF(70:70,G12,71:71)-SUMIF(70:70,C12,71:71)+100</f>
        <v>100</v>
      </c>
      <c r="I12" s="392"/>
      <c r="J12" s="131">
        <f>SUMIF(70:70,I12,71:71)-SUMIF(70:70,C12,71:71)+100</f>
        <v>100</v>
      </c>
      <c r="K12" s="569"/>
      <c r="L12" s="2911"/>
      <c r="M12" s="2912"/>
      <c r="N12" s="2912"/>
      <c r="O12" s="2912"/>
      <c r="P12" s="3557"/>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6"/>
      <c r="M13" s="2910"/>
      <c r="N13" s="2910"/>
      <c r="O13" s="2910"/>
      <c r="P13" s="3557"/>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711">
        <f t="shared" si="5"/>
        <v>1</v>
      </c>
    </row>
    <row r="14" spans="1:29" ht="15.75"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6"/>
      <c r="M14" s="2910"/>
      <c r="N14" s="2910"/>
      <c r="O14" s="2910"/>
      <c r="P14" s="3557"/>
      <c r="Q14" s="1493">
        <f t="shared" si="6"/>
        <v>111</v>
      </c>
      <c r="R14" s="708" t="s">
        <v>17</v>
      </c>
      <c r="S14" s="709">
        <f t="shared" si="0"/>
        <v>100</v>
      </c>
      <c r="T14" s="708" t="s">
        <v>17</v>
      </c>
      <c r="U14" s="709">
        <f t="shared" si="1"/>
        <v>100</v>
      </c>
      <c r="V14" s="708" t="s">
        <v>17</v>
      </c>
      <c r="W14" s="709">
        <f t="shared" si="2"/>
        <v>100</v>
      </c>
      <c r="X14" s="710"/>
      <c r="Y14" s="3558"/>
      <c r="Z14" s="55">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6"/>
      <c r="M15" s="2910"/>
      <c r="N15" s="2910"/>
      <c r="O15" s="2910"/>
      <c r="P15" s="3555" t="s">
        <v>2321</v>
      </c>
      <c r="Q15" s="1502" t="str">
        <f t="shared" si="6"/>
        <v>商业繁华度</v>
      </c>
      <c r="R15" s="712" t="s">
        <v>17</v>
      </c>
      <c r="S15" s="713">
        <f t="shared" si="0"/>
        <v>100</v>
      </c>
      <c r="T15" s="712" t="s">
        <v>17</v>
      </c>
      <c r="U15" s="713">
        <f t="shared" si="1"/>
        <v>100</v>
      </c>
      <c r="V15" s="712" t="s">
        <v>17</v>
      </c>
      <c r="W15" s="713">
        <f t="shared" si="2"/>
        <v>100</v>
      </c>
      <c r="X15" s="1505"/>
      <c r="Y15" s="3548" t="s">
        <v>2321</v>
      </c>
      <c r="Z15" s="1506" t="str">
        <f t="shared" si="7"/>
        <v>商业繁华度</v>
      </c>
      <c r="AA15" s="1503">
        <f t="shared" si="3"/>
        <v>1</v>
      </c>
      <c r="AB15" s="1503">
        <f t="shared" si="4"/>
        <v>1</v>
      </c>
      <c r="AC15" s="1503">
        <f t="shared" si="5"/>
        <v>1</v>
      </c>
    </row>
    <row r="16" spans="1:29" ht="15">
      <c r="A16" s="386"/>
      <c r="B16" s="404"/>
      <c r="C16" s="405"/>
      <c r="D16" s="406"/>
      <c r="E16" s="405"/>
      <c r="F16" s="407"/>
      <c r="G16" s="405"/>
      <c r="H16" s="408"/>
      <c r="I16" s="405"/>
      <c r="J16" s="406"/>
      <c r="K16" s="571"/>
      <c r="L16" s="2916"/>
      <c r="M16" s="2910"/>
      <c r="N16" s="2910"/>
      <c r="O16" s="2910"/>
      <c r="P16" s="3556"/>
      <c r="Q16" s="1502"/>
      <c r="R16" s="712"/>
      <c r="S16" s="713"/>
      <c r="T16" s="712"/>
      <c r="U16" s="713"/>
      <c r="V16" s="712"/>
      <c r="W16" s="713"/>
      <c r="X16" s="1505"/>
      <c r="Y16" s="3549"/>
      <c r="Z16" s="1506"/>
      <c r="AA16" s="1503">
        <v>1</v>
      </c>
      <c r="AB16" s="1503">
        <v>1</v>
      </c>
      <c r="AC16" s="1503">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6"/>
      <c r="M17" s="2910"/>
      <c r="N17" s="2910"/>
      <c r="O17" s="2910"/>
      <c r="P17" s="3556"/>
      <c r="Q17" s="1502" t="str">
        <f>B17</f>
        <v>交通便捷度</v>
      </c>
      <c r="R17" s="712" t="s">
        <v>17</v>
      </c>
      <c r="S17" s="713">
        <f>F17</f>
        <v>100</v>
      </c>
      <c r="T17" s="712" t="s">
        <v>17</v>
      </c>
      <c r="U17" s="713">
        <f>H17</f>
        <v>100</v>
      </c>
      <c r="V17" s="712" t="s">
        <v>17</v>
      </c>
      <c r="W17" s="713">
        <f>J17</f>
        <v>100</v>
      </c>
      <c r="X17" s="1505"/>
      <c r="Y17" s="3549"/>
      <c r="Z17" s="1506" t="str">
        <f>Q17</f>
        <v>交通便捷度</v>
      </c>
      <c r="AA17" s="1503">
        <f t="shared" si="3"/>
        <v>1</v>
      </c>
      <c r="AB17" s="1503">
        <f t="shared" si="4"/>
        <v>1</v>
      </c>
      <c r="AC17" s="1503">
        <f t="shared" si="5"/>
        <v>1</v>
      </c>
    </row>
    <row r="18" spans="1:29" ht="15">
      <c r="A18" s="386"/>
      <c r="B18" s="414"/>
      <c r="C18" s="2053"/>
      <c r="D18" s="408"/>
      <c r="E18" s="2055"/>
      <c r="F18" s="411"/>
      <c r="G18" s="2054"/>
      <c r="H18" s="406"/>
      <c r="I18" s="2055"/>
      <c r="J18" s="406"/>
      <c r="K18" s="571"/>
      <c r="L18" s="2916"/>
      <c r="M18" s="2910"/>
      <c r="N18" s="2910"/>
      <c r="O18" s="2910"/>
      <c r="P18" s="3556"/>
      <c r="Q18" s="1502"/>
      <c r="R18" s="712"/>
      <c r="S18" s="713"/>
      <c r="T18" s="712"/>
      <c r="U18" s="713"/>
      <c r="V18" s="712"/>
      <c r="W18" s="713"/>
      <c r="X18" s="1505"/>
      <c r="Y18" s="3549"/>
      <c r="Z18" s="1506"/>
      <c r="AA18" s="1503">
        <v>1</v>
      </c>
      <c r="AB18" s="1503">
        <v>1</v>
      </c>
      <c r="AC18" s="1503">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6"/>
      <c r="M19" s="2910"/>
      <c r="N19" s="2910"/>
      <c r="O19" s="2910"/>
      <c r="P19" s="3556"/>
      <c r="Q19" s="1502" t="str">
        <f>B19</f>
        <v>公共配套设施</v>
      </c>
      <c r="R19" s="712" t="s">
        <v>17</v>
      </c>
      <c r="S19" s="713">
        <f>F19</f>
        <v>100</v>
      </c>
      <c r="T19" s="712" t="s">
        <v>17</v>
      </c>
      <c r="U19" s="713">
        <f>H19</f>
        <v>100</v>
      </c>
      <c r="V19" s="712" t="s">
        <v>17</v>
      </c>
      <c r="W19" s="713">
        <f>J19</f>
        <v>100</v>
      </c>
      <c r="X19" s="1505"/>
      <c r="Y19" s="3549"/>
      <c r="Z19" s="1506" t="str">
        <f>Q19</f>
        <v>公共配套设施</v>
      </c>
      <c r="AA19" s="1503">
        <f t="shared" si="3"/>
        <v>1</v>
      </c>
      <c r="AB19" s="1503">
        <f t="shared" si="4"/>
        <v>1</v>
      </c>
      <c r="AC19" s="1503">
        <f t="shared" si="5"/>
        <v>1</v>
      </c>
    </row>
    <row r="20" spans="1:29" ht="15">
      <c r="A20" s="386"/>
      <c r="B20" s="414"/>
      <c r="C20" s="405"/>
      <c r="D20" s="406"/>
      <c r="E20" s="2050"/>
      <c r="F20" s="407"/>
      <c r="G20" s="2049"/>
      <c r="H20" s="406"/>
      <c r="I20" s="2050"/>
      <c r="J20" s="406"/>
      <c r="K20" s="571"/>
      <c r="L20" s="2916"/>
      <c r="M20" s="2910"/>
      <c r="N20" s="2910"/>
      <c r="O20" s="2910"/>
      <c r="P20" s="3556"/>
      <c r="Q20" s="1502"/>
      <c r="R20" s="712"/>
      <c r="S20" s="713"/>
      <c r="T20" s="712"/>
      <c r="U20" s="713"/>
      <c r="V20" s="712"/>
      <c r="W20" s="713"/>
      <c r="X20" s="1505"/>
      <c r="Y20" s="3549"/>
      <c r="Z20" s="1506"/>
      <c r="AA20" s="1503">
        <v>1</v>
      </c>
      <c r="AB20" s="1503">
        <v>1</v>
      </c>
      <c r="AC20" s="1503">
        <v>1</v>
      </c>
    </row>
    <row r="21" spans="1:29" ht="28.5">
      <c r="A21" s="386"/>
      <c r="B21" s="1261"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6"/>
      <c r="M21" s="2910"/>
      <c r="N21" s="2910"/>
      <c r="O21" s="2910"/>
      <c r="P21" s="3556"/>
      <c r="Q21" s="1502" t="str">
        <f>B21</f>
        <v>基础设施水平</v>
      </c>
      <c r="R21" s="712" t="s">
        <v>17</v>
      </c>
      <c r="S21" s="713">
        <f>F21</f>
        <v>100</v>
      </c>
      <c r="T21" s="712" t="s">
        <v>17</v>
      </c>
      <c r="U21" s="713">
        <f>H21</f>
        <v>100</v>
      </c>
      <c r="V21" s="712" t="s">
        <v>17</v>
      </c>
      <c r="W21" s="713">
        <f>J21</f>
        <v>100</v>
      </c>
      <c r="X21" s="1505"/>
      <c r="Y21" s="3549"/>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7"/>
      <c r="G22" s="405"/>
      <c r="H22" s="406"/>
      <c r="I22" s="405"/>
      <c r="J22" s="406"/>
      <c r="K22" s="1260"/>
      <c r="L22" s="2916"/>
      <c r="M22" s="2910"/>
      <c r="N22" s="2910"/>
      <c r="O22" s="2910"/>
      <c r="P22" s="3556"/>
      <c r="Q22" s="1502"/>
      <c r="R22" s="712"/>
      <c r="S22" s="713"/>
      <c r="T22" s="712"/>
      <c r="U22" s="713"/>
      <c r="V22" s="712"/>
      <c r="W22" s="713"/>
      <c r="X22" s="1505"/>
      <c r="Y22" s="3549"/>
      <c r="Z22" s="1506"/>
      <c r="AA22" s="1503">
        <v>1</v>
      </c>
      <c r="AB22" s="1503">
        <v>1</v>
      </c>
      <c r="AC22" s="1503">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6"/>
      <c r="M23" s="2910"/>
      <c r="N23" s="2910"/>
      <c r="O23" s="2910"/>
      <c r="P23" s="3556"/>
      <c r="Q23" s="1502" t="str">
        <f>B23</f>
        <v>自然及人文环境</v>
      </c>
      <c r="R23" s="712" t="s">
        <v>17</v>
      </c>
      <c r="S23" s="713">
        <f>F23</f>
        <v>100</v>
      </c>
      <c r="T23" s="712" t="s">
        <v>17</v>
      </c>
      <c r="U23" s="713">
        <f>H23</f>
        <v>100</v>
      </c>
      <c r="V23" s="712" t="s">
        <v>17</v>
      </c>
      <c r="W23" s="713">
        <f>J23</f>
        <v>100</v>
      </c>
      <c r="X23" s="1505"/>
      <c r="Y23" s="3549"/>
      <c r="Z23" s="1506" t="str">
        <f>Q23</f>
        <v>自然及人文环境</v>
      </c>
      <c r="AA23" s="1503">
        <f t="shared" si="3"/>
        <v>1</v>
      </c>
      <c r="AB23" s="1503">
        <f t="shared" si="4"/>
        <v>1</v>
      </c>
      <c r="AC23" s="1503">
        <f t="shared" si="5"/>
        <v>1</v>
      </c>
    </row>
    <row r="24" spans="1:29" ht="15">
      <c r="A24" s="386"/>
      <c r="B24" s="414"/>
      <c r="C24" s="405"/>
      <c r="D24" s="406"/>
      <c r="E24" s="2050"/>
      <c r="F24" s="407"/>
      <c r="G24" s="2049"/>
      <c r="H24" s="406"/>
      <c r="I24" s="2050"/>
      <c r="J24" s="406"/>
      <c r="K24" s="571"/>
      <c r="L24" s="2916"/>
      <c r="M24" s="2910"/>
      <c r="N24" s="2910"/>
      <c r="O24" s="2910"/>
      <c r="P24" s="3556"/>
      <c r="Q24" s="1502"/>
      <c r="R24" s="712"/>
      <c r="S24" s="713"/>
      <c r="T24" s="712"/>
      <c r="U24" s="713"/>
      <c r="V24" s="712"/>
      <c r="W24" s="713"/>
      <c r="X24" s="1505"/>
      <c r="Y24" s="3549"/>
      <c r="Z24" s="1506"/>
      <c r="AA24" s="1503">
        <v>1</v>
      </c>
      <c r="AB24" s="1503">
        <v>1</v>
      </c>
      <c r="AC24" s="1503">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6"/>
      <c r="M25" s="2910"/>
      <c r="N25" s="2910"/>
      <c r="O25" s="2910"/>
      <c r="P25" s="3556"/>
      <c r="Q25" s="1502" t="str">
        <f t="shared" ref="Q25:Q46" si="11">B25</f>
        <v>临街状况</v>
      </c>
      <c r="R25" s="712" t="s">
        <v>17</v>
      </c>
      <c r="S25" s="713">
        <f>F25</f>
        <v>100</v>
      </c>
      <c r="T25" s="712" t="s">
        <v>17</v>
      </c>
      <c r="U25" s="713">
        <f>H25</f>
        <v>100</v>
      </c>
      <c r="V25" s="712" t="s">
        <v>17</v>
      </c>
      <c r="W25" s="713">
        <f>J25</f>
        <v>100</v>
      </c>
      <c r="X25" s="1505"/>
      <c r="Y25" s="3549"/>
      <c r="Z25" s="1506" t="str">
        <f>Q25</f>
        <v>临街状况</v>
      </c>
      <c r="AA25" s="1503">
        <f t="shared" si="3"/>
        <v>1</v>
      </c>
      <c r="AB25" s="1503">
        <f t="shared" si="4"/>
        <v>1</v>
      </c>
      <c r="AC25" s="1503">
        <f t="shared" si="5"/>
        <v>1</v>
      </c>
    </row>
    <row r="26" spans="1:29" ht="15">
      <c r="A26" s="386"/>
      <c r="B26" s="1263" t="s">
        <v>2418</v>
      </c>
      <c r="C26" s="392"/>
      <c r="D26" s="393">
        <v>100</v>
      </c>
      <c r="E26" s="392"/>
      <c r="F26" s="419">
        <f>SUMIF(88:88,E26,89:89)-SUMIF(88:88,C26,89:89)+100</f>
        <v>100</v>
      </c>
      <c r="G26" s="392"/>
      <c r="H26" s="393">
        <f>SUMIF(88:88,G26,89:89)-SUMIF(88:88,C26,89:89)+100</f>
        <v>100</v>
      </c>
      <c r="I26" s="392"/>
      <c r="J26" s="393">
        <f>SUMIF(88:88,I26,89:89)-SUMIF(88:88,C26,89:89)+100</f>
        <v>100</v>
      </c>
      <c r="K26" s="569"/>
      <c r="L26" s="2916"/>
      <c r="M26" s="2910"/>
      <c r="N26" s="2910"/>
      <c r="O26" s="2910"/>
      <c r="P26" s="3556"/>
      <c r="Q26" s="1502" t="str">
        <f t="shared" si="11"/>
        <v>平面位置/可视性</v>
      </c>
      <c r="R26" s="712" t="s">
        <v>17</v>
      </c>
      <c r="S26" s="713">
        <f>F26</f>
        <v>100</v>
      </c>
      <c r="T26" s="712" t="s">
        <v>17</v>
      </c>
      <c r="U26" s="713">
        <f>H26</f>
        <v>100</v>
      </c>
      <c r="V26" s="712" t="s">
        <v>17</v>
      </c>
      <c r="W26" s="713">
        <f>J26</f>
        <v>100</v>
      </c>
      <c r="X26" s="1505"/>
      <c r="Y26" s="3549"/>
      <c r="Z26" s="1506" t="str">
        <f>Q26</f>
        <v>平面位置/可视性</v>
      </c>
      <c r="AA26" s="1503">
        <f t="shared" si="3"/>
        <v>1</v>
      </c>
      <c r="AB26" s="1503">
        <f t="shared" si="4"/>
        <v>1</v>
      </c>
      <c r="AC26" s="1503">
        <f t="shared" si="5"/>
        <v>1</v>
      </c>
    </row>
    <row r="27" spans="1:29" s="112" customFormat="1" ht="15">
      <c r="A27" s="389"/>
      <c r="B27" s="409" t="s">
        <v>2419</v>
      </c>
      <c r="C27" s="2108"/>
      <c r="D27" s="420">
        <v>100</v>
      </c>
      <c r="E27" s="2108"/>
      <c r="F27" s="422">
        <f>SUMIF(90:90,E27,91:91)-SUMIF(90:90,C27,91:91)+100</f>
        <v>100</v>
      </c>
      <c r="G27" s="2108"/>
      <c r="H27" s="420">
        <f>SUMIF(90:90,G27,91:91)-SUMIF(90:90,C27,91:91)+100</f>
        <v>100</v>
      </c>
      <c r="I27" s="2108"/>
      <c r="J27" s="420">
        <f>SUMIF(90:90,I27,91:91)-SUMIF(90:90,C27,91:91)+100</f>
        <v>100</v>
      </c>
      <c r="K27" s="568"/>
      <c r="L27" s="2911"/>
      <c r="M27" s="2912"/>
      <c r="N27" s="2912"/>
      <c r="O27" s="2912"/>
      <c r="P27" s="3556"/>
      <c r="Q27" s="1493" t="str">
        <f t="shared" si="11"/>
        <v>人流量</v>
      </c>
      <c r="R27" s="708" t="s">
        <v>17</v>
      </c>
      <c r="S27" s="709">
        <f>F27</f>
        <v>100</v>
      </c>
      <c r="T27" s="708" t="s">
        <v>17</v>
      </c>
      <c r="U27" s="709">
        <f>H27</f>
        <v>100</v>
      </c>
      <c r="V27" s="708" t="s">
        <v>17</v>
      </c>
      <c r="W27" s="709">
        <f>J27</f>
        <v>100</v>
      </c>
      <c r="X27" s="710"/>
      <c r="Y27" s="3549"/>
      <c r="Z27" s="55" t="str">
        <f>Q27</f>
        <v>人流量</v>
      </c>
      <c r="AA27" s="1503">
        <f>D27/F27</f>
        <v>1</v>
      </c>
      <c r="AB27" s="1503">
        <f>D27/H27</f>
        <v>1</v>
      </c>
      <c r="AC27" s="1503">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6"/>
      <c r="M28" s="2910"/>
      <c r="N28" s="2910"/>
      <c r="O28" s="2910"/>
      <c r="P28" s="3556"/>
      <c r="Q28" s="1502" t="str">
        <f t="shared" si="11"/>
        <v>楼层</v>
      </c>
      <c r="R28" s="712" t="s">
        <v>17</v>
      </c>
      <c r="S28" s="713">
        <f t="shared" ref="S28:S46" si="12">F28</f>
        <v>100</v>
      </c>
      <c r="T28" s="712" t="s">
        <v>17</v>
      </c>
      <c r="U28" s="713">
        <f t="shared" ref="U28:U46" si="13">H28</f>
        <v>100</v>
      </c>
      <c r="V28" s="712" t="s">
        <v>17</v>
      </c>
      <c r="W28" s="713">
        <f t="shared" ref="W28:W46" si="14">J28</f>
        <v>100</v>
      </c>
      <c r="X28" s="1505"/>
      <c r="Y28" s="3549"/>
      <c r="Z28" s="1506" t="str">
        <f t="shared" ref="Z28:Z46" si="15">Q28</f>
        <v>楼层</v>
      </c>
      <c r="AA28" s="1503">
        <f t="shared" si="3"/>
        <v>1</v>
      </c>
      <c r="AB28" s="1503">
        <f t="shared" si="4"/>
        <v>1</v>
      </c>
      <c r="AC28" s="1503">
        <f t="shared" si="5"/>
        <v>1</v>
      </c>
    </row>
    <row r="29" spans="1:29" ht="15">
      <c r="A29" s="386"/>
      <c r="B29" s="1263">
        <v>111</v>
      </c>
      <c r="C29" s="392"/>
      <c r="D29" s="393">
        <v>100</v>
      </c>
      <c r="E29" s="392"/>
      <c r="F29" s="419">
        <f>SUMIF(94:94,E29,95:95)-SUMIF(94:94,C29,95:95)+100</f>
        <v>100</v>
      </c>
      <c r="G29" s="392"/>
      <c r="H29" s="393">
        <f>SUMIF(94:94,G29,95:95)-SUMIF(94:94,C29,95:95)+100</f>
        <v>100</v>
      </c>
      <c r="I29" s="392"/>
      <c r="J29" s="393">
        <f>SUMIF(94:94,I29,95:95)-SUMIF(94:94,C29,95:95)+100</f>
        <v>100</v>
      </c>
      <c r="K29" s="569"/>
      <c r="L29" s="2916"/>
      <c r="M29" s="2910"/>
      <c r="N29" s="2910"/>
      <c r="O29" s="2910"/>
      <c r="P29" s="3556"/>
      <c r="Q29" s="1502">
        <f t="shared" si="11"/>
        <v>111</v>
      </c>
      <c r="R29" s="712" t="s">
        <v>17</v>
      </c>
      <c r="S29" s="713">
        <f t="shared" si="12"/>
        <v>100</v>
      </c>
      <c r="T29" s="712" t="s">
        <v>17</v>
      </c>
      <c r="U29" s="713">
        <f t="shared" si="13"/>
        <v>100</v>
      </c>
      <c r="V29" s="712" t="s">
        <v>17</v>
      </c>
      <c r="W29" s="713">
        <f t="shared" si="14"/>
        <v>100</v>
      </c>
      <c r="X29" s="1505"/>
      <c r="Y29" s="3549"/>
      <c r="Z29" s="1506">
        <f t="shared" si="15"/>
        <v>111</v>
      </c>
      <c r="AA29" s="1503">
        <f t="shared" si="3"/>
        <v>1</v>
      </c>
      <c r="AB29" s="1503">
        <f t="shared" si="4"/>
        <v>1</v>
      </c>
      <c r="AC29" s="1503">
        <f t="shared" si="5"/>
        <v>1</v>
      </c>
    </row>
    <row r="30" spans="1:29" ht="15">
      <c r="A30" s="386"/>
      <c r="B30" s="1263">
        <v>111</v>
      </c>
      <c r="C30" s="392"/>
      <c r="D30" s="393">
        <v>100</v>
      </c>
      <c r="E30" s="392"/>
      <c r="F30" s="419">
        <f>SUMIF(96:96,E30,97:97)-SUMIF(96:96,C30,97:97)+100</f>
        <v>100</v>
      </c>
      <c r="G30" s="392"/>
      <c r="H30" s="393">
        <f>SUMIF(96:96,G30,97:97)-SUMIF(96:96,C30,97:97)+100</f>
        <v>100</v>
      </c>
      <c r="I30" s="392"/>
      <c r="J30" s="393">
        <f>SUMIF(96:96,I30,97:97)-SUMIF(96:96,C30,97:97)+100</f>
        <v>100</v>
      </c>
      <c r="K30" s="569"/>
      <c r="L30" s="2916"/>
      <c r="M30" s="2910"/>
      <c r="N30" s="2910"/>
      <c r="O30" s="2910"/>
      <c r="P30" s="3556"/>
      <c r="Q30" s="1502">
        <f t="shared" si="11"/>
        <v>111</v>
      </c>
      <c r="R30" s="712" t="s">
        <v>17</v>
      </c>
      <c r="S30" s="713">
        <f t="shared" si="12"/>
        <v>100</v>
      </c>
      <c r="T30" s="712" t="s">
        <v>17</v>
      </c>
      <c r="U30" s="713">
        <f t="shared" si="13"/>
        <v>100</v>
      </c>
      <c r="V30" s="712" t="s">
        <v>17</v>
      </c>
      <c r="W30" s="713">
        <f t="shared" si="14"/>
        <v>100</v>
      </c>
      <c r="X30" s="1505"/>
      <c r="Y30" s="3549"/>
      <c r="Z30" s="1506">
        <f t="shared" si="15"/>
        <v>111</v>
      </c>
      <c r="AA30" s="1503">
        <f t="shared" si="3"/>
        <v>1</v>
      </c>
      <c r="AB30" s="1503">
        <f t="shared" si="4"/>
        <v>1</v>
      </c>
      <c r="AC30" s="1503">
        <f t="shared" si="5"/>
        <v>1</v>
      </c>
    </row>
    <row r="31" spans="1:29" ht="15.75" thickBot="1">
      <c r="A31" s="394"/>
      <c r="B31" s="1263">
        <v>111</v>
      </c>
      <c r="C31" s="395"/>
      <c r="D31" s="396">
        <v>100</v>
      </c>
      <c r="E31" s="392"/>
      <c r="F31" s="397">
        <f>SUMIF(98:98,E31,99:99)-SUMIF(98:98,C31,99:99)+100</f>
        <v>100</v>
      </c>
      <c r="G31" s="392"/>
      <c r="H31" s="396">
        <f>SUMIF(98:98,G31,99:99)-SUMIF(98:98,C31,99:99)+100</f>
        <v>100</v>
      </c>
      <c r="I31" s="392"/>
      <c r="J31" s="396">
        <f>SUMIF(98:98,I31,99:99)-SUMIF(98:98,C31,99:99)+100</f>
        <v>100</v>
      </c>
      <c r="K31" s="569"/>
      <c r="L31" s="2916"/>
      <c r="M31" s="2910"/>
      <c r="N31" s="2910"/>
      <c r="O31" s="2910"/>
      <c r="P31" s="3556"/>
      <c r="Q31" s="1502">
        <f t="shared" si="11"/>
        <v>111</v>
      </c>
      <c r="R31" s="712" t="s">
        <v>17</v>
      </c>
      <c r="S31" s="713">
        <f t="shared" si="12"/>
        <v>100</v>
      </c>
      <c r="T31" s="712" t="s">
        <v>17</v>
      </c>
      <c r="U31" s="713">
        <f t="shared" si="13"/>
        <v>100</v>
      </c>
      <c r="V31" s="712" t="s">
        <v>17</v>
      </c>
      <c r="W31" s="713">
        <f t="shared" si="14"/>
        <v>100</v>
      </c>
      <c r="X31" s="1505"/>
      <c r="Y31" s="3549"/>
      <c r="Z31" s="1506">
        <f t="shared" si="15"/>
        <v>111</v>
      </c>
      <c r="AA31" s="1503">
        <f t="shared" si="3"/>
        <v>1</v>
      </c>
      <c r="AB31" s="1503">
        <f t="shared" si="4"/>
        <v>1</v>
      </c>
      <c r="AC31" s="1503">
        <f t="shared" si="5"/>
        <v>1</v>
      </c>
    </row>
    <row r="32" spans="1:29" ht="15">
      <c r="A32" s="398" t="s">
        <v>2324</v>
      </c>
      <c r="B32" s="67" t="s">
        <v>2421</v>
      </c>
      <c r="C32" s="2062"/>
      <c r="D32" s="425">
        <v>100</v>
      </c>
      <c r="E32" s="2062"/>
      <c r="F32" s="419">
        <f>SUMIF(100:100,E32,101:101)-SUMIF(100:100,C32,101:101)+100</f>
        <v>100</v>
      </c>
      <c r="G32" s="2062"/>
      <c r="H32" s="393">
        <f>SUMIF(100:100,G32,101:101)-SUMIF(100:100,C32,101:101)+100</f>
        <v>100</v>
      </c>
      <c r="I32" s="2062"/>
      <c r="J32" s="425">
        <f>SUMIF(100:100,I32,101:101)-SUMIF(100:100,C32,101:101)+100</f>
        <v>100</v>
      </c>
      <c r="K32" s="568"/>
      <c r="L32" s="2916"/>
      <c r="M32" s="2910"/>
      <c r="N32" s="2910"/>
      <c r="O32" s="2910"/>
      <c r="P32" s="3550" t="s">
        <v>2326</v>
      </c>
      <c r="Q32" s="1502" t="str">
        <f t="shared" si="11"/>
        <v>商业类型</v>
      </c>
      <c r="R32" s="712" t="s">
        <v>17</v>
      </c>
      <c r="S32" s="713">
        <f t="shared" si="12"/>
        <v>100</v>
      </c>
      <c r="T32" s="712" t="s">
        <v>17</v>
      </c>
      <c r="U32" s="713">
        <f t="shared" si="13"/>
        <v>100</v>
      </c>
      <c r="V32" s="712" t="s">
        <v>17</v>
      </c>
      <c r="W32" s="713">
        <f t="shared" si="14"/>
        <v>100</v>
      </c>
      <c r="X32" s="1505"/>
      <c r="Y32" s="3553" t="s">
        <v>2326</v>
      </c>
      <c r="Z32" s="1506" t="str">
        <f t="shared" si="15"/>
        <v>商业类型</v>
      </c>
      <c r="AA32" s="1503">
        <f t="shared" si="3"/>
        <v>1</v>
      </c>
      <c r="AB32" s="1503">
        <f t="shared" si="4"/>
        <v>1</v>
      </c>
      <c r="AC32" s="1503">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5"/>
      <c r="M33" s="2917"/>
      <c r="N33" s="2917"/>
      <c r="O33" s="2917"/>
      <c r="P33" s="3551"/>
      <c r="Q33" s="714" t="str">
        <f t="shared" si="11"/>
        <v>项目建筑规模</v>
      </c>
      <c r="R33" s="715" t="s">
        <v>17</v>
      </c>
      <c r="S33" s="716" t="e">
        <f t="shared" si="12"/>
        <v>#N/A</v>
      </c>
      <c r="T33" s="715" t="s">
        <v>17</v>
      </c>
      <c r="U33" s="716" t="e">
        <f t="shared" si="13"/>
        <v>#N/A</v>
      </c>
      <c r="V33" s="715" t="s">
        <v>17</v>
      </c>
      <c r="W33" s="716" t="e">
        <f t="shared" si="14"/>
        <v>#N/A</v>
      </c>
      <c r="X33" s="717"/>
      <c r="Y33" s="3553"/>
      <c r="Z33" s="718" t="str">
        <f t="shared" si="15"/>
        <v>项目建筑规模</v>
      </c>
      <c r="AA33" s="1503" t="e">
        <f t="shared" si="3"/>
        <v>#N/A</v>
      </c>
      <c r="AB33" s="1503" t="e">
        <f t="shared" si="4"/>
        <v>#N/A</v>
      </c>
      <c r="AC33" s="1503" t="e">
        <f t="shared" si="5"/>
        <v>#N/A</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6"/>
      <c r="M34" s="2910"/>
      <c r="N34" s="2910"/>
      <c r="O34" s="2910"/>
      <c r="P34" s="3551"/>
      <c r="Q34" s="1502" t="str">
        <f t="shared" si="11"/>
        <v>建筑结构</v>
      </c>
      <c r="R34" s="712" t="s">
        <v>17</v>
      </c>
      <c r="S34" s="713">
        <f t="shared" si="12"/>
        <v>100</v>
      </c>
      <c r="T34" s="712" t="s">
        <v>17</v>
      </c>
      <c r="U34" s="713">
        <f t="shared" si="13"/>
        <v>100</v>
      </c>
      <c r="V34" s="712" t="s">
        <v>17</v>
      </c>
      <c r="W34" s="713">
        <f t="shared" si="14"/>
        <v>100</v>
      </c>
      <c r="X34" s="1505"/>
      <c r="Y34" s="3553"/>
      <c r="Z34" s="1506" t="str">
        <f t="shared" si="15"/>
        <v>建筑结构</v>
      </c>
      <c r="AA34" s="1503">
        <f t="shared" si="3"/>
        <v>1</v>
      </c>
      <c r="AB34" s="1503">
        <f t="shared" si="4"/>
        <v>1</v>
      </c>
      <c r="AC34" s="1503">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6"/>
      <c r="M35" s="2910"/>
      <c r="N35" s="2910"/>
      <c r="O35" s="2910"/>
      <c r="P35" s="3551"/>
      <c r="Q35" s="1502" t="str">
        <f t="shared" si="11"/>
        <v>公共部分装修</v>
      </c>
      <c r="R35" s="712" t="s">
        <v>17</v>
      </c>
      <c r="S35" s="713">
        <f t="shared" si="12"/>
        <v>100</v>
      </c>
      <c r="T35" s="712" t="s">
        <v>17</v>
      </c>
      <c r="U35" s="713">
        <f t="shared" si="13"/>
        <v>100</v>
      </c>
      <c r="V35" s="712" t="s">
        <v>17</v>
      </c>
      <c r="W35" s="713">
        <f t="shared" si="14"/>
        <v>100</v>
      </c>
      <c r="X35" s="1505"/>
      <c r="Y35" s="3553"/>
      <c r="Z35" s="1506" t="str">
        <f t="shared" si="15"/>
        <v>公共部分装修</v>
      </c>
      <c r="AA35" s="1503">
        <f t="shared" si="3"/>
        <v>1</v>
      </c>
      <c r="AB35" s="1503">
        <f t="shared" si="4"/>
        <v>1</v>
      </c>
      <c r="AC35" s="1503">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6"/>
      <c r="M36" s="2910"/>
      <c r="N36" s="2910"/>
      <c r="O36" s="2910"/>
      <c r="P36" s="3551"/>
      <c r="Q36" s="1502" t="str">
        <f t="shared" si="11"/>
        <v>成新度</v>
      </c>
      <c r="R36" s="712" t="s">
        <v>17</v>
      </c>
      <c r="S36" s="713" t="e">
        <f t="shared" si="12"/>
        <v>#N/A</v>
      </c>
      <c r="T36" s="712" t="s">
        <v>17</v>
      </c>
      <c r="U36" s="713" t="e">
        <f t="shared" si="13"/>
        <v>#N/A</v>
      </c>
      <c r="V36" s="712" t="s">
        <v>17</v>
      </c>
      <c r="W36" s="713" t="e">
        <f t="shared" si="14"/>
        <v>#N/A</v>
      </c>
      <c r="X36" s="1505"/>
      <c r="Y36" s="3553"/>
      <c r="Z36" s="1506" t="str">
        <f t="shared" si="15"/>
        <v>成新度</v>
      </c>
      <c r="AA36" s="1503" t="e">
        <f t="shared" si="3"/>
        <v>#N/A</v>
      </c>
      <c r="AB36" s="1503" t="e">
        <f t="shared" si="4"/>
        <v>#N/A</v>
      </c>
      <c r="AC36" s="1503" t="e">
        <f t="shared" si="5"/>
        <v>#N/A</v>
      </c>
    </row>
    <row r="37" spans="1:29" s="112" customFormat="1" ht="15">
      <c r="A37" s="431"/>
      <c r="B37" s="380" t="s">
        <v>2424</v>
      </c>
      <c r="C37" s="2058"/>
      <c r="D37" s="131">
        <v>100</v>
      </c>
      <c r="E37" s="2058"/>
      <c r="F37" s="419">
        <f>SUMIF(112:112,E37,113:113)-SUMIF(112:112,C37,113:113)+100</f>
        <v>100</v>
      </c>
      <c r="G37" s="2058"/>
      <c r="H37" s="393">
        <f>SUMIF(112:112,G37,113:113)-SUMIF(112:112,C37,113:113)+100</f>
        <v>100</v>
      </c>
      <c r="I37" s="2058"/>
      <c r="J37" s="393">
        <f>SUMIF(112:112,I37,113:113)-SUMIF(112:112,C37,113:113)+100</f>
        <v>100</v>
      </c>
      <c r="K37" s="568"/>
      <c r="L37" s="2911"/>
      <c r="M37" s="2912"/>
      <c r="N37" s="2912"/>
      <c r="O37" s="2912"/>
      <c r="P37" s="3551"/>
      <c r="Q37" s="1493" t="str">
        <f t="shared" si="11"/>
        <v>市政基础设施</v>
      </c>
      <c r="R37" s="708" t="s">
        <v>17</v>
      </c>
      <c r="S37" s="709">
        <f t="shared" si="12"/>
        <v>100</v>
      </c>
      <c r="T37" s="708" t="s">
        <v>17</v>
      </c>
      <c r="U37" s="709">
        <f t="shared" si="13"/>
        <v>100</v>
      </c>
      <c r="V37" s="708" t="s">
        <v>17</v>
      </c>
      <c r="W37" s="709">
        <f t="shared" si="14"/>
        <v>100</v>
      </c>
      <c r="X37" s="710"/>
      <c r="Y37" s="3553"/>
      <c r="Z37" s="55"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6"/>
      <c r="M38" s="2910"/>
      <c r="N38" s="2910"/>
      <c r="O38" s="2910"/>
      <c r="P38" s="3551" t="s">
        <v>2326</v>
      </c>
      <c r="Q38" s="1502" t="str">
        <f t="shared" si="11"/>
        <v>业态</v>
      </c>
      <c r="R38" s="712" t="s">
        <v>17</v>
      </c>
      <c r="S38" s="713">
        <f t="shared" si="12"/>
        <v>100</v>
      </c>
      <c r="T38" s="712" t="s">
        <v>17</v>
      </c>
      <c r="U38" s="713">
        <f t="shared" si="13"/>
        <v>100</v>
      </c>
      <c r="V38" s="712" t="s">
        <v>17</v>
      </c>
      <c r="W38" s="713">
        <f t="shared" si="14"/>
        <v>100</v>
      </c>
      <c r="X38" s="1505"/>
      <c r="Y38" s="3553" t="s">
        <v>2326</v>
      </c>
      <c r="Z38" s="1506" t="str">
        <f t="shared" si="15"/>
        <v>业态</v>
      </c>
      <c r="AA38" s="1503">
        <f t="shared" si="3"/>
        <v>1</v>
      </c>
      <c r="AB38" s="1503">
        <f t="shared" si="4"/>
        <v>1</v>
      </c>
      <c r="AC38" s="1503">
        <f t="shared" si="5"/>
        <v>1</v>
      </c>
    </row>
    <row r="39" spans="1:29" ht="15">
      <c r="A39" s="430"/>
      <c r="B39" s="380" t="s">
        <v>2426</v>
      </c>
      <c r="C39" s="2058"/>
      <c r="D39" s="393">
        <v>100</v>
      </c>
      <c r="E39" s="2058"/>
      <c r="F39" s="419">
        <f>SUMIF(116:116,E39,117:117)-SUMIF(116:116,C39,117:117)+100</f>
        <v>100</v>
      </c>
      <c r="G39" s="2058"/>
      <c r="H39" s="393">
        <f>SUMIF(116:116,G39,117:117)-SUMIF(116:116,C39,117:117)+100</f>
        <v>100</v>
      </c>
      <c r="I39" s="2058"/>
      <c r="J39" s="393">
        <f>SUMIF(116:116,I39,117:117)-SUMIF(116:116,C39,117:117)+100</f>
        <v>100</v>
      </c>
      <c r="K39" s="568"/>
      <c r="L39" s="2916"/>
      <c r="M39" s="2910"/>
      <c r="N39" s="2910"/>
      <c r="O39" s="2910"/>
      <c r="P39" s="3551"/>
      <c r="Q39" s="1502" t="str">
        <f t="shared" si="11"/>
        <v>层高</v>
      </c>
      <c r="R39" s="712" t="s">
        <v>17</v>
      </c>
      <c r="S39" s="713">
        <f t="shared" si="12"/>
        <v>100</v>
      </c>
      <c r="T39" s="712" t="s">
        <v>17</v>
      </c>
      <c r="U39" s="713">
        <f t="shared" si="13"/>
        <v>100</v>
      </c>
      <c r="V39" s="712" t="s">
        <v>17</v>
      </c>
      <c r="W39" s="713">
        <f t="shared" si="14"/>
        <v>100</v>
      </c>
      <c r="X39" s="1505"/>
      <c r="Y39" s="3553"/>
      <c r="Z39" s="1506" t="str">
        <f t="shared" si="15"/>
        <v>层高</v>
      </c>
      <c r="AA39" s="1503">
        <f t="shared" si="3"/>
        <v>1</v>
      </c>
      <c r="AB39" s="1503">
        <f t="shared" si="4"/>
        <v>1</v>
      </c>
      <c r="AC39" s="1503">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6"/>
      <c r="M40" s="2910"/>
      <c r="N40" s="2910"/>
      <c r="O40" s="2910"/>
      <c r="P40" s="3551"/>
      <c r="Q40" s="1502" t="str">
        <f t="shared" si="11"/>
        <v>单套建筑面积</v>
      </c>
      <c r="R40" s="712" t="s">
        <v>17</v>
      </c>
      <c r="S40" s="713">
        <f t="shared" si="12"/>
        <v>100</v>
      </c>
      <c r="T40" s="712" t="s">
        <v>17</v>
      </c>
      <c r="U40" s="713">
        <f t="shared" si="13"/>
        <v>100</v>
      </c>
      <c r="V40" s="712" t="s">
        <v>17</v>
      </c>
      <c r="W40" s="713">
        <f t="shared" si="14"/>
        <v>100</v>
      </c>
      <c r="X40" s="1505"/>
      <c r="Y40" s="3553"/>
      <c r="Z40" s="1506" t="str">
        <f t="shared" si="15"/>
        <v>单套建筑面积</v>
      </c>
      <c r="AA40" s="1503">
        <f t="shared" si="3"/>
        <v>1</v>
      </c>
      <c r="AB40" s="1503">
        <f t="shared" si="4"/>
        <v>1</v>
      </c>
      <c r="AC40" s="1503">
        <f t="shared" si="5"/>
        <v>1</v>
      </c>
    </row>
    <row r="41" spans="1:29" s="429" customFormat="1" ht="15">
      <c r="A41" s="426"/>
      <c r="B41" s="1504"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5"/>
      <c r="M41" s="2917"/>
      <c r="N41" s="2917"/>
      <c r="O41" s="2917"/>
      <c r="P41" s="3551"/>
      <c r="Q41" s="714" t="str">
        <f t="shared" si="11"/>
        <v>进深比</v>
      </c>
      <c r="R41" s="715" t="s">
        <v>17</v>
      </c>
      <c r="S41" s="716">
        <f t="shared" si="12"/>
        <v>100</v>
      </c>
      <c r="T41" s="715" t="s">
        <v>17</v>
      </c>
      <c r="U41" s="716">
        <f t="shared" si="13"/>
        <v>100</v>
      </c>
      <c r="V41" s="715" t="s">
        <v>17</v>
      </c>
      <c r="W41" s="716">
        <f t="shared" si="14"/>
        <v>100</v>
      </c>
      <c r="X41" s="717"/>
      <c r="Y41" s="3553"/>
      <c r="Z41" s="718" t="str">
        <f t="shared" si="15"/>
        <v>进深比</v>
      </c>
      <c r="AA41" s="1503">
        <f t="shared" si="3"/>
        <v>1</v>
      </c>
      <c r="AB41" s="1503">
        <f t="shared" si="4"/>
        <v>1</v>
      </c>
      <c r="AC41" s="1503">
        <f t="shared" si="5"/>
        <v>1</v>
      </c>
    </row>
    <row r="42" spans="1:29" ht="15">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6"/>
      <c r="M42" s="2910"/>
      <c r="N42" s="2910"/>
      <c r="O42" s="2910"/>
      <c r="P42" s="3551"/>
      <c r="Q42" s="1502" t="str">
        <f t="shared" si="11"/>
        <v>内部装修</v>
      </c>
      <c r="R42" s="712" t="s">
        <v>17</v>
      </c>
      <c r="S42" s="713">
        <f t="shared" si="12"/>
        <v>100</v>
      </c>
      <c r="T42" s="712" t="s">
        <v>17</v>
      </c>
      <c r="U42" s="713">
        <f t="shared" si="13"/>
        <v>100</v>
      </c>
      <c r="V42" s="712" t="s">
        <v>17</v>
      </c>
      <c r="W42" s="713">
        <f t="shared" si="14"/>
        <v>100</v>
      </c>
      <c r="X42" s="1505"/>
      <c r="Y42" s="3553"/>
      <c r="Z42" s="1506" t="str">
        <f t="shared" si="15"/>
        <v>内部装修</v>
      </c>
      <c r="AA42" s="1503">
        <f t="shared" si="3"/>
        <v>1</v>
      </c>
      <c r="AB42" s="1503">
        <f t="shared" si="4"/>
        <v>1</v>
      </c>
      <c r="AC42" s="1503">
        <f t="shared" si="5"/>
        <v>1</v>
      </c>
    </row>
    <row r="43" spans="1:29" ht="15">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6"/>
      <c r="M43" s="2910"/>
      <c r="N43" s="2910"/>
      <c r="O43" s="2910"/>
      <c r="P43" s="3551"/>
      <c r="Q43" s="1502" t="str">
        <f t="shared" si="11"/>
        <v>内部装修维护情况</v>
      </c>
      <c r="R43" s="712" t="s">
        <v>17</v>
      </c>
      <c r="S43" s="713">
        <f t="shared" si="12"/>
        <v>100</v>
      </c>
      <c r="T43" s="712" t="s">
        <v>17</v>
      </c>
      <c r="U43" s="713">
        <f t="shared" si="13"/>
        <v>100</v>
      </c>
      <c r="V43" s="712" t="s">
        <v>17</v>
      </c>
      <c r="W43" s="713">
        <f t="shared" si="14"/>
        <v>100</v>
      </c>
      <c r="X43" s="1505"/>
      <c r="Y43" s="3553"/>
      <c r="Z43" s="1506" t="str">
        <f t="shared" si="15"/>
        <v>内部装修维护情况</v>
      </c>
      <c r="AA43" s="1503">
        <f t="shared" si="3"/>
        <v>1</v>
      </c>
      <c r="AB43" s="1503">
        <f t="shared" si="4"/>
        <v>1</v>
      </c>
      <c r="AC43" s="1503">
        <f t="shared" si="5"/>
        <v>1</v>
      </c>
    </row>
    <row r="44" spans="1:29" s="112" customFormat="1" ht="15">
      <c r="A44" s="431"/>
      <c r="B44" s="126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1"/>
      <c r="M44" s="2912"/>
      <c r="N44" s="2912"/>
      <c r="O44" s="2912"/>
      <c r="P44" s="3551"/>
      <c r="Q44" s="1493">
        <f t="shared" si="11"/>
        <v>111</v>
      </c>
      <c r="R44" s="708" t="s">
        <v>17</v>
      </c>
      <c r="S44" s="709">
        <f t="shared" si="12"/>
        <v>100</v>
      </c>
      <c r="T44" s="708" t="s">
        <v>17</v>
      </c>
      <c r="U44" s="709">
        <f t="shared" si="13"/>
        <v>100</v>
      </c>
      <c r="V44" s="708" t="s">
        <v>17</v>
      </c>
      <c r="W44" s="709">
        <f t="shared" si="14"/>
        <v>100</v>
      </c>
      <c r="X44" s="710"/>
      <c r="Y44" s="3553"/>
      <c r="Z44" s="55">
        <f t="shared" si="15"/>
        <v>111</v>
      </c>
      <c r="AA44" s="711">
        <f t="shared" si="3"/>
        <v>1</v>
      </c>
      <c r="AB44" s="711">
        <f t="shared" si="4"/>
        <v>1</v>
      </c>
      <c r="AC44" s="711">
        <f t="shared" si="5"/>
        <v>1</v>
      </c>
    </row>
    <row r="45" spans="1:29" ht="15">
      <c r="A45" s="430"/>
      <c r="B45" s="126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6"/>
      <c r="M45" s="2910"/>
      <c r="N45" s="2910"/>
      <c r="O45" s="2910"/>
      <c r="P45" s="3551"/>
      <c r="Q45" s="1502">
        <f t="shared" si="11"/>
        <v>111</v>
      </c>
      <c r="R45" s="712" t="s">
        <v>17</v>
      </c>
      <c r="S45" s="713">
        <f t="shared" si="12"/>
        <v>100</v>
      </c>
      <c r="T45" s="712" t="s">
        <v>17</v>
      </c>
      <c r="U45" s="713">
        <f t="shared" si="13"/>
        <v>100</v>
      </c>
      <c r="V45" s="712" t="s">
        <v>17</v>
      </c>
      <c r="W45" s="713">
        <f t="shared" si="14"/>
        <v>100</v>
      </c>
      <c r="X45" s="1505"/>
      <c r="Y45" s="3553"/>
      <c r="Z45" s="1506">
        <f t="shared" si="15"/>
        <v>111</v>
      </c>
      <c r="AA45" s="1503">
        <f t="shared" si="3"/>
        <v>1</v>
      </c>
      <c r="AB45" s="1503">
        <f t="shared" si="4"/>
        <v>1</v>
      </c>
      <c r="AC45" s="1503">
        <f t="shared" si="5"/>
        <v>1</v>
      </c>
    </row>
    <row r="46" spans="1:29" ht="15.75"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6"/>
      <c r="M46" s="2910"/>
      <c r="N46" s="2910"/>
      <c r="O46" s="2910"/>
      <c r="P46" s="3552"/>
      <c r="Q46" s="1502">
        <f t="shared" si="11"/>
        <v>111</v>
      </c>
      <c r="R46" s="712" t="s">
        <v>17</v>
      </c>
      <c r="S46" s="713">
        <f t="shared" si="12"/>
        <v>100</v>
      </c>
      <c r="T46" s="712" t="s">
        <v>17</v>
      </c>
      <c r="U46" s="713">
        <f t="shared" si="13"/>
        <v>100</v>
      </c>
      <c r="V46" s="712" t="s">
        <v>17</v>
      </c>
      <c r="W46" s="713">
        <f t="shared" si="14"/>
        <v>100</v>
      </c>
      <c r="X46" s="1505"/>
      <c r="Y46" s="3554"/>
      <c r="Z46" s="1506">
        <f t="shared" si="15"/>
        <v>111</v>
      </c>
      <c r="AA46" s="1503">
        <f t="shared" si="3"/>
        <v>1</v>
      </c>
      <c r="AB46" s="1503">
        <f t="shared" si="4"/>
        <v>1</v>
      </c>
      <c r="AC46" s="1503">
        <f t="shared" si="5"/>
        <v>1</v>
      </c>
    </row>
    <row r="47" spans="1:29" ht="15">
      <c r="A47" s="437" t="s">
        <v>2338</v>
      </c>
      <c r="B47" s="438"/>
      <c r="C47" s="1284" t="s">
        <v>1</v>
      </c>
      <c r="D47" s="1285"/>
      <c r="E47" s="1286"/>
      <c r="F47" s="1287"/>
      <c r="G47" s="1288"/>
      <c r="H47" s="1289"/>
      <c r="I47" s="1286"/>
      <c r="J47" s="1289"/>
      <c r="K47" s="721"/>
      <c r="L47" s="2918"/>
      <c r="M47" s="2919"/>
      <c r="N47" s="2910"/>
      <c r="O47" s="2919"/>
      <c r="P47" s="3546" t="str">
        <f>A47</f>
        <v>成交单价（元/平方米）</v>
      </c>
      <c r="Q47" s="3546"/>
      <c r="R47" s="3578">
        <f>E47</f>
        <v>0</v>
      </c>
      <c r="S47" s="3578"/>
      <c r="T47" s="3578">
        <f>G47</f>
        <v>0</v>
      </c>
      <c r="U47" s="3578"/>
      <c r="V47" s="3578">
        <f>I47</f>
        <v>0</v>
      </c>
      <c r="W47" s="3578"/>
      <c r="X47" s="697"/>
      <c r="Y47" s="719"/>
      <c r="Z47" s="697"/>
      <c r="AA47" s="697"/>
      <c r="AB47" s="697"/>
      <c r="AC47" s="697"/>
    </row>
    <row r="48" spans="1:29" ht="15.75" thickBot="1">
      <c r="A48" s="444" t="s">
        <v>2430</v>
      </c>
      <c r="B48" s="445"/>
      <c r="C48" s="1290" t="e">
        <f>R49</f>
        <v>#DIV/0!</v>
      </c>
      <c r="D48" s="2504" t="s">
        <v>2819</v>
      </c>
      <c r="E48" s="1291" t="e">
        <f>R48</f>
        <v>#DIV/0!</v>
      </c>
      <c r="F48" s="2505"/>
      <c r="G48" s="1290" t="e">
        <f>T48</f>
        <v>#DIV/0!</v>
      </c>
      <c r="H48" s="2505"/>
      <c r="I48" s="1291" t="e">
        <f>V48</f>
        <v>#DIV/0!</v>
      </c>
      <c r="J48" s="2505"/>
      <c r="K48" s="2507">
        <f>F48+H48+J48</f>
        <v>0</v>
      </c>
      <c r="L48" s="2918"/>
      <c r="M48" s="2919"/>
      <c r="N48" s="2910"/>
      <c r="O48" s="2919"/>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97"/>
      <c r="Y48" s="697"/>
      <c r="Z48" s="697"/>
      <c r="AA48" s="697"/>
      <c r="AB48" s="697"/>
      <c r="AC48" s="697"/>
    </row>
    <row r="49" spans="1:29" ht="15.75" thickBot="1">
      <c r="A49" s="448" t="s">
        <v>2431</v>
      </c>
      <c r="B49" s="449"/>
      <c r="C49" s="1293" t="e">
        <f>R49</f>
        <v>#DIV/0!</v>
      </c>
      <c r="D49" s="1293"/>
      <c r="E49" s="1293"/>
      <c r="F49" s="1293"/>
      <c r="G49" s="1293"/>
      <c r="H49" s="1293"/>
      <c r="I49" s="1293"/>
      <c r="J49" s="1293"/>
      <c r="K49" s="722"/>
      <c r="L49" s="2918"/>
      <c r="M49" s="2919"/>
      <c r="N49" s="2910"/>
      <c r="O49" s="2919"/>
      <c r="P49" s="3543" t="str">
        <f>A49</f>
        <v>估价对象XX用房的比较价值（楼面单价，元/平方米）</v>
      </c>
      <c r="Q49" s="3544"/>
      <c r="R49" s="3545" t="e">
        <f>IF(F1="售价",ROUND(IF(D48="简单平均",AVERAGE(R48:V48),R48*F48+T48*H48+V48*J48),0),ROUND(IF(D48="简单平均",AVERAGE(R48:V48),R48*F48+T48*H48+V48*J48),1))</f>
        <v>#DIV/0!</v>
      </c>
      <c r="S49" s="3545"/>
      <c r="T49" s="3545"/>
      <c r="U49" s="3545"/>
      <c r="V49" s="3545"/>
      <c r="W49" s="3545"/>
      <c r="X49" s="697"/>
      <c r="Y49" s="697"/>
      <c r="Z49" s="697"/>
      <c r="AA49" s="697"/>
      <c r="AB49" s="697"/>
      <c r="AC49" s="697"/>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8" customFormat="1" ht="13.5" customHeight="1">
      <c r="A54" s="2922"/>
      <c r="B54" s="2922"/>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8"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1" t="s">
        <v>2435</v>
      </c>
      <c r="B57" s="697"/>
      <c r="C57" s="702"/>
      <c r="D57" s="702"/>
      <c r="E57" s="702"/>
      <c r="F57" s="703"/>
      <c r="G57" s="703"/>
      <c r="H57" s="702"/>
      <c r="I57" s="702"/>
      <c r="J57" s="702"/>
      <c r="K57" s="704"/>
      <c r="L57" s="1071"/>
      <c r="M57" s="1069"/>
      <c r="N57" s="1069"/>
      <c r="O57" s="1069"/>
      <c r="P57" s="2932"/>
      <c r="Q57" s="2933"/>
      <c r="R57" s="2919"/>
      <c r="S57" s="2919"/>
      <c r="T57" s="2919"/>
      <c r="U57" s="2919"/>
      <c r="V57" s="2919"/>
      <c r="W57" s="2919"/>
      <c r="X57" s="2919"/>
      <c r="Y57" s="2919"/>
      <c r="Z57" s="2919"/>
      <c r="AA57" s="2919"/>
      <c r="AB57" s="2919"/>
      <c r="AC57" s="2919"/>
    </row>
    <row r="58" spans="1:29" s="464" customFormat="1" ht="15">
      <c r="A58" s="461" t="s">
        <v>2309</v>
      </c>
      <c r="B58" s="462"/>
      <c r="C58" s="1314" t="str">
        <f>YEAR(C7)&amp;"-"&amp;MONTH(C7)</f>
        <v>2022-2</v>
      </c>
      <c r="D58" s="1315">
        <f>EDATE(C58,-1)</f>
        <v>44562</v>
      </c>
      <c r="E58" s="1315">
        <f t="shared" ref="E58:N58" si="16">EDATE(D58,-1)</f>
        <v>44531</v>
      </c>
      <c r="F58" s="1315">
        <f t="shared" si="16"/>
        <v>44501</v>
      </c>
      <c r="G58" s="1315">
        <f t="shared" si="16"/>
        <v>44470</v>
      </c>
      <c r="H58" s="1315">
        <f t="shared" si="16"/>
        <v>44440</v>
      </c>
      <c r="I58" s="1315">
        <f t="shared" si="16"/>
        <v>44409</v>
      </c>
      <c r="J58" s="1315">
        <f t="shared" si="16"/>
        <v>44378</v>
      </c>
      <c r="K58" s="1315">
        <f t="shared" si="16"/>
        <v>44348</v>
      </c>
      <c r="L58" s="1315">
        <f t="shared" si="16"/>
        <v>44317</v>
      </c>
      <c r="M58" s="1315">
        <f t="shared" si="16"/>
        <v>44287</v>
      </c>
      <c r="N58" s="1315">
        <f t="shared" si="16"/>
        <v>44256</v>
      </c>
      <c r="O58" s="1315">
        <f>EDATE(N58,-1)</f>
        <v>44228</v>
      </c>
      <c r="P58" s="2934"/>
      <c r="Q58" s="2935"/>
      <c r="R58" s="2935"/>
      <c r="S58" s="2935"/>
      <c r="T58" s="2935"/>
      <c r="U58" s="2935"/>
      <c r="V58" s="2935"/>
      <c r="W58" s="2935"/>
      <c r="X58" s="2935"/>
      <c r="Y58" s="2935"/>
      <c r="Z58" s="2935"/>
      <c r="AA58" s="2935"/>
      <c r="AB58" s="2935"/>
      <c r="AC58" s="2935"/>
    </row>
    <row r="59" spans="1:29" s="112" customFormat="1" ht="15">
      <c r="A59" s="465"/>
      <c r="B59" s="466"/>
      <c r="C59" s="1313">
        <v>100</v>
      </c>
      <c r="D59" s="468"/>
      <c r="E59" s="468"/>
      <c r="F59" s="468"/>
      <c r="G59" s="468"/>
      <c r="H59" s="468"/>
      <c r="I59" s="468"/>
      <c r="J59" s="468"/>
      <c r="K59" s="468"/>
      <c r="L59" s="468"/>
      <c r="M59" s="469"/>
      <c r="N59" s="468"/>
      <c r="O59" s="469"/>
      <c r="P59" s="2936"/>
      <c r="Q59" s="2853"/>
      <c r="R59" s="2853"/>
      <c r="S59" s="2853"/>
      <c r="T59" s="2853"/>
      <c r="U59" s="2853"/>
      <c r="V59" s="2853"/>
      <c r="W59" s="2853"/>
      <c r="X59" s="2853"/>
      <c r="Y59" s="2853"/>
      <c r="Z59" s="2853"/>
      <c r="AA59" s="2853"/>
      <c r="AB59" s="2853"/>
      <c r="AC59" s="2853"/>
    </row>
    <row r="60" spans="1:29" s="112" customFormat="1" ht="15.75" thickBot="1">
      <c r="A60" s="471" t="s">
        <v>2346</v>
      </c>
      <c r="B60" s="472"/>
      <c r="C60" s="473"/>
      <c r="D60" s="474"/>
      <c r="E60" s="474"/>
      <c r="F60" s="474"/>
      <c r="G60" s="474"/>
      <c r="H60" s="474"/>
      <c r="I60" s="474"/>
      <c r="J60" s="474"/>
      <c r="K60" s="474"/>
      <c r="L60" s="474"/>
      <c r="M60" s="475"/>
      <c r="N60" s="474"/>
      <c r="O60" s="475"/>
      <c r="P60" s="2936"/>
      <c r="Q60" s="2933"/>
      <c r="R60" s="2853"/>
      <c r="S60" s="2853"/>
      <c r="T60" s="2853"/>
      <c r="U60" s="2853"/>
      <c r="V60" s="2853"/>
      <c r="W60" s="2853"/>
      <c r="X60" s="2853"/>
      <c r="Y60" s="2853"/>
      <c r="Z60" s="2853"/>
      <c r="AA60" s="2853"/>
      <c r="AB60" s="2853"/>
      <c r="AC60" s="2853"/>
    </row>
    <row r="61" spans="1:29" s="112" customFormat="1" ht="15">
      <c r="A61" s="477" t="s">
        <v>2311</v>
      </c>
      <c r="B61" s="466"/>
      <c r="C61" s="478" t="s">
        <v>2413</v>
      </c>
      <c r="D61" s="479"/>
      <c r="E61" s="479"/>
      <c r="F61" s="479"/>
      <c r="G61" s="479"/>
      <c r="H61" s="479"/>
      <c r="I61" s="479"/>
      <c r="J61" s="479"/>
      <c r="K61" s="479"/>
      <c r="L61" s="480"/>
      <c r="M61" s="481"/>
      <c r="N61" s="2946"/>
      <c r="O61" s="2946"/>
      <c r="P61" s="2937"/>
      <c r="Q61" s="2933"/>
      <c r="R61" s="2853"/>
      <c r="S61" s="2853"/>
      <c r="T61" s="2853"/>
      <c r="U61" s="2853"/>
      <c r="V61" s="2853"/>
      <c r="W61" s="2853"/>
      <c r="X61" s="2853"/>
      <c r="Y61" s="2853"/>
      <c r="Z61" s="2853"/>
      <c r="AA61" s="2853"/>
      <c r="AB61" s="2853"/>
      <c r="AC61" s="2853"/>
    </row>
    <row r="62" spans="1:29" s="112" customFormat="1" ht="15.75" thickBot="1">
      <c r="A62" s="477"/>
      <c r="B62" s="466"/>
      <c r="C62" s="467">
        <v>100</v>
      </c>
      <c r="D62" s="468"/>
      <c r="E62" s="468"/>
      <c r="F62" s="468"/>
      <c r="G62" s="468"/>
      <c r="H62" s="468"/>
      <c r="I62" s="468"/>
      <c r="J62" s="468"/>
      <c r="K62" s="468"/>
      <c r="L62" s="468"/>
      <c r="M62" s="470"/>
      <c r="N62" s="2946"/>
      <c r="O62" s="2946"/>
      <c r="P62" s="2936"/>
      <c r="Q62" s="2933"/>
      <c r="R62" s="2853"/>
      <c r="S62" s="2853"/>
      <c r="T62" s="2853"/>
      <c r="U62" s="2853"/>
      <c r="V62" s="2853"/>
      <c r="W62" s="2853"/>
      <c r="X62" s="2853"/>
      <c r="Y62" s="2853"/>
      <c r="Z62" s="2853"/>
      <c r="AA62" s="2853"/>
      <c r="AB62" s="2853"/>
      <c r="AC62" s="2853"/>
    </row>
    <row r="63" spans="1:29">
      <c r="A63" s="483" t="s">
        <v>2349</v>
      </c>
      <c r="B63" s="484" t="s">
        <v>2315</v>
      </c>
      <c r="C63" s="485">
        <f>C9</f>
        <v>0</v>
      </c>
      <c r="D63" s="486"/>
      <c r="E63" s="486"/>
      <c r="F63" s="486"/>
      <c r="G63" s="486"/>
      <c r="H63" s="486"/>
      <c r="I63" s="486"/>
      <c r="J63" s="486"/>
      <c r="K63" s="487"/>
      <c r="L63" s="488"/>
      <c r="M63" s="489"/>
      <c r="N63" s="2947"/>
      <c r="O63" s="2947"/>
      <c r="P63" s="2938"/>
      <c r="Q63" s="2933"/>
      <c r="R63" s="2919"/>
      <c r="S63" s="2919"/>
      <c r="T63" s="2919"/>
      <c r="U63" s="2919"/>
      <c r="V63" s="2919"/>
      <c r="W63" s="2919"/>
      <c r="X63" s="2919"/>
      <c r="Y63" s="2919"/>
      <c r="Z63" s="2919"/>
      <c r="AA63" s="2919"/>
      <c r="AB63" s="2919"/>
      <c r="AC63" s="2919"/>
    </row>
    <row r="64" spans="1:29" ht="15.75" thickBot="1">
      <c r="A64" s="490"/>
      <c r="B64" s="491"/>
      <c r="C64" s="492">
        <v>100</v>
      </c>
      <c r="D64" s="492"/>
      <c r="E64" s="492"/>
      <c r="F64" s="492"/>
      <c r="G64" s="492"/>
      <c r="H64" s="492"/>
      <c r="I64" s="492"/>
      <c r="J64" s="492"/>
      <c r="K64" s="492"/>
      <c r="L64" s="492"/>
      <c r="M64" s="493"/>
      <c r="N64" s="2948"/>
      <c r="O64" s="2948"/>
      <c r="P64" s="2938"/>
      <c r="Q64" s="2933"/>
      <c r="R64" s="2919"/>
      <c r="S64" s="2919"/>
      <c r="T64" s="2919"/>
      <c r="U64" s="2919"/>
      <c r="V64" s="2919"/>
      <c r="W64" s="2919"/>
      <c r="X64" s="2919"/>
      <c r="Y64" s="2919"/>
      <c r="Z64" s="2919"/>
      <c r="AA64" s="2919"/>
      <c r="AB64" s="2919"/>
      <c r="AC64" s="2919"/>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7"/>
      <c r="O65" s="2947"/>
      <c r="P65" s="2938"/>
      <c r="Q65" s="2933"/>
      <c r="R65" s="2919"/>
      <c r="S65" s="2919"/>
      <c r="T65" s="2919"/>
      <c r="U65" s="2919"/>
      <c r="V65" s="2919"/>
      <c r="W65" s="2919"/>
      <c r="X65" s="2919"/>
      <c r="Y65" s="2919"/>
      <c r="Z65" s="2919"/>
      <c r="AA65" s="2919"/>
      <c r="AB65" s="2919"/>
      <c r="AC65" s="291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8"/>
      <c r="O66" s="2948"/>
      <c r="P66" s="2938"/>
      <c r="Q66" s="2933"/>
      <c r="R66" s="2919"/>
      <c r="S66" s="2919"/>
      <c r="T66" s="2919"/>
      <c r="U66" s="2919"/>
      <c r="V66" s="2919"/>
      <c r="W66" s="2919"/>
      <c r="X66" s="2919"/>
      <c r="Y66" s="2919"/>
      <c r="Z66" s="2919"/>
      <c r="AA66" s="2919"/>
      <c r="AB66" s="2919"/>
      <c r="AC66" s="2919"/>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0"/>
      <c r="B68" s="504"/>
      <c r="C68" s="505"/>
      <c r="D68" s="505"/>
      <c r="E68" s="505"/>
      <c r="F68" s="505"/>
      <c r="G68" s="505"/>
      <c r="H68" s="505"/>
      <c r="I68" s="505"/>
      <c r="J68" s="505"/>
      <c r="K68" s="506"/>
      <c r="L68" s="507"/>
      <c r="M68" s="508"/>
      <c r="N68" s="2947"/>
      <c r="O68" s="2947"/>
      <c r="P68" s="2938"/>
      <c r="Q68" s="2933"/>
      <c r="R68" s="2919"/>
      <c r="S68" s="2919"/>
      <c r="T68" s="2919"/>
      <c r="U68" s="2919"/>
      <c r="V68" s="2919"/>
      <c r="W68" s="2919"/>
      <c r="X68" s="2919"/>
      <c r="Y68" s="2919"/>
      <c r="Z68" s="2919"/>
      <c r="AA68" s="2919"/>
      <c r="AB68" s="2919"/>
      <c r="AC68" s="291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8"/>
      <c r="O69" s="2948"/>
      <c r="P69" s="2938"/>
      <c r="Q69" s="2933"/>
      <c r="R69" s="2919"/>
      <c r="S69" s="2919"/>
      <c r="T69" s="2919"/>
      <c r="U69" s="2919"/>
      <c r="V69" s="2919"/>
      <c r="W69" s="2919"/>
      <c r="X69" s="2919"/>
      <c r="Y69" s="2919"/>
      <c r="Z69" s="2919"/>
      <c r="AA69" s="2919"/>
      <c r="AB69" s="2919"/>
      <c r="AC69" s="2919"/>
    </row>
    <row r="70" spans="1:29" s="429" customFormat="1" ht="15.75" thickTop="1">
      <c r="A70" s="509"/>
      <c r="B70" s="494">
        <f>B12</f>
        <v>111</v>
      </c>
      <c r="C70" s="510"/>
      <c r="D70" s="510"/>
      <c r="E70" s="510"/>
      <c r="F70" s="510"/>
      <c r="G70" s="510"/>
      <c r="H70" s="511"/>
      <c r="I70" s="511"/>
      <c r="J70" s="511"/>
      <c r="K70" s="511"/>
      <c r="L70" s="512"/>
      <c r="M70" s="513"/>
      <c r="N70" s="2949"/>
      <c r="O70" s="2949"/>
      <c r="P70" s="2939"/>
      <c r="Q70" s="2940"/>
      <c r="R70" s="2941"/>
      <c r="S70" s="2941"/>
      <c r="T70" s="2941"/>
      <c r="U70" s="2941"/>
      <c r="V70" s="2941"/>
      <c r="W70" s="2941"/>
      <c r="X70" s="2941"/>
      <c r="Y70" s="2941"/>
      <c r="Z70" s="2941"/>
      <c r="AA70" s="2941"/>
      <c r="AB70" s="2941"/>
      <c r="AC70" s="2941"/>
    </row>
    <row r="71" spans="1:29" s="429" customFormat="1" ht="15.75" thickBot="1">
      <c r="A71" s="509"/>
      <c r="B71" s="499"/>
      <c r="C71" s="516"/>
      <c r="D71" s="492"/>
      <c r="E71" s="492"/>
      <c r="F71" s="492"/>
      <c r="G71" s="492"/>
      <c r="H71" s="492"/>
      <c r="I71" s="492"/>
      <c r="J71" s="492"/>
      <c r="K71" s="492"/>
      <c r="L71" s="492"/>
      <c r="M71" s="493"/>
      <c r="N71" s="2948"/>
      <c r="O71" s="2948"/>
      <c r="P71" s="2939"/>
      <c r="Q71" s="2940"/>
      <c r="R71" s="2941"/>
      <c r="S71" s="2941"/>
      <c r="T71" s="2941"/>
      <c r="U71" s="2941"/>
      <c r="V71" s="2941"/>
      <c r="W71" s="2941"/>
      <c r="X71" s="2941"/>
      <c r="Y71" s="2941"/>
      <c r="Z71" s="2941"/>
      <c r="AA71" s="2941"/>
      <c r="AB71" s="2941"/>
      <c r="AC71" s="2941"/>
    </row>
    <row r="72" spans="1:29" s="429" customFormat="1" ht="15.75" thickTop="1">
      <c r="A72" s="509"/>
      <c r="B72" s="494">
        <f>B13</f>
        <v>111</v>
      </c>
      <c r="C72" s="510"/>
      <c r="D72" s="510"/>
      <c r="E72" s="510"/>
      <c r="F72" s="510"/>
      <c r="G72" s="510"/>
      <c r="H72" s="511"/>
      <c r="I72" s="511"/>
      <c r="J72" s="511"/>
      <c r="K72" s="511"/>
      <c r="L72" s="512"/>
      <c r="M72" s="513"/>
      <c r="N72" s="2949"/>
      <c r="O72" s="2949"/>
      <c r="P72" s="2942"/>
      <c r="Q72" s="2943"/>
      <c r="R72" s="2941"/>
      <c r="S72" s="2941"/>
      <c r="T72" s="2941"/>
      <c r="U72" s="2941"/>
      <c r="V72" s="2941"/>
      <c r="W72" s="2941"/>
      <c r="X72" s="2941"/>
      <c r="Y72" s="2941"/>
      <c r="Z72" s="2941"/>
      <c r="AA72" s="2941"/>
      <c r="AB72" s="2941"/>
      <c r="AC72" s="2941"/>
    </row>
    <row r="73" spans="1:29" s="429" customFormat="1" ht="15.75" thickBot="1">
      <c r="A73" s="509"/>
      <c r="B73" s="499"/>
      <c r="C73" s="516"/>
      <c r="D73" s="492"/>
      <c r="E73" s="492"/>
      <c r="F73" s="492"/>
      <c r="G73" s="516"/>
      <c r="H73" s="518"/>
      <c r="I73" s="518"/>
      <c r="J73" s="518"/>
      <c r="K73" s="518"/>
      <c r="L73" s="518"/>
      <c r="M73" s="519"/>
      <c r="N73" s="2949"/>
      <c r="O73" s="2949"/>
      <c r="P73" s="2939"/>
      <c r="Q73" s="2940"/>
      <c r="R73" s="2941"/>
      <c r="S73" s="2941"/>
      <c r="T73" s="2941"/>
      <c r="U73" s="2941"/>
      <c r="V73" s="2941"/>
      <c r="W73" s="2941"/>
      <c r="X73" s="2941"/>
      <c r="Y73" s="2941"/>
      <c r="Z73" s="2941"/>
      <c r="AA73" s="2941"/>
      <c r="AB73" s="2941"/>
      <c r="AC73" s="2941"/>
    </row>
    <row r="74" spans="1:29" s="429" customFormat="1" ht="15.75" thickTop="1">
      <c r="A74" s="509"/>
      <c r="B74" s="502">
        <f>B14</f>
        <v>111</v>
      </c>
      <c r="C74" s="510"/>
      <c r="D74" s="510"/>
      <c r="E74" s="510"/>
      <c r="F74" s="510"/>
      <c r="G74" s="479"/>
      <c r="H74" s="520"/>
      <c r="I74" s="520"/>
      <c r="J74" s="520"/>
      <c r="K74" s="520"/>
      <c r="L74" s="521"/>
      <c r="M74" s="522"/>
      <c r="N74" s="2949"/>
      <c r="O74" s="2949"/>
      <c r="P74" s="2944"/>
      <c r="Q74" s="2940"/>
      <c r="R74" s="2941"/>
      <c r="S74" s="2941"/>
      <c r="T74" s="2941"/>
      <c r="U74" s="2941"/>
      <c r="V74" s="2941"/>
      <c r="W74" s="2941"/>
      <c r="X74" s="2941"/>
      <c r="Y74" s="2941"/>
      <c r="Z74" s="2941"/>
      <c r="AA74" s="2941"/>
      <c r="AB74" s="2941"/>
      <c r="AC74" s="2941"/>
    </row>
    <row r="75" spans="1:29" s="429" customFormat="1" ht="15.75" thickBot="1">
      <c r="A75" s="524"/>
      <c r="B75" s="525"/>
      <c r="C75" s="526"/>
      <c r="D75" s="526"/>
      <c r="E75" s="526"/>
      <c r="F75" s="526"/>
      <c r="G75" s="526"/>
      <c r="H75" s="527"/>
      <c r="I75" s="527"/>
      <c r="J75" s="527"/>
      <c r="K75" s="527"/>
      <c r="L75" s="527"/>
      <c r="M75" s="528"/>
      <c r="N75" s="2949"/>
      <c r="O75" s="2949"/>
      <c r="P75" s="2939"/>
      <c r="Q75" s="2940"/>
      <c r="R75" s="2941"/>
      <c r="S75" s="2941"/>
      <c r="T75" s="2941"/>
      <c r="U75" s="2941"/>
      <c r="V75" s="2941"/>
      <c r="W75" s="2941"/>
      <c r="X75" s="2941"/>
      <c r="Y75" s="2941"/>
      <c r="Z75" s="2941"/>
      <c r="AA75" s="2941"/>
      <c r="AB75" s="2941"/>
      <c r="AC75" s="2941"/>
    </row>
    <row r="76" spans="1:29">
      <c r="A76" s="483" t="s">
        <v>2320</v>
      </c>
      <c r="B76" s="484" t="s">
        <v>2357</v>
      </c>
      <c r="C76" s="529" t="s">
        <v>2358</v>
      </c>
      <c r="D76" s="529" t="s">
        <v>2359</v>
      </c>
      <c r="E76" s="529" t="s">
        <v>2360</v>
      </c>
      <c r="F76" s="529" t="s">
        <v>2361</v>
      </c>
      <c r="G76" s="529" t="s">
        <v>2362</v>
      </c>
      <c r="H76" s="485"/>
      <c r="I76" s="485"/>
      <c r="J76" s="485"/>
      <c r="K76" s="530"/>
      <c r="L76" s="531"/>
      <c r="M76" s="532"/>
      <c r="N76" s="2947"/>
      <c r="O76" s="2947"/>
      <c r="P76" s="2945"/>
      <c r="Q76" s="2933"/>
      <c r="R76" s="2919"/>
      <c r="S76" s="2919"/>
      <c r="T76" s="2919"/>
      <c r="U76" s="2919"/>
      <c r="V76" s="2919"/>
      <c r="W76" s="2919"/>
      <c r="X76" s="2919"/>
      <c r="Y76" s="2919"/>
      <c r="Z76" s="2919"/>
      <c r="AA76" s="2919"/>
      <c r="AB76" s="2919"/>
      <c r="AC76" s="291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8"/>
      <c r="O77" s="2948"/>
      <c r="P77" s="2938"/>
      <c r="Q77" s="2933"/>
      <c r="R77" s="2919"/>
      <c r="S77" s="2919"/>
      <c r="T77" s="2919"/>
      <c r="U77" s="2919"/>
      <c r="V77" s="2919"/>
      <c r="W77" s="2919"/>
      <c r="X77" s="2919"/>
      <c r="Y77" s="2919"/>
      <c r="Z77" s="2919"/>
      <c r="AA77" s="2919"/>
      <c r="AB77" s="2919"/>
      <c r="AC77" s="2919"/>
    </row>
    <row r="78" spans="1:29" ht="15.75" thickTop="1">
      <c r="A78" s="490"/>
      <c r="B78" s="494" t="s">
        <v>2363</v>
      </c>
      <c r="C78" s="534" t="s">
        <v>2358</v>
      </c>
      <c r="D78" s="534" t="s">
        <v>2359</v>
      </c>
      <c r="E78" s="534" t="s">
        <v>2360</v>
      </c>
      <c r="F78" s="534" t="s">
        <v>2361</v>
      </c>
      <c r="G78" s="534" t="s">
        <v>2362</v>
      </c>
      <c r="H78" s="495"/>
      <c r="I78" s="495"/>
      <c r="J78" s="495"/>
      <c r="K78" s="496"/>
      <c r="L78" s="497"/>
      <c r="M78" s="498"/>
      <c r="N78" s="2947"/>
      <c r="O78" s="2947"/>
      <c r="P78" s="2938"/>
      <c r="Q78" s="2933"/>
      <c r="R78" s="2919"/>
      <c r="S78" s="2919"/>
      <c r="T78" s="2919"/>
      <c r="U78" s="2919"/>
      <c r="V78" s="2919"/>
      <c r="W78" s="2919"/>
      <c r="X78" s="2919"/>
      <c r="Y78" s="2919"/>
      <c r="Z78" s="2919"/>
      <c r="AA78" s="2919"/>
      <c r="AB78" s="2919"/>
      <c r="AC78" s="291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8"/>
      <c r="O79" s="2948"/>
      <c r="P79" s="2938"/>
      <c r="Q79" s="2933"/>
      <c r="R79" s="2919"/>
      <c r="S79" s="2919"/>
      <c r="T79" s="2919"/>
      <c r="U79" s="2919"/>
      <c r="V79" s="2919"/>
      <c r="W79" s="2919"/>
      <c r="X79" s="2919"/>
      <c r="Y79" s="2919"/>
      <c r="Z79" s="2919"/>
      <c r="AA79" s="2919"/>
      <c r="AB79" s="2919"/>
      <c r="AC79" s="2919"/>
    </row>
    <row r="80" spans="1:29" ht="15.75" thickTop="1">
      <c r="A80" s="490"/>
      <c r="B80" s="494" t="s">
        <v>2364</v>
      </c>
      <c r="C80" s="534" t="s">
        <v>2358</v>
      </c>
      <c r="D80" s="534" t="s">
        <v>2359</v>
      </c>
      <c r="E80" s="534" t="s">
        <v>2360</v>
      </c>
      <c r="F80" s="534" t="s">
        <v>2361</v>
      </c>
      <c r="G80" s="534" t="s">
        <v>2362</v>
      </c>
      <c r="H80" s="495"/>
      <c r="I80" s="495"/>
      <c r="J80" s="495"/>
      <c r="K80" s="496"/>
      <c r="L80" s="497"/>
      <c r="M80" s="498"/>
      <c r="N80" s="2947"/>
      <c r="O80" s="2947"/>
      <c r="P80" s="2938"/>
      <c r="Q80" s="2933"/>
      <c r="R80" s="2919"/>
      <c r="S80" s="2919"/>
      <c r="T80" s="2919"/>
      <c r="U80" s="2919"/>
      <c r="V80" s="2919"/>
      <c r="W80" s="2919"/>
      <c r="X80" s="2919"/>
      <c r="Y80" s="2919"/>
      <c r="Z80" s="2919"/>
      <c r="AA80" s="2919"/>
      <c r="AB80" s="2919"/>
      <c r="AC80" s="291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8"/>
      <c r="O81" s="2948"/>
      <c r="P81" s="2938"/>
      <c r="Q81" s="2933"/>
      <c r="R81" s="2919"/>
      <c r="S81" s="2919"/>
      <c r="T81" s="2919"/>
      <c r="U81" s="2919"/>
      <c r="V81" s="2919"/>
      <c r="W81" s="2919"/>
      <c r="X81" s="2919"/>
      <c r="Y81" s="2919"/>
      <c r="Z81" s="2919"/>
      <c r="AA81" s="2919"/>
      <c r="AB81" s="2919"/>
      <c r="AC81" s="2919"/>
    </row>
    <row r="82" spans="1:29" ht="15.75" thickTop="1">
      <c r="A82" s="490"/>
      <c r="B82" s="502" t="s">
        <v>2416</v>
      </c>
      <c r="C82" s="615" t="s">
        <v>2436</v>
      </c>
      <c r="D82" s="615" t="s">
        <v>2437</v>
      </c>
      <c r="E82" s="615" t="s">
        <v>2438</v>
      </c>
      <c r="F82" s="615" t="s">
        <v>2439</v>
      </c>
      <c r="G82" s="615" t="s">
        <v>2440</v>
      </c>
      <c r="H82" s="495"/>
      <c r="I82" s="495"/>
      <c r="J82" s="495"/>
      <c r="K82" s="495"/>
      <c r="L82" s="495"/>
      <c r="M82" s="1259"/>
      <c r="N82" s="2948"/>
      <c r="O82" s="2948"/>
      <c r="P82" s="2938"/>
      <c r="Q82" s="2933"/>
      <c r="R82" s="2919"/>
      <c r="S82" s="2919"/>
      <c r="T82" s="2919"/>
      <c r="U82" s="2919"/>
      <c r="V82" s="2919"/>
      <c r="W82" s="2919"/>
      <c r="X82" s="2919"/>
      <c r="Y82" s="2919"/>
      <c r="Z82" s="2919"/>
      <c r="AA82" s="2919"/>
      <c r="AB82" s="2919"/>
      <c r="AC82" s="291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8"/>
      <c r="O83" s="2948"/>
      <c r="P83" s="2938"/>
      <c r="Q83" s="2933"/>
      <c r="R83" s="2919"/>
      <c r="S83" s="2919"/>
      <c r="T83" s="2919"/>
      <c r="U83" s="2919"/>
      <c r="V83" s="2919"/>
      <c r="W83" s="2919"/>
      <c r="X83" s="2919"/>
      <c r="Y83" s="2919"/>
      <c r="Z83" s="2919"/>
      <c r="AA83" s="2919"/>
      <c r="AB83" s="2919"/>
      <c r="AC83" s="2919"/>
    </row>
    <row r="84" spans="1:29" ht="15.75" thickTop="1">
      <c r="A84" s="490"/>
      <c r="B84" s="494" t="s">
        <v>2370</v>
      </c>
      <c r="C84" s="534" t="s">
        <v>2358</v>
      </c>
      <c r="D84" s="534" t="s">
        <v>2359</v>
      </c>
      <c r="E84" s="534" t="s">
        <v>2360</v>
      </c>
      <c r="F84" s="534" t="s">
        <v>2361</v>
      </c>
      <c r="G84" s="534" t="s">
        <v>2362</v>
      </c>
      <c r="H84" s="495"/>
      <c r="I84" s="495"/>
      <c r="J84" s="495"/>
      <c r="K84" s="496"/>
      <c r="L84" s="497"/>
      <c r="M84" s="498"/>
      <c r="N84" s="2947"/>
      <c r="O84" s="2947"/>
      <c r="P84" s="2938"/>
      <c r="Q84" s="2933"/>
      <c r="R84" s="2919"/>
      <c r="S84" s="2919"/>
      <c r="T84" s="2919"/>
      <c r="U84" s="2919"/>
      <c r="V84" s="2919"/>
      <c r="W84" s="2919"/>
      <c r="X84" s="2919"/>
      <c r="Y84" s="2919"/>
      <c r="Z84" s="2919"/>
      <c r="AA84" s="2919"/>
      <c r="AB84" s="2919"/>
      <c r="AC84" s="291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8"/>
      <c r="O85" s="2948"/>
      <c r="P85" s="2938"/>
      <c r="Q85" s="2933"/>
      <c r="R85" s="2919"/>
      <c r="S85" s="2919"/>
      <c r="T85" s="2919"/>
      <c r="U85" s="2919"/>
      <c r="V85" s="2919"/>
      <c r="W85" s="2919"/>
      <c r="X85" s="2919"/>
      <c r="Y85" s="2919"/>
      <c r="Z85" s="2919"/>
      <c r="AA85" s="2919"/>
      <c r="AB85" s="2919"/>
      <c r="AC85" s="2919"/>
    </row>
    <row r="86" spans="1:29" s="112" customFormat="1" ht="15.75" thickTop="1">
      <c r="A86" s="535"/>
      <c r="B86" s="494" t="s">
        <v>2441</v>
      </c>
      <c r="C86" s="510"/>
      <c r="D86" s="510"/>
      <c r="E86" s="510"/>
      <c r="F86" s="510"/>
      <c r="G86" s="510"/>
      <c r="H86" s="510"/>
      <c r="I86" s="510"/>
      <c r="J86" s="510"/>
      <c r="K86" s="510"/>
      <c r="L86" s="536"/>
      <c r="M86" s="537"/>
      <c r="N86" s="2946"/>
      <c r="O86" s="2946"/>
      <c r="P86" s="2938"/>
      <c r="Q86" s="2933"/>
      <c r="R86" s="2853"/>
      <c r="S86" s="2853"/>
      <c r="T86" s="2853"/>
      <c r="U86" s="2853"/>
      <c r="V86" s="2853"/>
      <c r="W86" s="2853"/>
      <c r="X86" s="2853"/>
      <c r="Y86" s="2853"/>
      <c r="Z86" s="2853"/>
      <c r="AA86" s="2853"/>
      <c r="AB86" s="2853"/>
      <c r="AC86" s="285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8"/>
      <c r="O87" s="2948"/>
      <c r="P87" s="2938"/>
      <c r="Q87" s="2933"/>
      <c r="R87" s="2853"/>
      <c r="S87" s="2853"/>
      <c r="T87" s="2853"/>
      <c r="U87" s="2853"/>
      <c r="V87" s="2853"/>
      <c r="W87" s="2853"/>
      <c r="X87" s="2853"/>
      <c r="Y87" s="2853"/>
      <c r="Z87" s="2853"/>
      <c r="AA87" s="2853"/>
      <c r="AB87" s="2853"/>
      <c r="AC87" s="2853"/>
    </row>
    <row r="88" spans="1:29" s="112" customFormat="1" ht="15.75" thickTop="1">
      <c r="A88" s="535"/>
      <c r="B88" s="494" t="str">
        <f>B26</f>
        <v>平面位置/可视性</v>
      </c>
      <c r="C88" s="510"/>
      <c r="D88" s="510"/>
      <c r="E88" s="510"/>
      <c r="F88" s="2079"/>
      <c r="G88" s="510"/>
      <c r="H88" s="510"/>
      <c r="I88" s="510"/>
      <c r="J88" s="510"/>
      <c r="K88" s="510"/>
      <c r="L88" s="510"/>
      <c r="M88" s="537"/>
      <c r="N88" s="2946"/>
      <c r="O88" s="2946"/>
      <c r="P88" s="2938"/>
      <c r="Q88" s="2933"/>
      <c r="R88" s="2853"/>
      <c r="S88" s="2853"/>
      <c r="T88" s="2853"/>
      <c r="U88" s="2853"/>
      <c r="V88" s="2853"/>
      <c r="W88" s="2853"/>
      <c r="X88" s="2853"/>
      <c r="Y88" s="2853"/>
      <c r="Z88" s="2853"/>
      <c r="AA88" s="2853"/>
      <c r="AB88" s="2853"/>
      <c r="AC88" s="2853"/>
    </row>
    <row r="89" spans="1:29" s="112" customFormat="1" ht="15.75" thickBot="1">
      <c r="A89" s="535"/>
      <c r="B89" s="499"/>
      <c r="C89" s="516"/>
      <c r="D89" s="492"/>
      <c r="E89" s="492"/>
      <c r="F89" s="492"/>
      <c r="G89" s="492"/>
      <c r="H89" s="492"/>
      <c r="I89" s="492"/>
      <c r="J89" s="492"/>
      <c r="K89" s="492"/>
      <c r="L89" s="492"/>
      <c r="M89" s="492"/>
      <c r="N89" s="2948"/>
      <c r="O89" s="2948"/>
      <c r="P89" s="2938"/>
      <c r="Q89" s="2933"/>
      <c r="R89" s="2853"/>
      <c r="S89" s="2853"/>
      <c r="T89" s="2853"/>
      <c r="U89" s="2853"/>
      <c r="V89" s="2853"/>
      <c r="W89" s="2853"/>
      <c r="X89" s="2853"/>
      <c r="Y89" s="2853"/>
      <c r="Z89" s="2853"/>
      <c r="AA89" s="2853"/>
      <c r="AB89" s="2853"/>
      <c r="AC89" s="2853"/>
    </row>
    <row r="90" spans="1:29" s="429" customFormat="1" ht="15.75" thickTop="1">
      <c r="A90" s="509"/>
      <c r="B90" s="494" t="str">
        <f>B27</f>
        <v>人流量</v>
      </c>
      <c r="C90" s="510"/>
      <c r="D90" s="510"/>
      <c r="E90" s="510"/>
      <c r="F90" s="510"/>
      <c r="G90" s="510"/>
      <c r="H90" s="511"/>
      <c r="I90" s="511"/>
      <c r="J90" s="511"/>
      <c r="K90" s="511"/>
      <c r="L90" s="512"/>
      <c r="M90" s="513"/>
      <c r="N90" s="2949"/>
      <c r="O90" s="2949"/>
      <c r="P90" s="2939"/>
      <c r="Q90" s="2940"/>
      <c r="R90" s="2941"/>
      <c r="S90" s="2941"/>
      <c r="T90" s="2941"/>
      <c r="U90" s="2941"/>
      <c r="V90" s="2941"/>
      <c r="W90" s="2941"/>
      <c r="X90" s="2941"/>
      <c r="Y90" s="2941"/>
      <c r="Z90" s="2941"/>
      <c r="AA90" s="2941"/>
      <c r="AB90" s="2941"/>
      <c r="AC90" s="294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0"/>
      <c r="B92" s="494" t="str">
        <f>B28</f>
        <v>楼层</v>
      </c>
      <c r="C92" s="510"/>
      <c r="D92" s="510"/>
      <c r="E92" s="510"/>
      <c r="F92" s="510"/>
      <c r="G92" s="510"/>
      <c r="H92" s="510"/>
      <c r="I92" s="510"/>
      <c r="J92" s="510"/>
      <c r="K92" s="510"/>
      <c r="L92" s="536"/>
      <c r="M92" s="537"/>
      <c r="N92" s="2947"/>
      <c r="O92" s="2947"/>
      <c r="P92" s="2938"/>
      <c r="Q92" s="2933"/>
      <c r="R92" s="2919"/>
      <c r="S92" s="2919"/>
      <c r="T92" s="2919"/>
      <c r="U92" s="2919"/>
      <c r="V92" s="2919"/>
      <c r="W92" s="2919"/>
      <c r="X92" s="2919"/>
      <c r="Y92" s="2919"/>
      <c r="Z92" s="2919"/>
      <c r="AA92" s="2919"/>
      <c r="AB92" s="2919"/>
      <c r="AC92" s="2919"/>
    </row>
    <row r="93" spans="1:29" ht="15.75" thickBot="1">
      <c r="A93" s="490"/>
      <c r="B93" s="499"/>
      <c r="C93" s="492"/>
      <c r="D93" s="492"/>
      <c r="E93" s="492"/>
      <c r="F93" s="492"/>
      <c r="G93" s="492"/>
      <c r="H93" s="492"/>
      <c r="I93" s="492"/>
      <c r="J93" s="492"/>
      <c r="K93" s="492"/>
      <c r="L93" s="492"/>
      <c r="M93" s="493"/>
      <c r="N93" s="2948"/>
      <c r="O93" s="2948"/>
      <c r="P93" s="2938"/>
      <c r="Q93" s="2933"/>
      <c r="R93" s="2919"/>
      <c r="S93" s="2919"/>
      <c r="T93" s="2919"/>
      <c r="U93" s="2919"/>
      <c r="V93" s="2919"/>
      <c r="W93" s="2919"/>
      <c r="X93" s="2919"/>
      <c r="Y93" s="2919"/>
      <c r="Z93" s="2919"/>
      <c r="AA93" s="2919"/>
      <c r="AB93" s="2919"/>
      <c r="AC93" s="2919"/>
    </row>
    <row r="94" spans="1:29" ht="15.75" thickTop="1">
      <c r="A94" s="490"/>
      <c r="B94" s="494">
        <f>B29</f>
        <v>111</v>
      </c>
      <c r="C94" s="510"/>
      <c r="D94" s="510"/>
      <c r="E94" s="510"/>
      <c r="F94" s="510"/>
      <c r="G94" s="539"/>
      <c r="H94" s="539"/>
      <c r="I94" s="539"/>
      <c r="J94" s="539"/>
      <c r="K94" s="540"/>
      <c r="L94" s="541"/>
      <c r="M94" s="542"/>
      <c r="N94" s="2947"/>
      <c r="O94" s="2947"/>
      <c r="P94" s="2938"/>
      <c r="Q94" s="2933"/>
      <c r="R94" s="2919"/>
      <c r="S94" s="2919"/>
      <c r="T94" s="2919"/>
      <c r="U94" s="2919"/>
      <c r="V94" s="2919"/>
      <c r="W94" s="2919"/>
      <c r="X94" s="2919"/>
      <c r="Y94" s="2919"/>
      <c r="Z94" s="2919"/>
      <c r="AA94" s="2919"/>
      <c r="AB94" s="2919"/>
      <c r="AC94" s="2919"/>
    </row>
    <row r="95" spans="1:29" ht="15.75" thickBot="1">
      <c r="A95" s="490"/>
      <c r="B95" s="499"/>
      <c r="C95" s="516"/>
      <c r="D95" s="492"/>
      <c r="E95" s="492"/>
      <c r="F95" s="492"/>
      <c r="G95" s="492"/>
      <c r="H95" s="492"/>
      <c r="I95" s="492"/>
      <c r="J95" s="492"/>
      <c r="K95" s="492"/>
      <c r="L95" s="492"/>
      <c r="M95" s="493"/>
      <c r="N95" s="2948"/>
      <c r="O95" s="2948"/>
      <c r="P95" s="2938"/>
      <c r="Q95" s="2933"/>
      <c r="R95" s="2919"/>
      <c r="S95" s="2919"/>
      <c r="T95" s="2919"/>
      <c r="U95" s="2919"/>
      <c r="V95" s="2919"/>
      <c r="W95" s="2919"/>
      <c r="X95" s="2919"/>
      <c r="Y95" s="2919"/>
      <c r="Z95" s="2919"/>
      <c r="AA95" s="2919"/>
      <c r="AB95" s="2919"/>
      <c r="AC95" s="2919"/>
    </row>
    <row r="96" spans="1:29" ht="15.75" thickTop="1">
      <c r="A96" s="490"/>
      <c r="B96" s="494">
        <f>B30</f>
        <v>111</v>
      </c>
      <c r="C96" s="510"/>
      <c r="D96" s="510"/>
      <c r="E96" s="510"/>
      <c r="F96" s="510"/>
      <c r="G96" s="539"/>
      <c r="H96" s="539"/>
      <c r="I96" s="539"/>
      <c r="J96" s="539"/>
      <c r="K96" s="540"/>
      <c r="L96" s="541"/>
      <c r="M96" s="542"/>
      <c r="N96" s="2947"/>
      <c r="O96" s="2947"/>
      <c r="P96" s="2938"/>
      <c r="Q96" s="2933"/>
      <c r="R96" s="2919"/>
      <c r="S96" s="2919"/>
      <c r="T96" s="2919"/>
      <c r="U96" s="2919"/>
      <c r="V96" s="2919"/>
      <c r="W96" s="2919"/>
      <c r="X96" s="2919"/>
      <c r="Y96" s="2919"/>
      <c r="Z96" s="2919"/>
      <c r="AA96" s="2919"/>
      <c r="AB96" s="2919"/>
      <c r="AC96" s="2919"/>
    </row>
    <row r="97" spans="1:29" ht="15.75" thickBot="1">
      <c r="A97" s="490"/>
      <c r="B97" s="499"/>
      <c r="C97" s="516"/>
      <c r="D97" s="492"/>
      <c r="E97" s="492"/>
      <c r="F97" s="492"/>
      <c r="G97" s="492"/>
      <c r="H97" s="492"/>
      <c r="I97" s="492"/>
      <c r="J97" s="492"/>
      <c r="K97" s="492"/>
      <c r="L97" s="492"/>
      <c r="M97" s="493"/>
      <c r="N97" s="2948"/>
      <c r="O97" s="2948"/>
      <c r="P97" s="2938"/>
      <c r="Q97" s="2933"/>
      <c r="R97" s="2919"/>
      <c r="S97" s="2919"/>
      <c r="T97" s="2919"/>
      <c r="U97" s="2919"/>
      <c r="V97" s="2919"/>
      <c r="W97" s="2919"/>
      <c r="X97" s="2919"/>
      <c r="Y97" s="2919"/>
      <c r="Z97" s="2919"/>
      <c r="AA97" s="2919"/>
      <c r="AB97" s="2919"/>
      <c r="AC97" s="2919"/>
    </row>
    <row r="98" spans="1:29" ht="15.75" thickTop="1">
      <c r="A98" s="490"/>
      <c r="B98" s="502">
        <f>B31</f>
        <v>111</v>
      </c>
      <c r="C98" s="510"/>
      <c r="D98" s="510"/>
      <c r="E98" s="510"/>
      <c r="F98" s="510"/>
      <c r="G98" s="543"/>
      <c r="H98" s="543"/>
      <c r="I98" s="543"/>
      <c r="J98" s="543"/>
      <c r="K98" s="544"/>
      <c r="L98" s="545"/>
      <c r="M98" s="546"/>
      <c r="N98" s="2947"/>
      <c r="O98" s="2947"/>
      <c r="P98" s="2938"/>
      <c r="Q98" s="2933"/>
      <c r="R98" s="2919"/>
      <c r="S98" s="2919"/>
      <c r="T98" s="2919"/>
      <c r="U98" s="2919"/>
      <c r="V98" s="2919"/>
      <c r="W98" s="2919"/>
      <c r="X98" s="2919"/>
      <c r="Y98" s="2919"/>
      <c r="Z98" s="2919"/>
      <c r="AA98" s="2919"/>
      <c r="AB98" s="2919"/>
      <c r="AC98" s="2919"/>
    </row>
    <row r="99" spans="1:29" ht="15.75" thickBot="1">
      <c r="A99" s="2080"/>
      <c r="B99" s="525"/>
      <c r="C99" s="526"/>
      <c r="D99" s="526"/>
      <c r="E99" s="526"/>
      <c r="F99" s="526"/>
      <c r="G99" s="547"/>
      <c r="H99" s="547"/>
      <c r="I99" s="547"/>
      <c r="J99" s="547"/>
      <c r="K99" s="547"/>
      <c r="L99" s="547"/>
      <c r="M99" s="548"/>
      <c r="N99" s="2948"/>
      <c r="O99" s="2948"/>
      <c r="P99" s="2938"/>
      <c r="Q99" s="2933"/>
      <c r="R99" s="2919"/>
      <c r="S99" s="2919"/>
      <c r="T99" s="2919"/>
      <c r="U99" s="2919"/>
      <c r="V99" s="2919"/>
      <c r="W99" s="2919"/>
      <c r="X99" s="2919"/>
      <c r="Y99" s="2919"/>
      <c r="Z99" s="2919"/>
      <c r="AA99" s="2919"/>
      <c r="AB99" s="2919"/>
      <c r="AC99" s="2919"/>
    </row>
    <row r="100" spans="1:29">
      <c r="A100" s="483" t="s">
        <v>2324</v>
      </c>
      <c r="B100" s="484" t="s">
        <v>2442</v>
      </c>
      <c r="C100" s="486"/>
      <c r="D100" s="486"/>
      <c r="E100" s="486"/>
      <c r="F100" s="486"/>
      <c r="G100" s="486"/>
      <c r="H100" s="486"/>
      <c r="I100" s="486"/>
      <c r="J100" s="486"/>
      <c r="K100" s="487"/>
      <c r="L100" s="488"/>
      <c r="M100" s="489"/>
      <c r="N100" s="2947"/>
      <c r="O100" s="2947"/>
      <c r="P100" s="2938"/>
      <c r="Q100" s="2933"/>
      <c r="R100" s="2919"/>
      <c r="S100" s="2919"/>
      <c r="T100" s="2919"/>
      <c r="U100" s="2919"/>
      <c r="V100" s="2919"/>
      <c r="W100" s="2919"/>
      <c r="X100" s="2919"/>
      <c r="Y100" s="2919"/>
      <c r="Z100" s="2919"/>
      <c r="AA100" s="2919"/>
      <c r="AB100" s="2919"/>
      <c r="AC100" s="291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29" customFormat="1">
      <c r="A103" s="549"/>
      <c r="B103" s="550"/>
      <c r="C103" s="551"/>
      <c r="D103" s="551"/>
      <c r="E103" s="551"/>
      <c r="F103" s="551"/>
      <c r="G103" s="551"/>
      <c r="H103" s="551"/>
      <c r="I103" s="551"/>
      <c r="J103" s="552"/>
      <c r="K103" s="552"/>
      <c r="L103" s="553"/>
      <c r="M103" s="554"/>
      <c r="N103" s="2949"/>
      <c r="O103" s="2949"/>
      <c r="P103" s="2939"/>
      <c r="Q103" s="2940"/>
      <c r="R103" s="2941"/>
      <c r="S103" s="2941"/>
      <c r="T103" s="2941"/>
      <c r="U103" s="2941"/>
      <c r="V103" s="2941"/>
      <c r="W103" s="2941"/>
      <c r="X103" s="2941"/>
      <c r="Y103" s="2941"/>
      <c r="Z103" s="2941"/>
      <c r="AA103" s="2941"/>
      <c r="AB103" s="2941"/>
      <c r="AC103" s="2941"/>
    </row>
    <row r="104" spans="1:29" s="429" customFormat="1" ht="15.75" thickBot="1">
      <c r="A104" s="509"/>
      <c r="B104" s="499"/>
      <c r="C104" s="516"/>
      <c r="D104" s="492"/>
      <c r="E104" s="492"/>
      <c r="F104" s="492"/>
      <c r="G104" s="492"/>
      <c r="H104" s="492"/>
      <c r="I104" s="492"/>
      <c r="J104" s="492"/>
      <c r="K104" s="492"/>
      <c r="L104" s="492"/>
      <c r="M104" s="493"/>
      <c r="N104" s="2948"/>
      <c r="O104" s="2948"/>
      <c r="P104" s="2939"/>
      <c r="Q104" s="2940"/>
      <c r="R104" s="2941"/>
      <c r="S104" s="2941"/>
      <c r="T104" s="2941"/>
      <c r="U104" s="2941"/>
      <c r="V104" s="2941"/>
      <c r="W104" s="2941"/>
      <c r="X104" s="2941"/>
      <c r="Y104" s="2941"/>
      <c r="Z104" s="2941"/>
      <c r="AA104" s="2941"/>
      <c r="AB104" s="2941"/>
      <c r="AC104" s="2941"/>
    </row>
    <row r="105" spans="1:29" ht="15" thickTop="1">
      <c r="A105" s="555"/>
      <c r="B105" s="494" t="s">
        <v>2375</v>
      </c>
      <c r="C105" s="510"/>
      <c r="D105" s="510"/>
      <c r="E105" s="539"/>
      <c r="F105" s="539"/>
      <c r="G105" s="539"/>
      <c r="H105" s="539"/>
      <c r="I105" s="539"/>
      <c r="J105" s="539"/>
      <c r="K105" s="540"/>
      <c r="L105" s="541"/>
      <c r="M105" s="542"/>
      <c r="N105" s="2947"/>
      <c r="O105" s="2947"/>
      <c r="P105" s="2938"/>
      <c r="Q105" s="2933"/>
      <c r="R105" s="2919"/>
      <c r="S105" s="2919"/>
      <c r="T105" s="2919"/>
      <c r="U105" s="2919"/>
      <c r="V105" s="2919"/>
      <c r="W105" s="2919"/>
      <c r="X105" s="2919"/>
      <c r="Y105" s="2919"/>
      <c r="Z105" s="2919"/>
      <c r="AA105" s="2919"/>
      <c r="AB105" s="2919"/>
      <c r="AC105" s="291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5"/>
      <c r="B107" s="494" t="s">
        <v>2377</v>
      </c>
      <c r="C107" s="510"/>
      <c r="D107" s="510"/>
      <c r="E107" s="510"/>
      <c r="F107" s="539"/>
      <c r="G107" s="539"/>
      <c r="H107" s="539"/>
      <c r="I107" s="539"/>
      <c r="J107" s="539"/>
      <c r="K107" s="540"/>
      <c r="L107" s="541"/>
      <c r="M107" s="542"/>
      <c r="N107" s="2947"/>
      <c r="O107" s="2947"/>
      <c r="P107" s="2938"/>
      <c r="Q107" s="2933"/>
      <c r="R107" s="2919"/>
      <c r="S107" s="2919"/>
      <c r="T107" s="2919"/>
      <c r="U107" s="2919"/>
      <c r="V107" s="2919"/>
      <c r="W107" s="2919"/>
      <c r="X107" s="2919"/>
      <c r="Y107" s="2919"/>
      <c r="Z107" s="2919"/>
      <c r="AA107" s="2919"/>
      <c r="AB107" s="2919"/>
      <c r="AC107" s="291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7"/>
      <c r="O109" s="2947"/>
      <c r="P109" s="2938"/>
      <c r="Q109" s="2933"/>
      <c r="R109" s="2919"/>
      <c r="S109" s="2919"/>
      <c r="T109" s="2919"/>
      <c r="U109" s="2919"/>
      <c r="V109" s="2919"/>
      <c r="W109" s="2919"/>
      <c r="X109" s="2919"/>
      <c r="Y109" s="2919"/>
      <c r="Z109" s="2919"/>
      <c r="AA109" s="2919"/>
      <c r="AB109" s="2919"/>
      <c r="AC109" s="2919"/>
    </row>
    <row r="110" spans="1:29">
      <c r="A110" s="555"/>
      <c r="B110" s="502"/>
      <c r="C110" s="559">
        <v>0.5</v>
      </c>
      <c r="D110" s="559">
        <v>0.6</v>
      </c>
      <c r="E110" s="559">
        <v>0.7</v>
      </c>
      <c r="F110" s="559">
        <v>0.8</v>
      </c>
      <c r="G110" s="559">
        <v>0.9</v>
      </c>
      <c r="H110" s="559">
        <v>1.0001</v>
      </c>
      <c r="I110" s="578"/>
      <c r="J110" s="578"/>
      <c r="K110" s="579"/>
      <c r="L110" s="580"/>
      <c r="M110" s="581"/>
      <c r="N110" s="2947"/>
      <c r="O110" s="2947"/>
      <c r="P110" s="2938"/>
      <c r="Q110" s="2933"/>
      <c r="R110" s="2919"/>
      <c r="S110" s="2919"/>
      <c r="T110" s="2919"/>
      <c r="U110" s="2919"/>
      <c r="V110" s="2919"/>
      <c r="W110" s="2919"/>
      <c r="X110" s="2919"/>
      <c r="Y110" s="2919"/>
      <c r="Z110" s="2919"/>
      <c r="AA110" s="2919"/>
      <c r="AB110" s="2919"/>
      <c r="AC110" s="291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8"/>
      <c r="O111" s="2948"/>
      <c r="P111" s="2938"/>
      <c r="Q111" s="2933"/>
      <c r="R111" s="2919"/>
      <c r="S111" s="2919"/>
      <c r="T111" s="2919"/>
      <c r="U111" s="2919"/>
      <c r="V111" s="2919"/>
      <c r="W111" s="2919"/>
      <c r="X111" s="2919"/>
      <c r="Y111" s="2919"/>
      <c r="Z111" s="2919"/>
      <c r="AA111" s="2919"/>
      <c r="AB111" s="2919"/>
      <c r="AC111" s="2919"/>
    </row>
    <row r="112" spans="1:29" s="429" customFormat="1" ht="15" thickTop="1">
      <c r="A112" s="549"/>
      <c r="B112" s="494" t="s">
        <v>2379</v>
      </c>
      <c r="C112" s="510"/>
      <c r="D112" s="510"/>
      <c r="E112" s="510"/>
      <c r="F112" s="510"/>
      <c r="G112" s="510"/>
      <c r="H112" s="539"/>
      <c r="I112" s="539"/>
      <c r="J112" s="539"/>
      <c r="K112" s="540"/>
      <c r="L112" s="541"/>
      <c r="M112" s="542"/>
      <c r="N112" s="2949"/>
      <c r="O112" s="2949"/>
      <c r="P112" s="2939"/>
      <c r="Q112" s="2940"/>
      <c r="R112" s="2941"/>
      <c r="S112" s="2941"/>
      <c r="T112" s="2941"/>
      <c r="U112" s="2941"/>
      <c r="V112" s="2941"/>
      <c r="W112" s="2941"/>
      <c r="X112" s="2941"/>
      <c r="Y112" s="2941"/>
      <c r="Z112" s="2941"/>
      <c r="AA112" s="2941"/>
      <c r="AB112" s="2941"/>
      <c r="AC112" s="294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5"/>
      <c r="B114" s="494" t="s">
        <v>2443</v>
      </c>
      <c r="C114" s="510"/>
      <c r="D114" s="510"/>
      <c r="E114" s="539"/>
      <c r="F114" s="539"/>
      <c r="G114" s="539"/>
      <c r="H114" s="539"/>
      <c r="I114" s="539"/>
      <c r="J114" s="539"/>
      <c r="K114" s="540"/>
      <c r="L114" s="541"/>
      <c r="M114" s="542"/>
      <c r="N114" s="2947"/>
      <c r="O114" s="2947"/>
      <c r="P114" s="2938"/>
      <c r="Q114" s="2933"/>
      <c r="R114" s="2919"/>
      <c r="S114" s="2919"/>
      <c r="T114" s="2919"/>
      <c r="U114" s="2919"/>
      <c r="V114" s="2919"/>
      <c r="W114" s="2919"/>
      <c r="X114" s="2919"/>
      <c r="Y114" s="2919"/>
      <c r="Z114" s="2919"/>
      <c r="AA114" s="2919"/>
      <c r="AB114" s="2919"/>
      <c r="AC114" s="291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5"/>
      <c r="B116" s="494" t="s">
        <v>2444</v>
      </c>
      <c r="C116" s="510"/>
      <c r="D116" s="510"/>
      <c r="E116" s="510"/>
      <c r="F116" s="510"/>
      <c r="G116" s="510"/>
      <c r="H116" s="539"/>
      <c r="I116" s="539"/>
      <c r="J116" s="539"/>
      <c r="K116" s="540"/>
      <c r="L116" s="541"/>
      <c r="M116" s="542"/>
      <c r="N116" s="2947"/>
      <c r="O116" s="2947"/>
      <c r="P116" s="2938"/>
      <c r="Q116" s="2933"/>
      <c r="R116" s="2919"/>
      <c r="S116" s="2919"/>
      <c r="T116" s="2919"/>
      <c r="U116" s="2919"/>
      <c r="V116" s="2919"/>
      <c r="W116" s="2919"/>
      <c r="X116" s="2919"/>
      <c r="Y116" s="2919"/>
      <c r="Z116" s="2919"/>
      <c r="AA116" s="2919"/>
      <c r="AB116" s="2919"/>
      <c r="AC116" s="291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8"/>
      <c r="O117" s="2948"/>
      <c r="P117" s="2938"/>
      <c r="Q117" s="2933"/>
      <c r="R117" s="2919"/>
      <c r="S117" s="2919"/>
      <c r="T117" s="2919"/>
      <c r="U117" s="2919"/>
      <c r="V117" s="2919"/>
      <c r="W117" s="2919"/>
      <c r="X117" s="2919"/>
      <c r="Y117" s="2919"/>
      <c r="Z117" s="2919"/>
      <c r="AA117" s="2919"/>
      <c r="AB117" s="2919"/>
      <c r="AC117" s="2919"/>
    </row>
    <row r="118" spans="1:29" ht="15" thickTop="1">
      <c r="A118" s="555"/>
      <c r="B118" s="494" t="s">
        <v>2445</v>
      </c>
      <c r="C118" s="582"/>
      <c r="D118" s="582"/>
      <c r="E118" s="582"/>
      <c r="F118" s="582"/>
      <c r="G118" s="582"/>
      <c r="H118" s="511"/>
      <c r="I118" s="511"/>
      <c r="J118" s="511"/>
      <c r="K118" s="511"/>
      <c r="L118" s="512"/>
      <c r="M118" s="513"/>
      <c r="N118" s="2947"/>
      <c r="O118" s="2947"/>
      <c r="P118" s="2938"/>
      <c r="Q118" s="2933"/>
      <c r="R118" s="2919"/>
      <c r="S118" s="2919"/>
      <c r="T118" s="2919"/>
      <c r="U118" s="2919"/>
      <c r="V118" s="2919"/>
      <c r="W118" s="2919"/>
      <c r="X118" s="2919"/>
      <c r="Y118" s="2919"/>
      <c r="Z118" s="2919"/>
      <c r="AA118" s="2919"/>
      <c r="AB118" s="2919"/>
      <c r="AC118" s="2919"/>
    </row>
    <row r="119" spans="1:29" ht="15.75" thickBot="1">
      <c r="A119" s="490"/>
      <c r="B119" s="499"/>
      <c r="C119" s="516"/>
      <c r="D119" s="492"/>
      <c r="E119" s="492"/>
      <c r="F119" s="492"/>
      <c r="G119" s="492"/>
      <c r="H119" s="492"/>
      <c r="I119" s="492"/>
      <c r="J119" s="492"/>
      <c r="K119" s="492"/>
      <c r="L119" s="492"/>
      <c r="M119" s="493"/>
      <c r="N119" s="2948"/>
      <c r="O119" s="2948"/>
      <c r="P119" s="2938"/>
      <c r="Q119" s="2933"/>
      <c r="R119" s="2919"/>
      <c r="S119" s="2919"/>
      <c r="T119" s="2919"/>
      <c r="U119" s="2919"/>
      <c r="V119" s="2919"/>
      <c r="W119" s="2919"/>
      <c r="X119" s="2919"/>
      <c r="Y119" s="2919"/>
      <c r="Z119" s="2919"/>
      <c r="AA119" s="2919"/>
      <c r="AB119" s="2919"/>
      <c r="AC119" s="2919"/>
    </row>
    <row r="120" spans="1:29" s="429" customFormat="1" ht="15" thickTop="1">
      <c r="A120" s="549"/>
      <c r="B120" s="494" t="s">
        <v>2446</v>
      </c>
      <c r="C120" s="539"/>
      <c r="D120" s="539"/>
      <c r="E120" s="539"/>
      <c r="F120" s="539"/>
      <c r="G120" s="511"/>
      <c r="H120" s="511"/>
      <c r="I120" s="511"/>
      <c r="J120" s="511"/>
      <c r="K120" s="511"/>
      <c r="L120" s="512"/>
      <c r="M120" s="513"/>
      <c r="N120" s="2949"/>
      <c r="O120" s="2949"/>
      <c r="P120" s="2939"/>
      <c r="Q120" s="2940"/>
      <c r="R120" s="2941"/>
      <c r="S120" s="2941"/>
      <c r="T120" s="2941"/>
      <c r="U120" s="2941"/>
      <c r="V120" s="2941"/>
      <c r="W120" s="2941"/>
      <c r="X120" s="2941"/>
      <c r="Y120" s="2941"/>
      <c r="Z120" s="2941"/>
      <c r="AA120" s="2941"/>
      <c r="AB120" s="2941"/>
      <c r="AC120" s="294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5"/>
      <c r="B122" s="494" t="s">
        <v>2381</v>
      </c>
      <c r="C122" s="510"/>
      <c r="D122" s="510"/>
      <c r="E122" s="510"/>
      <c r="F122" s="539"/>
      <c r="G122" s="539"/>
      <c r="H122" s="539"/>
      <c r="I122" s="539"/>
      <c r="J122" s="539"/>
      <c r="K122" s="540"/>
      <c r="L122" s="541"/>
      <c r="M122" s="542"/>
      <c r="N122" s="2947"/>
      <c r="O122" s="2947"/>
      <c r="P122" s="2938"/>
      <c r="Q122" s="2933"/>
      <c r="R122" s="2919"/>
      <c r="S122" s="2919"/>
      <c r="T122" s="2919"/>
      <c r="U122" s="2919"/>
      <c r="V122" s="2919"/>
      <c r="W122" s="2919"/>
      <c r="X122" s="2919"/>
      <c r="Y122" s="2919"/>
      <c r="Z122" s="2919"/>
      <c r="AA122" s="2919"/>
      <c r="AB122" s="2919"/>
      <c r="AC122" s="291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7"/>
      <c r="O124" s="2947"/>
      <c r="P124" s="2939"/>
      <c r="Q124" s="2933"/>
      <c r="R124" s="2919"/>
      <c r="S124" s="2919"/>
      <c r="T124" s="2919"/>
      <c r="U124" s="2919"/>
      <c r="V124" s="2919"/>
      <c r="W124" s="2919"/>
      <c r="X124" s="2919"/>
      <c r="Y124" s="2919"/>
      <c r="Z124" s="2919"/>
      <c r="AA124" s="2919"/>
      <c r="AB124" s="2919"/>
      <c r="AC124" s="291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8"/>
      <c r="O125" s="2948"/>
      <c r="P125" s="2938"/>
      <c r="Q125" s="2933"/>
      <c r="R125" s="2919"/>
      <c r="S125" s="2919"/>
      <c r="T125" s="2919"/>
      <c r="U125" s="2919"/>
      <c r="V125" s="2919"/>
      <c r="W125" s="2919"/>
      <c r="X125" s="2919"/>
      <c r="Y125" s="2919"/>
      <c r="Z125" s="2919"/>
      <c r="AA125" s="2919"/>
      <c r="AB125" s="2919"/>
      <c r="AC125" s="2919"/>
    </row>
    <row r="126" spans="1:29" s="429" customFormat="1" ht="15" thickTop="1">
      <c r="A126" s="549"/>
      <c r="B126" s="494">
        <f>B44</f>
        <v>111</v>
      </c>
      <c r="C126" s="510"/>
      <c r="D126" s="510"/>
      <c r="E126" s="510"/>
      <c r="F126" s="510"/>
      <c r="G126" s="510"/>
      <c r="H126" s="511"/>
      <c r="I126" s="511"/>
      <c r="J126" s="511"/>
      <c r="K126" s="511"/>
      <c r="L126" s="512"/>
      <c r="M126" s="513"/>
      <c r="N126" s="2949"/>
      <c r="O126" s="2949"/>
      <c r="P126" s="2939"/>
      <c r="Q126" s="2940"/>
      <c r="R126" s="2941"/>
      <c r="S126" s="2941"/>
      <c r="T126" s="2941"/>
      <c r="U126" s="2941"/>
      <c r="V126" s="2941"/>
      <c r="W126" s="2941"/>
      <c r="X126" s="2941"/>
      <c r="Y126" s="2941"/>
      <c r="Z126" s="2941"/>
      <c r="AA126" s="2941"/>
      <c r="AB126" s="2941"/>
      <c r="AC126" s="2941"/>
    </row>
    <row r="127" spans="1:29" s="429" customFormat="1" ht="15.75" thickBot="1">
      <c r="A127" s="509"/>
      <c r="B127" s="499"/>
      <c r="C127" s="516"/>
      <c r="D127" s="492"/>
      <c r="E127" s="492"/>
      <c r="F127" s="492"/>
      <c r="G127" s="516"/>
      <c r="H127" s="518"/>
      <c r="I127" s="518"/>
      <c r="J127" s="518"/>
      <c r="K127" s="518"/>
      <c r="L127" s="518"/>
      <c r="M127" s="519"/>
      <c r="N127" s="2949"/>
      <c r="O127" s="2949"/>
      <c r="P127" s="2939"/>
      <c r="Q127" s="2940"/>
      <c r="R127" s="2941"/>
      <c r="S127" s="2941"/>
      <c r="T127" s="2941"/>
      <c r="U127" s="2941"/>
      <c r="V127" s="2941"/>
      <c r="W127" s="2941"/>
      <c r="X127" s="2941"/>
      <c r="Y127" s="2941"/>
      <c r="Z127" s="2941"/>
      <c r="AA127" s="2941"/>
      <c r="AB127" s="2941"/>
      <c r="AC127" s="2941"/>
    </row>
    <row r="128" spans="1:29" ht="15" thickTop="1">
      <c r="A128" s="555"/>
      <c r="B128" s="494">
        <f>B45</f>
        <v>111</v>
      </c>
      <c r="C128" s="510"/>
      <c r="D128" s="510"/>
      <c r="E128" s="510"/>
      <c r="F128" s="510"/>
      <c r="G128" s="539"/>
      <c r="H128" s="539"/>
      <c r="I128" s="539"/>
      <c r="J128" s="539"/>
      <c r="K128" s="540"/>
      <c r="L128" s="541"/>
      <c r="M128" s="542"/>
      <c r="N128" s="2947"/>
      <c r="O128" s="2947"/>
      <c r="P128" s="2938"/>
      <c r="Q128" s="2933"/>
      <c r="R128" s="2919"/>
      <c r="S128" s="2919"/>
      <c r="T128" s="2919"/>
      <c r="U128" s="2919"/>
      <c r="V128" s="2919"/>
      <c r="W128" s="2919"/>
      <c r="X128" s="2919"/>
      <c r="Y128" s="2919"/>
      <c r="Z128" s="2919"/>
      <c r="AA128" s="2919"/>
      <c r="AB128" s="2919"/>
      <c r="AC128" s="2919"/>
    </row>
    <row r="129" spans="1:29" ht="15.75" thickBot="1">
      <c r="A129" s="490"/>
      <c r="B129" s="499"/>
      <c r="C129" s="516"/>
      <c r="D129" s="492"/>
      <c r="E129" s="492"/>
      <c r="F129" s="492"/>
      <c r="G129" s="492"/>
      <c r="H129" s="492"/>
      <c r="I129" s="492"/>
      <c r="J129" s="492"/>
      <c r="K129" s="492"/>
      <c r="L129" s="492"/>
      <c r="M129" s="493"/>
      <c r="N129" s="2948"/>
      <c r="O129" s="2948"/>
      <c r="P129" s="2938"/>
      <c r="Q129" s="2933"/>
      <c r="R129" s="2919"/>
      <c r="S129" s="2919"/>
      <c r="T129" s="2919"/>
      <c r="U129" s="2919"/>
      <c r="V129" s="2919"/>
      <c r="W129" s="2919"/>
      <c r="X129" s="2919"/>
      <c r="Y129" s="2919"/>
      <c r="Z129" s="2919"/>
      <c r="AA129" s="2919"/>
      <c r="AB129" s="2919"/>
      <c r="AC129" s="2919"/>
    </row>
    <row r="130" spans="1:29" ht="15" thickTop="1">
      <c r="A130" s="555"/>
      <c r="B130" s="502">
        <f>B46</f>
        <v>111</v>
      </c>
      <c r="C130" s="510"/>
      <c r="D130" s="510"/>
      <c r="E130" s="510"/>
      <c r="F130" s="510"/>
      <c r="G130" s="543"/>
      <c r="H130" s="543"/>
      <c r="I130" s="543"/>
      <c r="J130" s="543"/>
      <c r="K130" s="479"/>
      <c r="L130" s="480"/>
      <c r="M130" s="546"/>
      <c r="N130" s="2947"/>
      <c r="O130" s="2947"/>
      <c r="P130" s="2938"/>
      <c r="Q130" s="2933"/>
      <c r="R130" s="2919"/>
      <c r="S130" s="2919"/>
      <c r="T130" s="2919"/>
      <c r="U130" s="2919"/>
      <c r="V130" s="2919"/>
      <c r="W130" s="2919"/>
      <c r="X130" s="2919"/>
      <c r="Y130" s="2919"/>
      <c r="Z130" s="2919"/>
      <c r="AA130" s="2919"/>
      <c r="AB130" s="2919"/>
      <c r="AC130" s="2919"/>
    </row>
    <row r="131" spans="1:29" ht="15.75" thickBot="1">
      <c r="A131" s="2080"/>
      <c r="B131" s="525"/>
      <c r="C131" s="526"/>
      <c r="D131" s="526"/>
      <c r="E131" s="526"/>
      <c r="F131" s="526"/>
      <c r="G131" s="547"/>
      <c r="H131" s="547"/>
      <c r="I131" s="547"/>
      <c r="J131" s="547"/>
      <c r="K131" s="547"/>
      <c r="L131" s="547"/>
      <c r="M131" s="548"/>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109" t="s">
        <v>2447</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IF(C2="——",ROUND(C50*D3/10000,0),ROUND(C50*D3/10000,0)-D2)</f>
        <v>#DIV/0!</v>
      </c>
      <c r="C2" s="2033"/>
      <c r="D2" s="1243" t="e">
        <f ca="1">SUMIF(INDIRECT("'"&amp;F2&amp;"'"&amp;"!A:A"),"承租人权益价值",INDIRECT("'"&amp;F2&amp;"'"&amp;"!c:c"))</f>
        <v>#REF!</v>
      </c>
      <c r="E2" s="2034" t="s">
        <v>2089</v>
      </c>
      <c r="F2" s="2035"/>
      <c r="G2" s="1037"/>
      <c r="H2" s="1037"/>
      <c r="I2" s="1037"/>
      <c r="J2" s="1037"/>
      <c r="K2" s="1037"/>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 ca="1">IF(C2="——",C50,ROUND(B2*10000/D3,0))</f>
        <v>#DIV/0!</v>
      </c>
      <c r="C3" s="359" t="s">
        <v>2405</v>
      </c>
      <c r="D3" s="358">
        <f>IF(D1="",'数据-汇总表'!E3,SUMIF('数据-汇总表'!$C19:$C33,D1,'数据-汇总表'!$E19:$E33))</f>
        <v>63761.02</v>
      </c>
      <c r="E3" s="2106"/>
      <c r="F3" s="1038"/>
      <c r="G3" s="1037"/>
      <c r="H3" s="1037"/>
      <c r="I3" s="1037"/>
      <c r="J3" s="1037"/>
      <c r="K3" s="1039"/>
      <c r="L3" s="2928"/>
      <c r="M3" s="2929"/>
      <c r="N3" s="2929"/>
      <c r="O3" s="2929"/>
      <c r="P3" s="706"/>
      <c r="Q3" s="706"/>
      <c r="R3" s="706"/>
      <c r="S3" s="706"/>
      <c r="T3" s="706"/>
      <c r="U3" s="706"/>
      <c r="V3" s="706"/>
      <c r="W3" s="706"/>
      <c r="X3" s="706"/>
      <c r="Y3" s="706"/>
      <c r="Z3" s="706"/>
      <c r="AA3" s="706"/>
      <c r="AB3" s="706"/>
      <c r="AC3" s="707"/>
    </row>
    <row r="4" spans="1:29" ht="15">
      <c r="A4" s="360" t="s">
        <v>2406</v>
      </c>
      <c r="B4" s="361"/>
      <c r="C4" s="3562" t="s">
        <v>2407</v>
      </c>
      <c r="D4" s="3563"/>
      <c r="E4" s="3564" t="s">
        <v>2408</v>
      </c>
      <c r="F4" s="3565"/>
      <c r="G4" s="3562" t="s">
        <v>2409</v>
      </c>
      <c r="H4" s="3563"/>
      <c r="I4" s="3562" t="s">
        <v>2410</v>
      </c>
      <c r="J4" s="3563"/>
      <c r="K4" s="566" t="s">
        <v>2411</v>
      </c>
      <c r="L4" s="2909"/>
      <c r="M4" s="2910"/>
      <c r="N4" s="2910"/>
      <c r="O4" s="2910"/>
      <c r="P4" s="3596" t="s">
        <v>2412</v>
      </c>
      <c r="Q4" s="3597"/>
      <c r="R4" s="3600" t="s">
        <v>2408</v>
      </c>
      <c r="S4" s="3601"/>
      <c r="T4" s="3600" t="s">
        <v>2409</v>
      </c>
      <c r="U4" s="3601"/>
      <c r="V4" s="3602" t="s">
        <v>2410</v>
      </c>
      <c r="W4" s="3602"/>
      <c r="X4" s="2110"/>
      <c r="Y4" s="3600" t="s">
        <v>2412</v>
      </c>
      <c r="Z4" s="3601"/>
      <c r="AA4" s="3604" t="s">
        <v>2408</v>
      </c>
      <c r="AB4" s="3604" t="s">
        <v>2409</v>
      </c>
      <c r="AC4" s="3593" t="s">
        <v>2410</v>
      </c>
    </row>
    <row r="5" spans="1:29" ht="15">
      <c r="A5" s="363"/>
      <c r="B5" s="364"/>
      <c r="C5" s="3581" t="s">
        <v>2303</v>
      </c>
      <c r="D5" s="3582"/>
      <c r="E5" s="3588" t="s">
        <v>2304</v>
      </c>
      <c r="F5" s="3589"/>
      <c r="G5" s="3581" t="s">
        <v>2305</v>
      </c>
      <c r="H5" s="3582"/>
      <c r="I5" s="3581" t="s">
        <v>2306</v>
      </c>
      <c r="J5" s="3582"/>
      <c r="K5" s="566"/>
      <c r="L5" s="2909"/>
      <c r="M5" s="2910"/>
      <c r="N5" s="2910"/>
      <c r="O5" s="2910"/>
      <c r="P5" s="3598"/>
      <c r="Q5" s="3569"/>
      <c r="R5" s="3574"/>
      <c r="S5" s="3575"/>
      <c r="T5" s="3574"/>
      <c r="U5" s="3575"/>
      <c r="V5" s="3578"/>
      <c r="W5" s="3578"/>
      <c r="X5" s="1505"/>
      <c r="Y5" s="3574"/>
      <c r="Z5" s="3575"/>
      <c r="AA5" s="3560"/>
      <c r="AB5" s="3560"/>
      <c r="AC5" s="3594"/>
    </row>
    <row r="6" spans="1:29" ht="15.75" thickBot="1">
      <c r="A6" s="365"/>
      <c r="B6" s="366"/>
      <c r="C6" s="3579" t="s">
        <v>2307</v>
      </c>
      <c r="D6" s="3580"/>
      <c r="E6" s="3586" t="s">
        <v>2307</v>
      </c>
      <c r="F6" s="3587"/>
      <c r="G6" s="3579" t="s">
        <v>2307</v>
      </c>
      <c r="H6" s="3580"/>
      <c r="I6" s="3579" t="s">
        <v>2307</v>
      </c>
      <c r="J6" s="3580"/>
      <c r="K6" s="566" t="s">
        <v>2308</v>
      </c>
      <c r="L6" s="2909"/>
      <c r="M6" s="2910"/>
      <c r="N6" s="2910"/>
      <c r="O6" s="2910"/>
      <c r="P6" s="3599"/>
      <c r="Q6" s="3571"/>
      <c r="R6" s="3574"/>
      <c r="S6" s="3575"/>
      <c r="T6" s="3576"/>
      <c r="U6" s="3577"/>
      <c r="V6" s="3578"/>
      <c r="W6" s="3578"/>
      <c r="X6" s="1505"/>
      <c r="Y6" s="3576"/>
      <c r="Z6" s="3577"/>
      <c r="AA6" s="3561"/>
      <c r="AB6" s="3561"/>
      <c r="AC6" s="3595"/>
    </row>
    <row r="7" spans="1:29" s="112"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1"/>
      <c r="M7" s="2912"/>
      <c r="N7" s="2912"/>
      <c r="O7" s="2912"/>
      <c r="P7" s="3603" t="s">
        <v>2310</v>
      </c>
      <c r="Q7" s="3585"/>
      <c r="R7" s="708" t="s">
        <v>17</v>
      </c>
      <c r="S7" s="709">
        <f t="shared" ref="S7:S15" si="0">F7</f>
        <v>0</v>
      </c>
      <c r="T7" s="708" t="s">
        <v>17</v>
      </c>
      <c r="U7" s="709">
        <f t="shared" ref="U7:U15" si="1">H7</f>
        <v>0</v>
      </c>
      <c r="V7" s="708" t="s">
        <v>17</v>
      </c>
      <c r="W7" s="709">
        <f t="shared" ref="W7:W15" si="2">J7</f>
        <v>0</v>
      </c>
      <c r="X7" s="710"/>
      <c r="Y7" s="3583" t="s">
        <v>2310</v>
      </c>
      <c r="Z7" s="3584"/>
      <c r="AA7" s="711" t="e">
        <f>D7/F7</f>
        <v>#DIV/0!</v>
      </c>
      <c r="AB7" s="711" t="e">
        <f>D7/H7</f>
        <v>#DIV/0!</v>
      </c>
      <c r="AC7" s="2111"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1"/>
      <c r="M8" s="2912"/>
      <c r="N8" s="2912"/>
      <c r="O8" s="2912"/>
      <c r="P8" s="3603" t="s">
        <v>2313</v>
      </c>
      <c r="Q8" s="3584"/>
      <c r="R8" s="708" t="s">
        <v>17</v>
      </c>
      <c r="S8" s="709">
        <f t="shared" si="0"/>
        <v>0</v>
      </c>
      <c r="T8" s="708" t="s">
        <v>17</v>
      </c>
      <c r="U8" s="709">
        <f t="shared" si="1"/>
        <v>0</v>
      </c>
      <c r="V8" s="708" t="s">
        <v>17</v>
      </c>
      <c r="W8" s="709">
        <f t="shared" si="2"/>
        <v>0</v>
      </c>
      <c r="X8" s="710"/>
      <c r="Y8" s="3583" t="s">
        <v>2313</v>
      </c>
      <c r="Z8" s="3584"/>
      <c r="AA8" s="711" t="e">
        <f t="shared" ref="AA8:AA47" si="3">D8/F8</f>
        <v>#DIV/0!</v>
      </c>
      <c r="AB8" s="711" t="e">
        <f t="shared" ref="AB8:AB47" si="4">D8/H8</f>
        <v>#DIV/0!</v>
      </c>
      <c r="AC8" s="2111" t="e">
        <f t="shared" ref="AC8:AC47" si="5">D8/J8</f>
        <v>#DIV/0!</v>
      </c>
    </row>
    <row r="9" spans="1:29" s="112"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1"/>
      <c r="M9" s="2912"/>
      <c r="N9" s="2912"/>
      <c r="O9" s="2912"/>
      <c r="P9" s="3557" t="s">
        <v>2316</v>
      </c>
      <c r="Q9" s="1493" t="str">
        <f t="shared" ref="Q9:Q15" si="6">B9</f>
        <v>用途</v>
      </c>
      <c r="R9" s="708" t="s">
        <v>17</v>
      </c>
      <c r="S9" s="709">
        <f t="shared" si="0"/>
        <v>100</v>
      </c>
      <c r="T9" s="708" t="s">
        <v>17</v>
      </c>
      <c r="U9" s="709">
        <f t="shared" si="1"/>
        <v>100</v>
      </c>
      <c r="V9" s="708" t="s">
        <v>17</v>
      </c>
      <c r="W9" s="709">
        <f t="shared" si="2"/>
        <v>100</v>
      </c>
      <c r="X9" s="710"/>
      <c r="Y9" s="3558" t="s">
        <v>2317</v>
      </c>
      <c r="Z9" s="55" t="str">
        <f t="shared" ref="Z9:Z15" si="7">Q9</f>
        <v>用途</v>
      </c>
      <c r="AA9" s="711">
        <f t="shared" si="3"/>
        <v>1</v>
      </c>
      <c r="AB9" s="711">
        <f t="shared" si="4"/>
        <v>1</v>
      </c>
      <c r="AC9" s="2111">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3"/>
      <c r="M10" s="2914"/>
      <c r="N10" s="2914"/>
      <c r="O10" s="2914"/>
      <c r="P10" s="3557"/>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2111">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5"/>
      <c r="M11" s="2910"/>
      <c r="N11" s="2910"/>
      <c r="O11" s="2910"/>
      <c r="P11" s="3557"/>
      <c r="Q11" s="1493" t="str">
        <f t="shared" si="6"/>
        <v>容积率</v>
      </c>
      <c r="R11" s="708" t="s">
        <v>17</v>
      </c>
      <c r="S11" s="709" t="e">
        <f t="shared" si="0"/>
        <v>#N/A</v>
      </c>
      <c r="T11" s="708" t="s">
        <v>17</v>
      </c>
      <c r="U11" s="709" t="e">
        <f t="shared" si="1"/>
        <v>#N/A</v>
      </c>
      <c r="V11" s="708" t="s">
        <v>17</v>
      </c>
      <c r="W11" s="709" t="e">
        <f t="shared" si="2"/>
        <v>#N/A</v>
      </c>
      <c r="X11" s="710"/>
      <c r="Y11" s="3558"/>
      <c r="Z11" s="55" t="str">
        <f t="shared" si="7"/>
        <v>容积率</v>
      </c>
      <c r="AA11" s="711" t="e">
        <f t="shared" si="3"/>
        <v>#N/A</v>
      </c>
      <c r="AB11" s="711" t="e">
        <f t="shared" si="4"/>
        <v>#N/A</v>
      </c>
      <c r="AC11" s="2111" t="e">
        <f t="shared" si="5"/>
        <v>#N/A</v>
      </c>
    </row>
    <row r="12" spans="1:29" s="112" customFormat="1" ht="15">
      <c r="A12" s="389"/>
      <c r="B12" s="2045">
        <v>111</v>
      </c>
      <c r="C12" s="390"/>
      <c r="D12" s="391">
        <v>100</v>
      </c>
      <c r="E12" s="390"/>
      <c r="F12" s="131">
        <f>SUMIF(71:71,E12,72:72)-SUMIF(71:71,C12,72:72)+100</f>
        <v>100</v>
      </c>
      <c r="G12" s="2112"/>
      <c r="H12" s="131">
        <f>SUMIF(71:71,G12,72:72)-SUMIF(71:71,C12,72:72)+100</f>
        <v>100</v>
      </c>
      <c r="I12" s="390"/>
      <c r="J12" s="131">
        <f>SUMIF(71:71,I12,72:72)-SUMIF(71:71,C12,72:72)+100</f>
        <v>100</v>
      </c>
      <c r="K12" s="569"/>
      <c r="L12" s="2911"/>
      <c r="M12" s="2912"/>
      <c r="N12" s="2912"/>
      <c r="O12" s="2912"/>
      <c r="P12" s="3557"/>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2111">
        <f>D12/J12</f>
        <v>1</v>
      </c>
    </row>
    <row r="13" spans="1:29" ht="15">
      <c r="A13" s="386"/>
      <c r="B13" s="2045">
        <v>111</v>
      </c>
      <c r="C13" s="392"/>
      <c r="D13" s="393">
        <v>100</v>
      </c>
      <c r="E13" s="390"/>
      <c r="F13" s="131">
        <f>SUMIF(73:73,E13,74:74)-SUMIF(73:73,C13,74:74)+100</f>
        <v>100</v>
      </c>
      <c r="G13" s="2112"/>
      <c r="H13" s="393">
        <f>SUMIF(73:73,G13,74:74)-SUMIF(73:73,C13,74:74)+100</f>
        <v>100</v>
      </c>
      <c r="I13" s="390"/>
      <c r="J13" s="393">
        <f>SUMIF(73:73,I13,74:74)-SUMIF(73:73,C13,74:74)+100</f>
        <v>100</v>
      </c>
      <c r="K13" s="569"/>
      <c r="L13" s="2916"/>
      <c r="M13" s="2910"/>
      <c r="N13" s="2910"/>
      <c r="O13" s="2910"/>
      <c r="P13" s="3557"/>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2111">
        <f t="shared" si="5"/>
        <v>1</v>
      </c>
    </row>
    <row r="14" spans="1:29" ht="15.75" thickBot="1">
      <c r="A14" s="394"/>
      <c r="B14" s="2047">
        <v>111</v>
      </c>
      <c r="C14" s="395"/>
      <c r="D14" s="396">
        <v>100</v>
      </c>
      <c r="E14" s="583"/>
      <c r="F14" s="396">
        <f>SUMIF(75:75,E14,76:76)-SUMIF(75:75,C14,76:76)+100</f>
        <v>100</v>
      </c>
      <c r="G14" s="2112"/>
      <c r="H14" s="396">
        <f>SUMIF(75:75,G14,76:76)-SUMIF(75:75,C14,76:76)+100</f>
        <v>100</v>
      </c>
      <c r="I14" s="390"/>
      <c r="J14" s="396">
        <f>SUMIF(75:75,I14,76:76)-SUMIF(75:75,C14,76:76)+100</f>
        <v>100</v>
      </c>
      <c r="K14" s="569"/>
      <c r="L14" s="2916"/>
      <c r="M14" s="2910"/>
      <c r="N14" s="2910"/>
      <c r="O14" s="2910"/>
      <c r="P14" s="3557"/>
      <c r="Q14" s="1493">
        <f t="shared" si="6"/>
        <v>111</v>
      </c>
      <c r="R14" s="708" t="s">
        <v>17</v>
      </c>
      <c r="S14" s="709">
        <f t="shared" si="0"/>
        <v>100</v>
      </c>
      <c r="T14" s="708" t="s">
        <v>17</v>
      </c>
      <c r="U14" s="709">
        <f t="shared" si="1"/>
        <v>100</v>
      </c>
      <c r="V14" s="708" t="s">
        <v>17</v>
      </c>
      <c r="W14" s="709">
        <f t="shared" si="2"/>
        <v>100</v>
      </c>
      <c r="X14" s="710"/>
      <c r="Y14" s="3558"/>
      <c r="Z14" s="55">
        <f t="shared" si="7"/>
        <v>111</v>
      </c>
      <c r="AA14" s="711">
        <f t="shared" si="3"/>
        <v>1</v>
      </c>
      <c r="AB14" s="711">
        <f t="shared" si="4"/>
        <v>1</v>
      </c>
      <c r="AC14" s="2111">
        <f t="shared" si="5"/>
        <v>1</v>
      </c>
    </row>
    <row r="15" spans="1:29" ht="71.25">
      <c r="A15" s="398" t="s">
        <v>2320</v>
      </c>
      <c r="B15" s="584" t="s">
        <v>2448</v>
      </c>
      <c r="C15" s="211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6"/>
      <c r="M15" s="2910"/>
      <c r="N15" s="2910"/>
      <c r="O15" s="2910"/>
      <c r="P15" s="3555" t="s">
        <v>2321</v>
      </c>
      <c r="Q15" s="1502" t="str">
        <f t="shared" si="6"/>
        <v>办公集聚程度</v>
      </c>
      <c r="R15" s="712" t="s">
        <v>17</v>
      </c>
      <c r="S15" s="713">
        <f t="shared" si="0"/>
        <v>100</v>
      </c>
      <c r="T15" s="712" t="s">
        <v>17</v>
      </c>
      <c r="U15" s="713">
        <f t="shared" si="1"/>
        <v>100</v>
      </c>
      <c r="V15" s="712" t="s">
        <v>17</v>
      </c>
      <c r="W15" s="713">
        <f t="shared" si="2"/>
        <v>100</v>
      </c>
      <c r="X15" s="1505"/>
      <c r="Y15" s="3548" t="s">
        <v>2321</v>
      </c>
      <c r="Z15" s="1506" t="str">
        <f t="shared" si="7"/>
        <v>办公集聚程度</v>
      </c>
      <c r="AA15" s="1503">
        <f t="shared" si="3"/>
        <v>1</v>
      </c>
      <c r="AB15" s="1503">
        <f t="shared" si="4"/>
        <v>1</v>
      </c>
      <c r="AC15" s="2114">
        <f t="shared" si="5"/>
        <v>1</v>
      </c>
    </row>
    <row r="16" spans="1:29" ht="15">
      <c r="A16" s="386"/>
      <c r="B16" s="585"/>
      <c r="C16" s="2056"/>
      <c r="D16" s="406"/>
      <c r="E16" s="405"/>
      <c r="F16" s="406"/>
      <c r="G16" s="2056"/>
      <c r="H16" s="408"/>
      <c r="I16" s="405"/>
      <c r="J16" s="406"/>
      <c r="K16" s="571"/>
      <c r="L16" s="2916"/>
      <c r="M16" s="2910"/>
      <c r="N16" s="2910"/>
      <c r="O16" s="2910"/>
      <c r="P16" s="3556"/>
      <c r="Q16" s="1502"/>
      <c r="R16" s="712"/>
      <c r="S16" s="713"/>
      <c r="T16" s="712"/>
      <c r="U16" s="713"/>
      <c r="V16" s="712"/>
      <c r="W16" s="713"/>
      <c r="X16" s="1505"/>
      <c r="Y16" s="3549"/>
      <c r="Z16" s="1506"/>
      <c r="AA16" s="1503">
        <v>1</v>
      </c>
      <c r="AB16" s="1503">
        <v>1</v>
      </c>
      <c r="AC16" s="2114">
        <v>1</v>
      </c>
    </row>
    <row r="17" spans="1:29" ht="71.25">
      <c r="A17" s="386"/>
      <c r="B17" s="586" t="s">
        <v>1885</v>
      </c>
      <c r="C17" s="211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6"/>
      <c r="M17" s="2910"/>
      <c r="N17" s="2910"/>
      <c r="O17" s="2910"/>
      <c r="P17" s="3556"/>
      <c r="Q17" s="1502" t="str">
        <f>B17</f>
        <v>交通便捷度</v>
      </c>
      <c r="R17" s="712" t="s">
        <v>17</v>
      </c>
      <c r="S17" s="713">
        <f>F17</f>
        <v>100</v>
      </c>
      <c r="T17" s="712" t="s">
        <v>17</v>
      </c>
      <c r="U17" s="713">
        <f>H17</f>
        <v>100</v>
      </c>
      <c r="V17" s="712" t="s">
        <v>17</v>
      </c>
      <c r="W17" s="713">
        <f>J17</f>
        <v>100</v>
      </c>
      <c r="X17" s="1505"/>
      <c r="Y17" s="3549"/>
      <c r="Z17" s="1506" t="str">
        <f>Q17</f>
        <v>交通便捷度</v>
      </c>
      <c r="AA17" s="1503">
        <f t="shared" si="3"/>
        <v>1</v>
      </c>
      <c r="AB17" s="1503">
        <f t="shared" si="4"/>
        <v>1</v>
      </c>
      <c r="AC17" s="2114">
        <f t="shared" si="5"/>
        <v>1</v>
      </c>
    </row>
    <row r="18" spans="1:29" ht="15">
      <c r="A18" s="386"/>
      <c r="B18" s="587"/>
      <c r="C18" s="2116"/>
      <c r="D18" s="408"/>
      <c r="E18" s="2054"/>
      <c r="F18" s="408"/>
      <c r="G18" s="2055"/>
      <c r="H18" s="406"/>
      <c r="I18" s="2055"/>
      <c r="J18" s="406"/>
      <c r="K18" s="571"/>
      <c r="L18" s="2916"/>
      <c r="M18" s="2910"/>
      <c r="N18" s="2910"/>
      <c r="O18" s="2910"/>
      <c r="P18" s="3556"/>
      <c r="Q18" s="1502"/>
      <c r="R18" s="712"/>
      <c r="S18" s="713"/>
      <c r="T18" s="712"/>
      <c r="U18" s="713"/>
      <c r="V18" s="712"/>
      <c r="W18" s="713"/>
      <c r="X18" s="1505"/>
      <c r="Y18" s="3549"/>
      <c r="Z18" s="1506"/>
      <c r="AA18" s="1503">
        <v>1</v>
      </c>
      <c r="AB18" s="1503">
        <v>1</v>
      </c>
      <c r="AC18" s="2114">
        <v>1</v>
      </c>
    </row>
    <row r="19" spans="1:29" ht="42.75">
      <c r="A19" s="386"/>
      <c r="B19" s="586" t="s">
        <v>2449</v>
      </c>
      <c r="C19" s="211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6"/>
      <c r="M19" s="2910"/>
      <c r="N19" s="2910"/>
      <c r="O19" s="2910"/>
      <c r="P19" s="3556"/>
      <c r="Q19" s="1502" t="str">
        <f>B19</f>
        <v>公共配套设施</v>
      </c>
      <c r="R19" s="712" t="s">
        <v>17</v>
      </c>
      <c r="S19" s="713">
        <f>F19</f>
        <v>100</v>
      </c>
      <c r="T19" s="712" t="s">
        <v>17</v>
      </c>
      <c r="U19" s="713">
        <f>H19</f>
        <v>100</v>
      </c>
      <c r="V19" s="712" t="s">
        <v>17</v>
      </c>
      <c r="W19" s="713">
        <f>J19</f>
        <v>100</v>
      </c>
      <c r="X19" s="1505"/>
      <c r="Y19" s="3549"/>
      <c r="Z19" s="1506" t="str">
        <f>Q19</f>
        <v>公共配套设施</v>
      </c>
      <c r="AA19" s="1503">
        <f t="shared" si="3"/>
        <v>1</v>
      </c>
      <c r="AB19" s="1503">
        <f t="shared" si="4"/>
        <v>1</v>
      </c>
      <c r="AC19" s="2114">
        <f t="shared" si="5"/>
        <v>1</v>
      </c>
    </row>
    <row r="20" spans="1:29" ht="15">
      <c r="A20" s="386"/>
      <c r="B20" s="587"/>
      <c r="C20" s="2056"/>
      <c r="D20" s="406"/>
      <c r="E20" s="2049"/>
      <c r="F20" s="406"/>
      <c r="G20" s="2050"/>
      <c r="H20" s="406"/>
      <c r="I20" s="2050"/>
      <c r="J20" s="406"/>
      <c r="K20" s="571"/>
      <c r="L20" s="2916"/>
      <c r="M20" s="2910"/>
      <c r="N20" s="2910"/>
      <c r="O20" s="2910"/>
      <c r="P20" s="3556"/>
      <c r="Q20" s="1502"/>
      <c r="R20" s="712"/>
      <c r="S20" s="713"/>
      <c r="T20" s="712"/>
      <c r="U20" s="713"/>
      <c r="V20" s="712"/>
      <c r="W20" s="713"/>
      <c r="X20" s="1505"/>
      <c r="Y20" s="3549"/>
      <c r="Z20" s="1506"/>
      <c r="AA20" s="1503">
        <v>1</v>
      </c>
      <c r="AB20" s="1503">
        <v>1</v>
      </c>
      <c r="AC20" s="2114">
        <v>1</v>
      </c>
    </row>
    <row r="21" spans="1:29" ht="28.5">
      <c r="A21" s="386"/>
      <c r="B21" s="588" t="s">
        <v>2450</v>
      </c>
      <c r="C21" s="211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6"/>
      <c r="M21" s="2910"/>
      <c r="N21" s="2910"/>
      <c r="O21" s="2910"/>
      <c r="P21" s="3556"/>
      <c r="Q21" s="1502" t="str">
        <f>B21</f>
        <v>基础设施水平</v>
      </c>
      <c r="R21" s="712" t="s">
        <v>17</v>
      </c>
      <c r="S21" s="713">
        <f>F21</f>
        <v>100</v>
      </c>
      <c r="T21" s="712" t="s">
        <v>17</v>
      </c>
      <c r="U21" s="713">
        <f>H21</f>
        <v>100</v>
      </c>
      <c r="V21" s="712" t="s">
        <v>17</v>
      </c>
      <c r="W21" s="713">
        <f>J21</f>
        <v>100</v>
      </c>
      <c r="X21" s="1505"/>
      <c r="Y21" s="3549"/>
      <c r="Z21" s="1506" t="str">
        <f>Q21</f>
        <v>基础设施水平</v>
      </c>
      <c r="AA21" s="1503">
        <f t="shared" ref="AA21" si="8">D21/F21</f>
        <v>1</v>
      </c>
      <c r="AB21" s="1503">
        <f t="shared" ref="AB21" si="9">D21/H21</f>
        <v>1</v>
      </c>
      <c r="AC21" s="2114">
        <f t="shared" ref="AC21" si="10">D21/J21</f>
        <v>1</v>
      </c>
    </row>
    <row r="22" spans="1:29" ht="15">
      <c r="A22" s="386"/>
      <c r="B22" s="588"/>
      <c r="C22" s="2116"/>
      <c r="D22" s="406"/>
      <c r="E22" s="405"/>
      <c r="F22" s="406"/>
      <c r="G22" s="2056"/>
      <c r="H22" s="406"/>
      <c r="I22" s="2056"/>
      <c r="J22" s="406"/>
      <c r="K22" s="1260"/>
      <c r="L22" s="2916"/>
      <c r="M22" s="2910"/>
      <c r="N22" s="2910"/>
      <c r="O22" s="2910"/>
      <c r="P22" s="3556"/>
      <c r="Q22" s="1502"/>
      <c r="R22" s="712"/>
      <c r="S22" s="713"/>
      <c r="T22" s="712"/>
      <c r="U22" s="713"/>
      <c r="V22" s="712"/>
      <c r="W22" s="713"/>
      <c r="X22" s="1505"/>
      <c r="Y22" s="3549"/>
      <c r="Z22" s="1506"/>
      <c r="AA22" s="1503">
        <v>1</v>
      </c>
      <c r="AB22" s="1503">
        <v>1</v>
      </c>
      <c r="AC22" s="2114">
        <v>1</v>
      </c>
    </row>
    <row r="23" spans="1:29" ht="42.75">
      <c r="A23" s="386"/>
      <c r="B23" s="586" t="s">
        <v>2451</v>
      </c>
      <c r="C23" s="211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6"/>
      <c r="M23" s="2910"/>
      <c r="N23" s="2910"/>
      <c r="O23" s="2910"/>
      <c r="P23" s="3556"/>
      <c r="Q23" s="1502" t="str">
        <f>B23</f>
        <v>环境质量</v>
      </c>
      <c r="R23" s="712" t="s">
        <v>17</v>
      </c>
      <c r="S23" s="713">
        <f>F23</f>
        <v>100</v>
      </c>
      <c r="T23" s="712" t="s">
        <v>17</v>
      </c>
      <c r="U23" s="713">
        <f>H23</f>
        <v>100</v>
      </c>
      <c r="V23" s="712" t="s">
        <v>17</v>
      </c>
      <c r="W23" s="713">
        <f>J23</f>
        <v>100</v>
      </c>
      <c r="X23" s="1505"/>
      <c r="Y23" s="3549"/>
      <c r="Z23" s="1506" t="str">
        <f>Q23</f>
        <v>环境质量</v>
      </c>
      <c r="AA23" s="1503">
        <f t="shared" si="3"/>
        <v>1</v>
      </c>
      <c r="AB23" s="1503">
        <f t="shared" si="4"/>
        <v>1</v>
      </c>
      <c r="AC23" s="2114">
        <f t="shared" si="5"/>
        <v>1</v>
      </c>
    </row>
    <row r="24" spans="1:29" ht="15">
      <c r="A24" s="386"/>
      <c r="B24" s="588"/>
      <c r="C24" s="2056"/>
      <c r="D24" s="406"/>
      <c r="E24" s="2049"/>
      <c r="F24" s="406"/>
      <c r="G24" s="2050"/>
      <c r="H24" s="406"/>
      <c r="I24" s="2050"/>
      <c r="J24" s="406"/>
      <c r="K24" s="571"/>
      <c r="L24" s="2916"/>
      <c r="M24" s="2910"/>
      <c r="N24" s="2910"/>
      <c r="O24" s="2910"/>
      <c r="P24" s="3556"/>
      <c r="Q24" s="1502"/>
      <c r="R24" s="712"/>
      <c r="S24" s="713"/>
      <c r="T24" s="712"/>
      <c r="U24" s="713"/>
      <c r="V24" s="712"/>
      <c r="W24" s="713"/>
      <c r="X24" s="1505"/>
      <c r="Y24" s="3549"/>
      <c r="Z24" s="1506"/>
      <c r="AA24" s="1503">
        <v>1</v>
      </c>
      <c r="AB24" s="1503">
        <v>1</v>
      </c>
      <c r="AC24" s="2114">
        <v>1</v>
      </c>
    </row>
    <row r="25" spans="1:29" ht="27">
      <c r="A25" s="363"/>
      <c r="B25" s="586" t="s">
        <v>2452</v>
      </c>
      <c r="C25" s="2060"/>
      <c r="D25" s="393">
        <v>100</v>
      </c>
      <c r="E25" s="392"/>
      <c r="F25" s="393">
        <f>SUMIF(87:87,E26,88:88)-SUMIF(87:87,C26,88:88)+100</f>
        <v>100</v>
      </c>
      <c r="G25" s="2060"/>
      <c r="H25" s="393">
        <f>SUMIF(87:87,G26,88:88)-SUMIF(87:87,C26,88:88)+100</f>
        <v>100</v>
      </c>
      <c r="I25" s="392"/>
      <c r="J25" s="393">
        <f>SUMIF(87:87,I26,88:88)-SUMIF(87:87,C26,88:88)+100</f>
        <v>100</v>
      </c>
      <c r="K25" s="570"/>
      <c r="L25" s="2916"/>
      <c r="M25" s="2910"/>
      <c r="N25" s="2910"/>
      <c r="O25" s="2910"/>
      <c r="P25" s="3556"/>
      <c r="Q25" s="1502" t="str">
        <f>B25</f>
        <v>毗邻道路的类型与等级</v>
      </c>
      <c r="R25" s="712" t="s">
        <v>17</v>
      </c>
      <c r="S25" s="713">
        <f>F25</f>
        <v>100</v>
      </c>
      <c r="T25" s="712" t="s">
        <v>17</v>
      </c>
      <c r="U25" s="713">
        <f>H25</f>
        <v>100</v>
      </c>
      <c r="V25" s="712" t="s">
        <v>17</v>
      </c>
      <c r="W25" s="713">
        <f>J25</f>
        <v>100</v>
      </c>
      <c r="X25" s="1505"/>
      <c r="Y25" s="3549"/>
      <c r="Z25" s="1506" t="str">
        <f>Q25</f>
        <v>毗邻道路的类型与等级</v>
      </c>
      <c r="AA25" s="1503">
        <f t="shared" si="3"/>
        <v>1</v>
      </c>
      <c r="AB25" s="1503">
        <f t="shared" si="4"/>
        <v>1</v>
      </c>
      <c r="AC25" s="2114">
        <f t="shared" si="5"/>
        <v>1</v>
      </c>
    </row>
    <row r="26" spans="1:29" ht="15">
      <c r="A26" s="363"/>
      <c r="B26" s="587"/>
      <c r="C26" s="589"/>
      <c r="D26" s="393"/>
      <c r="E26" s="572"/>
      <c r="F26" s="393"/>
      <c r="G26" s="589"/>
      <c r="H26" s="393"/>
      <c r="I26" s="572"/>
      <c r="J26" s="393"/>
      <c r="K26" s="571"/>
      <c r="L26" s="2916"/>
      <c r="M26" s="2910"/>
      <c r="N26" s="2910"/>
      <c r="O26" s="2910"/>
      <c r="P26" s="3556"/>
      <c r="Q26" s="1502"/>
      <c r="R26" s="712"/>
      <c r="S26" s="713"/>
      <c r="T26" s="712"/>
      <c r="U26" s="713"/>
      <c r="V26" s="712"/>
      <c r="W26" s="713"/>
      <c r="X26" s="1505"/>
      <c r="Y26" s="3549"/>
      <c r="Z26" s="1506"/>
      <c r="AA26" s="1503">
        <v>1</v>
      </c>
      <c r="AB26" s="1503">
        <v>1</v>
      </c>
      <c r="AC26" s="2114">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6"/>
      <c r="M27" s="2910"/>
      <c r="N27" s="2910"/>
      <c r="O27" s="2910"/>
      <c r="P27" s="3556"/>
      <c r="Q27" s="1502" t="str">
        <f t="shared" ref="Q27:Q47" si="11">B27</f>
        <v>楼层</v>
      </c>
      <c r="R27" s="712" t="s">
        <v>17</v>
      </c>
      <c r="S27" s="713">
        <f>F27</f>
        <v>100</v>
      </c>
      <c r="T27" s="712" t="s">
        <v>17</v>
      </c>
      <c r="U27" s="713">
        <f>H27</f>
        <v>100</v>
      </c>
      <c r="V27" s="712" t="s">
        <v>17</v>
      </c>
      <c r="W27" s="713">
        <f>J27</f>
        <v>100</v>
      </c>
      <c r="X27" s="1505"/>
      <c r="Y27" s="3549"/>
      <c r="Z27" s="1506" t="str">
        <f>Q27</f>
        <v>楼层</v>
      </c>
      <c r="AA27" s="1503">
        <f t="shared" si="3"/>
        <v>1</v>
      </c>
      <c r="AB27" s="1503">
        <f t="shared" si="4"/>
        <v>1</v>
      </c>
      <c r="AC27" s="2114">
        <f t="shared" si="5"/>
        <v>1</v>
      </c>
    </row>
    <row r="28" spans="1:29" s="112" customFormat="1" ht="15">
      <c r="A28" s="389"/>
      <c r="B28" s="586" t="s">
        <v>2453</v>
      </c>
      <c r="C28" s="2117"/>
      <c r="D28" s="420">
        <v>100</v>
      </c>
      <c r="E28" s="2108"/>
      <c r="F28" s="420">
        <f>SUMIF(91:91,E28,92:92)-SUMIF(91:91,C28,92:92)+100</f>
        <v>100</v>
      </c>
      <c r="G28" s="2117"/>
      <c r="H28" s="420">
        <f>SUMIF(91:91,G28,92:92)-SUMIF(91:91,C28,92:92)+100</f>
        <v>100</v>
      </c>
      <c r="I28" s="2108"/>
      <c r="J28" s="420">
        <f>SUMIF(91:91,I28,92:92)-SUMIF(91:91,C28,92:92)+100</f>
        <v>100</v>
      </c>
      <c r="K28" s="568"/>
      <c r="L28" s="2911"/>
      <c r="M28" s="2912"/>
      <c r="N28" s="2912"/>
      <c r="O28" s="2912"/>
      <c r="P28" s="3556"/>
      <c r="Q28" s="1493" t="str">
        <f t="shared" si="11"/>
        <v>朝向</v>
      </c>
      <c r="R28" s="708" t="s">
        <v>17</v>
      </c>
      <c r="S28" s="709">
        <f>F28</f>
        <v>100</v>
      </c>
      <c r="T28" s="708" t="s">
        <v>17</v>
      </c>
      <c r="U28" s="709">
        <f>H28</f>
        <v>100</v>
      </c>
      <c r="V28" s="708" t="s">
        <v>17</v>
      </c>
      <c r="W28" s="709">
        <f>J28</f>
        <v>100</v>
      </c>
      <c r="X28" s="710"/>
      <c r="Y28" s="3549"/>
      <c r="Z28" s="55" t="str">
        <f>Q28</f>
        <v>朝向</v>
      </c>
      <c r="AA28" s="1503">
        <f>D28/F28</f>
        <v>1</v>
      </c>
      <c r="AB28" s="1503">
        <f>D28/H28</f>
        <v>1</v>
      </c>
      <c r="AC28" s="2114">
        <f>D28/J28</f>
        <v>1</v>
      </c>
    </row>
    <row r="29" spans="1:29" ht="15">
      <c r="A29" s="386"/>
      <c r="B29" s="2118">
        <v>111</v>
      </c>
      <c r="C29" s="2060"/>
      <c r="D29" s="393">
        <v>100</v>
      </c>
      <c r="E29" s="390"/>
      <c r="F29" s="393">
        <f>SUMIF(93:93,E29,94:94)-SUMIF(93:93,C29,94:94)+100</f>
        <v>100</v>
      </c>
      <c r="G29" s="2112"/>
      <c r="H29" s="393">
        <f>SUMIF(93:93,G29,94:94)-SUMIF(93:93,C29,94:94)+100</f>
        <v>100</v>
      </c>
      <c r="I29" s="390"/>
      <c r="J29" s="393">
        <f>SUMIF(93:93,I29,94:94)-SUMIF(93:93,C29,94:94)+100</f>
        <v>100</v>
      </c>
      <c r="K29" s="569"/>
      <c r="L29" s="2916"/>
      <c r="M29" s="2910"/>
      <c r="N29" s="2910"/>
      <c r="O29" s="2910"/>
      <c r="P29" s="3556"/>
      <c r="Q29" s="1502">
        <f t="shared" si="11"/>
        <v>111</v>
      </c>
      <c r="R29" s="712" t="s">
        <v>17</v>
      </c>
      <c r="S29" s="713">
        <f t="shared" ref="S29:S47" si="12">F29</f>
        <v>100</v>
      </c>
      <c r="T29" s="712" t="s">
        <v>17</v>
      </c>
      <c r="U29" s="713">
        <f t="shared" ref="U29:U47" si="13">H29</f>
        <v>100</v>
      </c>
      <c r="V29" s="712" t="s">
        <v>17</v>
      </c>
      <c r="W29" s="713">
        <f t="shared" ref="W29:W47" si="14">J29</f>
        <v>100</v>
      </c>
      <c r="X29" s="1505"/>
      <c r="Y29" s="3549"/>
      <c r="Z29" s="1506">
        <f t="shared" ref="Z29:Z47" si="15">Q29</f>
        <v>111</v>
      </c>
      <c r="AA29" s="1503">
        <f t="shared" si="3"/>
        <v>1</v>
      </c>
      <c r="AB29" s="1503">
        <f t="shared" si="4"/>
        <v>1</v>
      </c>
      <c r="AC29" s="2114">
        <f t="shared" si="5"/>
        <v>1</v>
      </c>
    </row>
    <row r="30" spans="1:29" ht="15">
      <c r="A30" s="386"/>
      <c r="B30" s="2118">
        <v>111</v>
      </c>
      <c r="C30" s="2060"/>
      <c r="D30" s="393">
        <v>100</v>
      </c>
      <c r="E30" s="390"/>
      <c r="F30" s="393">
        <f>SUMIF(95:95,E30,96:96)-SUMIF(95:95,C30,96:96)+100</f>
        <v>100</v>
      </c>
      <c r="G30" s="2112"/>
      <c r="H30" s="393">
        <f>SUMIF(95:95,G30,96:96)-SUMIF(95:95,C30,96:96)+100</f>
        <v>100</v>
      </c>
      <c r="I30" s="390"/>
      <c r="J30" s="393">
        <f>SUMIF(95:95,I30,96:96)-SUMIF(95:95,C30,96:96)+100</f>
        <v>100</v>
      </c>
      <c r="K30" s="569"/>
      <c r="L30" s="2916"/>
      <c r="M30" s="2910"/>
      <c r="N30" s="2910"/>
      <c r="O30" s="2910"/>
      <c r="P30" s="3556"/>
      <c r="Q30" s="1502">
        <f t="shared" si="11"/>
        <v>111</v>
      </c>
      <c r="R30" s="712" t="s">
        <v>17</v>
      </c>
      <c r="S30" s="713">
        <f t="shared" si="12"/>
        <v>100</v>
      </c>
      <c r="T30" s="712" t="s">
        <v>17</v>
      </c>
      <c r="U30" s="713">
        <f t="shared" si="13"/>
        <v>100</v>
      </c>
      <c r="V30" s="712" t="s">
        <v>17</v>
      </c>
      <c r="W30" s="713">
        <f t="shared" si="14"/>
        <v>100</v>
      </c>
      <c r="X30" s="1505"/>
      <c r="Y30" s="3549"/>
      <c r="Z30" s="1506">
        <f t="shared" si="15"/>
        <v>111</v>
      </c>
      <c r="AA30" s="1503">
        <f t="shared" si="3"/>
        <v>1</v>
      </c>
      <c r="AB30" s="1503">
        <f t="shared" si="4"/>
        <v>1</v>
      </c>
      <c r="AC30" s="2114">
        <f t="shared" si="5"/>
        <v>1</v>
      </c>
    </row>
    <row r="31" spans="1:29" ht="15">
      <c r="A31" s="386"/>
      <c r="B31" s="2118">
        <v>111</v>
      </c>
      <c r="C31" s="2060"/>
      <c r="D31" s="393">
        <v>100</v>
      </c>
      <c r="E31" s="390"/>
      <c r="F31" s="393">
        <f>SUMIF(97:97,E31,98:98)-SUMIF(97:97,C31,98:98)+100</f>
        <v>100</v>
      </c>
      <c r="G31" s="2112"/>
      <c r="H31" s="393">
        <f>SUMIF(97:97,G31,98:98)-SUMIF(97:97,C31,98:98)+100</f>
        <v>100</v>
      </c>
      <c r="I31" s="390"/>
      <c r="J31" s="393">
        <f>SUMIF(97:97,I31,98:98)-SUMIF(97:97,C31,98:98)+100</f>
        <v>100</v>
      </c>
      <c r="K31" s="569"/>
      <c r="L31" s="2916"/>
      <c r="M31" s="2910"/>
      <c r="N31" s="2910"/>
      <c r="O31" s="2910"/>
      <c r="P31" s="3556"/>
      <c r="Q31" s="1502">
        <f t="shared" si="11"/>
        <v>111</v>
      </c>
      <c r="R31" s="712" t="s">
        <v>17</v>
      </c>
      <c r="S31" s="713">
        <f t="shared" si="12"/>
        <v>100</v>
      </c>
      <c r="T31" s="712" t="s">
        <v>17</v>
      </c>
      <c r="U31" s="713">
        <f t="shared" si="13"/>
        <v>100</v>
      </c>
      <c r="V31" s="712" t="s">
        <v>17</v>
      </c>
      <c r="W31" s="713">
        <f t="shared" si="14"/>
        <v>100</v>
      </c>
      <c r="X31" s="1505"/>
      <c r="Y31" s="3549"/>
      <c r="Z31" s="1506">
        <f t="shared" si="15"/>
        <v>111</v>
      </c>
      <c r="AA31" s="1503">
        <f t="shared" si="3"/>
        <v>1</v>
      </c>
      <c r="AB31" s="1503">
        <f t="shared" si="4"/>
        <v>1</v>
      </c>
      <c r="AC31" s="2114">
        <f t="shared" si="5"/>
        <v>1</v>
      </c>
    </row>
    <row r="32" spans="1:29" ht="15.75" thickBot="1">
      <c r="A32" s="394"/>
      <c r="B32" s="590">
        <v>111</v>
      </c>
      <c r="C32" s="2061"/>
      <c r="D32" s="396">
        <v>100</v>
      </c>
      <c r="E32" s="583"/>
      <c r="F32" s="396">
        <f>SUMIF(99:99,E32,100:100)-SUMIF(99:99,C32,100:100)+100</f>
        <v>100</v>
      </c>
      <c r="G32" s="2112"/>
      <c r="H32" s="396">
        <f>SUMIF(99:99,G32,100:100)-SUMIF(99:99,C32,100:100)+100</f>
        <v>100</v>
      </c>
      <c r="I32" s="390"/>
      <c r="J32" s="396">
        <f>SUMIF(99:99,I32,100:100)-SUMIF(99:99,C32,100:100)+100</f>
        <v>100</v>
      </c>
      <c r="K32" s="569"/>
      <c r="L32" s="2916"/>
      <c r="M32" s="2910"/>
      <c r="N32" s="2910"/>
      <c r="O32" s="2910"/>
      <c r="P32" s="3556"/>
      <c r="Q32" s="1502">
        <f t="shared" si="11"/>
        <v>111</v>
      </c>
      <c r="R32" s="712" t="s">
        <v>17</v>
      </c>
      <c r="S32" s="713">
        <f t="shared" si="12"/>
        <v>100</v>
      </c>
      <c r="T32" s="712" t="s">
        <v>17</v>
      </c>
      <c r="U32" s="713">
        <f t="shared" si="13"/>
        <v>100</v>
      </c>
      <c r="V32" s="712" t="s">
        <v>17</v>
      </c>
      <c r="W32" s="713">
        <f t="shared" si="14"/>
        <v>100</v>
      </c>
      <c r="X32" s="1505"/>
      <c r="Y32" s="3549"/>
      <c r="Z32" s="1506">
        <f t="shared" si="15"/>
        <v>111</v>
      </c>
      <c r="AA32" s="1503">
        <f t="shared" si="3"/>
        <v>1</v>
      </c>
      <c r="AB32" s="1503">
        <f t="shared" si="4"/>
        <v>1</v>
      </c>
      <c r="AC32" s="2114">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6"/>
      <c r="M33" s="2910"/>
      <c r="N33" s="2910"/>
      <c r="O33" s="2910"/>
      <c r="P33" s="3550" t="s">
        <v>2326</v>
      </c>
      <c r="Q33" s="1502" t="str">
        <f t="shared" si="11"/>
        <v>建筑类型</v>
      </c>
      <c r="R33" s="712" t="s">
        <v>17</v>
      </c>
      <c r="S33" s="713">
        <f t="shared" si="12"/>
        <v>100</v>
      </c>
      <c r="T33" s="712" t="s">
        <v>17</v>
      </c>
      <c r="U33" s="713">
        <f t="shared" si="13"/>
        <v>100</v>
      </c>
      <c r="V33" s="712" t="s">
        <v>17</v>
      </c>
      <c r="W33" s="713">
        <f t="shared" si="14"/>
        <v>100</v>
      </c>
      <c r="X33" s="1505"/>
      <c r="Y33" s="3553" t="s">
        <v>2326</v>
      </c>
      <c r="Z33" s="1506" t="str">
        <f t="shared" si="15"/>
        <v>建筑类型</v>
      </c>
      <c r="AA33" s="1503">
        <f t="shared" si="3"/>
        <v>1</v>
      </c>
      <c r="AB33" s="1503">
        <f t="shared" si="4"/>
        <v>1</v>
      </c>
      <c r="AC33" s="2114">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5"/>
      <c r="M34" s="2917"/>
      <c r="N34" s="2917"/>
      <c r="O34" s="2917"/>
      <c r="P34" s="3551"/>
      <c r="Q34" s="714" t="str">
        <f t="shared" si="11"/>
        <v>项目建筑规模</v>
      </c>
      <c r="R34" s="715" t="s">
        <v>17</v>
      </c>
      <c r="S34" s="716" t="e">
        <f t="shared" si="12"/>
        <v>#N/A</v>
      </c>
      <c r="T34" s="715" t="s">
        <v>17</v>
      </c>
      <c r="U34" s="716" t="e">
        <f t="shared" si="13"/>
        <v>#N/A</v>
      </c>
      <c r="V34" s="715" t="s">
        <v>17</v>
      </c>
      <c r="W34" s="716" t="e">
        <f t="shared" si="14"/>
        <v>#N/A</v>
      </c>
      <c r="X34" s="717"/>
      <c r="Y34" s="3553"/>
      <c r="Z34" s="718" t="str">
        <f t="shared" si="15"/>
        <v>项目建筑规模</v>
      </c>
      <c r="AA34" s="1503" t="e">
        <f t="shared" si="3"/>
        <v>#N/A</v>
      </c>
      <c r="AB34" s="1503" t="e">
        <f t="shared" si="4"/>
        <v>#N/A</v>
      </c>
      <c r="AC34" s="2114"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6"/>
      <c r="M35" s="2910"/>
      <c r="N35" s="2910"/>
      <c r="O35" s="2910"/>
      <c r="P35" s="3551"/>
      <c r="Q35" s="1502" t="str">
        <f t="shared" si="11"/>
        <v>建筑结构</v>
      </c>
      <c r="R35" s="712" t="s">
        <v>17</v>
      </c>
      <c r="S35" s="713">
        <f t="shared" si="12"/>
        <v>100</v>
      </c>
      <c r="T35" s="712" t="s">
        <v>17</v>
      </c>
      <c r="U35" s="713">
        <f t="shared" si="13"/>
        <v>100</v>
      </c>
      <c r="V35" s="712" t="s">
        <v>17</v>
      </c>
      <c r="W35" s="713">
        <f t="shared" si="14"/>
        <v>100</v>
      </c>
      <c r="X35" s="1505"/>
      <c r="Y35" s="3553"/>
      <c r="Z35" s="1506" t="str">
        <f t="shared" si="15"/>
        <v>建筑结构</v>
      </c>
      <c r="AA35" s="1503">
        <f t="shared" si="3"/>
        <v>1</v>
      </c>
      <c r="AB35" s="1503">
        <f t="shared" si="4"/>
        <v>1</v>
      </c>
      <c r="AC35" s="2114">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6"/>
      <c r="M36" s="2910"/>
      <c r="N36" s="2910"/>
      <c r="O36" s="2910"/>
      <c r="P36" s="3551"/>
      <c r="Q36" s="1502" t="str">
        <f t="shared" si="11"/>
        <v>公共部分装修</v>
      </c>
      <c r="R36" s="712" t="s">
        <v>17</v>
      </c>
      <c r="S36" s="713">
        <f t="shared" si="12"/>
        <v>100</v>
      </c>
      <c r="T36" s="712" t="s">
        <v>17</v>
      </c>
      <c r="U36" s="713">
        <f t="shared" si="13"/>
        <v>100</v>
      </c>
      <c r="V36" s="712" t="s">
        <v>17</v>
      </c>
      <c r="W36" s="713">
        <f t="shared" si="14"/>
        <v>100</v>
      </c>
      <c r="X36" s="1505"/>
      <c r="Y36" s="3553"/>
      <c r="Z36" s="1506" t="str">
        <f t="shared" si="15"/>
        <v>公共部分装修</v>
      </c>
      <c r="AA36" s="1503">
        <f t="shared" si="3"/>
        <v>1</v>
      </c>
      <c r="AB36" s="1503">
        <f t="shared" si="4"/>
        <v>1</v>
      </c>
      <c r="AC36" s="2114">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6"/>
      <c r="M37" s="2910"/>
      <c r="N37" s="2910"/>
      <c r="O37" s="2910"/>
      <c r="P37" s="3551"/>
      <c r="Q37" s="1502" t="str">
        <f t="shared" si="11"/>
        <v>成新度</v>
      </c>
      <c r="R37" s="712" t="s">
        <v>17</v>
      </c>
      <c r="S37" s="713" t="e">
        <f t="shared" si="12"/>
        <v>#N/A</v>
      </c>
      <c r="T37" s="712" t="s">
        <v>17</v>
      </c>
      <c r="U37" s="713" t="e">
        <f t="shared" si="13"/>
        <v>#N/A</v>
      </c>
      <c r="V37" s="712" t="s">
        <v>17</v>
      </c>
      <c r="W37" s="713" t="e">
        <f t="shared" si="14"/>
        <v>#N/A</v>
      </c>
      <c r="X37" s="1505"/>
      <c r="Y37" s="3553"/>
      <c r="Z37" s="1506" t="str">
        <f t="shared" si="15"/>
        <v>成新度</v>
      </c>
      <c r="AA37" s="1503" t="e">
        <f t="shared" si="3"/>
        <v>#N/A</v>
      </c>
      <c r="AB37" s="1503" t="e">
        <f t="shared" si="4"/>
        <v>#N/A</v>
      </c>
      <c r="AC37" s="2114"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1"/>
      <c r="M38" s="2912"/>
      <c r="N38" s="2912"/>
      <c r="O38" s="2912"/>
      <c r="P38" s="3551"/>
      <c r="Q38" s="1493" t="str">
        <f t="shared" si="11"/>
        <v>写字楼等级</v>
      </c>
      <c r="R38" s="708" t="s">
        <v>17</v>
      </c>
      <c r="S38" s="709">
        <f t="shared" si="12"/>
        <v>100</v>
      </c>
      <c r="T38" s="708" t="s">
        <v>17</v>
      </c>
      <c r="U38" s="709">
        <f t="shared" si="13"/>
        <v>100</v>
      </c>
      <c r="V38" s="708" t="s">
        <v>17</v>
      </c>
      <c r="W38" s="709">
        <f t="shared" si="14"/>
        <v>100</v>
      </c>
      <c r="X38" s="710"/>
      <c r="Y38" s="3553"/>
      <c r="Z38" s="55" t="str">
        <f t="shared" si="15"/>
        <v>写字楼等级</v>
      </c>
      <c r="AA38" s="711">
        <f t="shared" si="3"/>
        <v>1</v>
      </c>
      <c r="AB38" s="711">
        <f t="shared" si="4"/>
        <v>1</v>
      </c>
      <c r="AC38" s="2111">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6"/>
      <c r="M39" s="2910"/>
      <c r="N39" s="2910"/>
      <c r="O39" s="2910"/>
      <c r="P39" s="3551" t="s">
        <v>2326</v>
      </c>
      <c r="Q39" s="1502" t="str">
        <f t="shared" si="11"/>
        <v>物业管理</v>
      </c>
      <c r="R39" s="712" t="s">
        <v>17</v>
      </c>
      <c r="S39" s="713">
        <f t="shared" si="12"/>
        <v>100</v>
      </c>
      <c r="T39" s="712" t="s">
        <v>17</v>
      </c>
      <c r="U39" s="713">
        <f t="shared" si="13"/>
        <v>100</v>
      </c>
      <c r="V39" s="712" t="s">
        <v>17</v>
      </c>
      <c r="W39" s="713">
        <f t="shared" si="14"/>
        <v>100</v>
      </c>
      <c r="X39" s="1505"/>
      <c r="Y39" s="3553" t="s">
        <v>2326</v>
      </c>
      <c r="Z39" s="1506" t="str">
        <f t="shared" si="15"/>
        <v>物业管理</v>
      </c>
      <c r="AA39" s="1503">
        <f t="shared" si="3"/>
        <v>1</v>
      </c>
      <c r="AB39" s="1503">
        <f t="shared" si="4"/>
        <v>1</v>
      </c>
      <c r="AC39" s="2114">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6"/>
      <c r="M40" s="2910"/>
      <c r="N40" s="2910"/>
      <c r="O40" s="2910"/>
      <c r="P40" s="3551"/>
      <c r="Q40" s="1502" t="str">
        <f t="shared" si="11"/>
        <v>市政基础设施</v>
      </c>
      <c r="R40" s="712" t="s">
        <v>17</v>
      </c>
      <c r="S40" s="713">
        <f t="shared" si="12"/>
        <v>100</v>
      </c>
      <c r="T40" s="712" t="s">
        <v>17</v>
      </c>
      <c r="U40" s="713">
        <f t="shared" si="13"/>
        <v>100</v>
      </c>
      <c r="V40" s="712" t="s">
        <v>17</v>
      </c>
      <c r="W40" s="713">
        <f t="shared" si="14"/>
        <v>100</v>
      </c>
      <c r="X40" s="1505"/>
      <c r="Y40" s="3553"/>
      <c r="Z40" s="1506" t="str">
        <f t="shared" si="15"/>
        <v>市政基础设施</v>
      </c>
      <c r="AA40" s="1503">
        <f t="shared" si="3"/>
        <v>1</v>
      </c>
      <c r="AB40" s="1503">
        <f t="shared" si="4"/>
        <v>1</v>
      </c>
      <c r="AC40" s="2114">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6"/>
      <c r="M41" s="2910"/>
      <c r="N41" s="2910"/>
      <c r="O41" s="2910"/>
      <c r="P41" s="3551"/>
      <c r="Q41" s="1502" t="str">
        <f t="shared" si="11"/>
        <v>层高</v>
      </c>
      <c r="R41" s="712" t="s">
        <v>17</v>
      </c>
      <c r="S41" s="713">
        <f t="shared" si="12"/>
        <v>100</v>
      </c>
      <c r="T41" s="712" t="s">
        <v>17</v>
      </c>
      <c r="U41" s="713">
        <f t="shared" si="13"/>
        <v>100</v>
      </c>
      <c r="V41" s="712" t="s">
        <v>17</v>
      </c>
      <c r="W41" s="713">
        <f t="shared" si="14"/>
        <v>100</v>
      </c>
      <c r="X41" s="1505"/>
      <c r="Y41" s="3553"/>
      <c r="Z41" s="1506" t="str">
        <f t="shared" si="15"/>
        <v>层高</v>
      </c>
      <c r="AA41" s="1503">
        <f t="shared" si="3"/>
        <v>1</v>
      </c>
      <c r="AB41" s="1503">
        <f t="shared" si="4"/>
        <v>1</v>
      </c>
      <c r="AC41" s="2114">
        <f t="shared" si="5"/>
        <v>1</v>
      </c>
    </row>
    <row r="42" spans="1:29" s="429" customFormat="1" ht="15">
      <c r="A42" s="426"/>
      <c r="B42" s="1504"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5"/>
      <c r="M42" s="2917"/>
      <c r="N42" s="2917"/>
      <c r="O42" s="2917"/>
      <c r="P42" s="3551"/>
      <c r="Q42" s="714" t="str">
        <f t="shared" si="11"/>
        <v>单套建筑面积</v>
      </c>
      <c r="R42" s="715" t="s">
        <v>17</v>
      </c>
      <c r="S42" s="716">
        <f t="shared" si="12"/>
        <v>100</v>
      </c>
      <c r="T42" s="715" t="s">
        <v>17</v>
      </c>
      <c r="U42" s="716">
        <f t="shared" si="13"/>
        <v>100</v>
      </c>
      <c r="V42" s="715" t="s">
        <v>17</v>
      </c>
      <c r="W42" s="716">
        <f t="shared" si="14"/>
        <v>100</v>
      </c>
      <c r="X42" s="717"/>
      <c r="Y42" s="3553"/>
      <c r="Z42" s="718" t="str">
        <f t="shared" si="15"/>
        <v>单套建筑面积</v>
      </c>
      <c r="AA42" s="1503">
        <f t="shared" si="3"/>
        <v>1</v>
      </c>
      <c r="AB42" s="1503">
        <f t="shared" si="4"/>
        <v>1</v>
      </c>
      <c r="AC42" s="2114">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6"/>
      <c r="M43" s="2910"/>
      <c r="N43" s="2910"/>
      <c r="O43" s="2910"/>
      <c r="P43" s="3551"/>
      <c r="Q43" s="1502" t="str">
        <f t="shared" si="11"/>
        <v>内部装修</v>
      </c>
      <c r="R43" s="712" t="s">
        <v>17</v>
      </c>
      <c r="S43" s="713">
        <f t="shared" si="12"/>
        <v>100</v>
      </c>
      <c r="T43" s="712" t="s">
        <v>17</v>
      </c>
      <c r="U43" s="713">
        <f t="shared" si="13"/>
        <v>100</v>
      </c>
      <c r="V43" s="712" t="s">
        <v>17</v>
      </c>
      <c r="W43" s="713">
        <f t="shared" si="14"/>
        <v>100</v>
      </c>
      <c r="X43" s="1505"/>
      <c r="Y43" s="3553"/>
      <c r="Z43" s="1506" t="str">
        <f t="shared" si="15"/>
        <v>内部装修</v>
      </c>
      <c r="AA43" s="1503">
        <f t="shared" si="3"/>
        <v>1</v>
      </c>
      <c r="AB43" s="1503">
        <f t="shared" si="4"/>
        <v>1</v>
      </c>
      <c r="AC43" s="2114">
        <f t="shared" si="5"/>
        <v>1</v>
      </c>
    </row>
    <row r="44" spans="1:29" ht="15">
      <c r="A44" s="430"/>
      <c r="B44" s="380" t="s">
        <v>2337</v>
      </c>
      <c r="C44" s="418"/>
      <c r="D44" s="393">
        <v>100</v>
      </c>
      <c r="E44" s="2058"/>
      <c r="F44" s="419">
        <f>SUMIF(125:125,E44,126:126)-SUMIF(125:125,C44,126:126)+100</f>
        <v>100</v>
      </c>
      <c r="G44" s="2058"/>
      <c r="H44" s="393">
        <f>SUMIF(125:125,G44,126:126)-SUMIF(125:125,C44,126:126)+100</f>
        <v>100</v>
      </c>
      <c r="I44" s="2058"/>
      <c r="J44" s="393">
        <f>SUMIF(125:125,I44,126:126)-SUMIF(125:125,C44,126:126)+100</f>
        <v>100</v>
      </c>
      <c r="K44" s="568"/>
      <c r="L44" s="2916"/>
      <c r="M44" s="2910"/>
      <c r="N44" s="2910"/>
      <c r="O44" s="2910"/>
      <c r="P44" s="3551"/>
      <c r="Q44" s="1502" t="str">
        <f t="shared" si="11"/>
        <v>内部装修维护情况</v>
      </c>
      <c r="R44" s="712" t="s">
        <v>17</v>
      </c>
      <c r="S44" s="713">
        <f t="shared" si="12"/>
        <v>100</v>
      </c>
      <c r="T44" s="712" t="s">
        <v>17</v>
      </c>
      <c r="U44" s="713">
        <f t="shared" si="13"/>
        <v>100</v>
      </c>
      <c r="V44" s="712" t="s">
        <v>17</v>
      </c>
      <c r="W44" s="713">
        <f t="shared" si="14"/>
        <v>100</v>
      </c>
      <c r="X44" s="1505"/>
      <c r="Y44" s="3553"/>
      <c r="Z44" s="1506" t="str">
        <f t="shared" si="15"/>
        <v>内部装修维护情况</v>
      </c>
      <c r="AA44" s="1503">
        <f t="shared" si="3"/>
        <v>1</v>
      </c>
      <c r="AB44" s="1503">
        <f t="shared" si="4"/>
        <v>1</v>
      </c>
      <c r="AC44" s="2114">
        <f t="shared" si="5"/>
        <v>1</v>
      </c>
    </row>
    <row r="45" spans="1:29" s="112" customFormat="1" ht="15">
      <c r="A45" s="431"/>
      <c r="B45" s="126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1"/>
      <c r="M45" s="2912"/>
      <c r="N45" s="2912"/>
      <c r="O45" s="2912"/>
      <c r="P45" s="3551"/>
      <c r="Q45" s="1493">
        <f t="shared" si="11"/>
        <v>111</v>
      </c>
      <c r="R45" s="708" t="s">
        <v>17</v>
      </c>
      <c r="S45" s="709">
        <f t="shared" si="12"/>
        <v>100</v>
      </c>
      <c r="T45" s="708" t="s">
        <v>17</v>
      </c>
      <c r="U45" s="709">
        <f t="shared" si="13"/>
        <v>100</v>
      </c>
      <c r="V45" s="708" t="s">
        <v>17</v>
      </c>
      <c r="W45" s="709">
        <f t="shared" si="14"/>
        <v>100</v>
      </c>
      <c r="X45" s="710"/>
      <c r="Y45" s="3553"/>
      <c r="Z45" s="55">
        <f t="shared" si="15"/>
        <v>111</v>
      </c>
      <c r="AA45" s="711">
        <f t="shared" si="3"/>
        <v>1</v>
      </c>
      <c r="AB45" s="711">
        <f t="shared" si="4"/>
        <v>1</v>
      </c>
      <c r="AC45" s="2111">
        <f t="shared" si="5"/>
        <v>1</v>
      </c>
    </row>
    <row r="46" spans="1:29" ht="15">
      <c r="A46" s="430"/>
      <c r="B46" s="126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6"/>
      <c r="M46" s="2910"/>
      <c r="N46" s="2910"/>
      <c r="O46" s="2910"/>
      <c r="P46" s="3551"/>
      <c r="Q46" s="1502">
        <f t="shared" si="11"/>
        <v>111</v>
      </c>
      <c r="R46" s="712" t="s">
        <v>17</v>
      </c>
      <c r="S46" s="713">
        <f t="shared" si="12"/>
        <v>100</v>
      </c>
      <c r="T46" s="712" t="s">
        <v>17</v>
      </c>
      <c r="U46" s="713">
        <f t="shared" si="13"/>
        <v>100</v>
      </c>
      <c r="V46" s="712" t="s">
        <v>17</v>
      </c>
      <c r="W46" s="713">
        <f t="shared" si="14"/>
        <v>100</v>
      </c>
      <c r="X46" s="1505"/>
      <c r="Y46" s="3553"/>
      <c r="Z46" s="1506">
        <f t="shared" si="15"/>
        <v>111</v>
      </c>
      <c r="AA46" s="1503">
        <f t="shared" si="3"/>
        <v>1</v>
      </c>
      <c r="AB46" s="1503">
        <f t="shared" si="4"/>
        <v>1</v>
      </c>
      <c r="AC46" s="2114">
        <f t="shared" si="5"/>
        <v>1</v>
      </c>
    </row>
    <row r="47" spans="1:29" ht="15.75" thickBot="1">
      <c r="A47" s="436"/>
      <c r="B47" s="204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6"/>
      <c r="M47" s="2910"/>
      <c r="N47" s="2910"/>
      <c r="O47" s="2910"/>
      <c r="P47" s="3552"/>
      <c r="Q47" s="1502">
        <f t="shared" si="11"/>
        <v>111</v>
      </c>
      <c r="R47" s="712" t="s">
        <v>17</v>
      </c>
      <c r="S47" s="713">
        <f t="shared" si="12"/>
        <v>100</v>
      </c>
      <c r="T47" s="712" t="s">
        <v>17</v>
      </c>
      <c r="U47" s="713">
        <f t="shared" si="13"/>
        <v>100</v>
      </c>
      <c r="V47" s="712" t="s">
        <v>17</v>
      </c>
      <c r="W47" s="713">
        <f t="shared" si="14"/>
        <v>100</v>
      </c>
      <c r="X47" s="1505"/>
      <c r="Y47" s="3554"/>
      <c r="Z47" s="1506">
        <f t="shared" si="15"/>
        <v>111</v>
      </c>
      <c r="AA47" s="1503">
        <f t="shared" si="3"/>
        <v>1</v>
      </c>
      <c r="AB47" s="1503">
        <f t="shared" si="4"/>
        <v>1</v>
      </c>
      <c r="AC47" s="2114">
        <f t="shared" si="5"/>
        <v>1</v>
      </c>
    </row>
    <row r="48" spans="1:29" ht="15">
      <c r="A48" s="437" t="s">
        <v>2338</v>
      </c>
      <c r="B48" s="438"/>
      <c r="C48" s="1284" t="s">
        <v>1</v>
      </c>
      <c r="D48" s="1285"/>
      <c r="E48" s="1286"/>
      <c r="F48" s="1287"/>
      <c r="G48" s="1288"/>
      <c r="H48" s="1289"/>
      <c r="I48" s="1286"/>
      <c r="J48" s="443"/>
      <c r="K48" s="721"/>
      <c r="L48" s="2918"/>
      <c r="M48" s="2910"/>
      <c r="N48" s="2910"/>
      <c r="O48" s="2910"/>
      <c r="P48" s="3557" t="str">
        <f>A48</f>
        <v>成交单价（元/平方米）</v>
      </c>
      <c r="Q48" s="3546"/>
      <c r="R48" s="3547">
        <f>E48</f>
        <v>0</v>
      </c>
      <c r="S48" s="3547"/>
      <c r="T48" s="3547">
        <f>G48</f>
        <v>0</v>
      </c>
      <c r="U48" s="3547"/>
      <c r="V48" s="3547">
        <f>I48</f>
        <v>0</v>
      </c>
      <c r="W48" s="3547"/>
      <c r="X48" s="404"/>
      <c r="Y48" s="719"/>
      <c r="Z48" s="404"/>
      <c r="AA48" s="404"/>
      <c r="AB48" s="404"/>
      <c r="AC48" s="585"/>
    </row>
    <row r="49" spans="1:29" ht="15.75" thickBot="1">
      <c r="A49" s="444" t="s">
        <v>2430</v>
      </c>
      <c r="B49" s="445"/>
      <c r="C49" s="1290" t="e">
        <f>R50</f>
        <v>#DIV/0!</v>
      </c>
      <c r="D49" s="2504" t="s">
        <v>2819</v>
      </c>
      <c r="E49" s="1291" t="e">
        <f>R49</f>
        <v>#DIV/0!</v>
      </c>
      <c r="F49" s="2505"/>
      <c r="G49" s="1290" t="e">
        <f>T49</f>
        <v>#DIV/0!</v>
      </c>
      <c r="H49" s="2505"/>
      <c r="I49" s="1291" t="e">
        <f>V49</f>
        <v>#DIV/0!</v>
      </c>
      <c r="J49" s="2505"/>
      <c r="K49" s="2507">
        <f>F49+H49+J49</f>
        <v>0</v>
      </c>
      <c r="L49" s="2918"/>
      <c r="M49" s="2910"/>
      <c r="N49" s="2910"/>
      <c r="O49" s="2910"/>
      <c r="P49" s="3557" t="str">
        <f>A49</f>
        <v>比较价值（元/平方米）</v>
      </c>
      <c r="Q49" s="3546"/>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404"/>
      <c r="Y49" s="404"/>
      <c r="Z49" s="404"/>
      <c r="AA49" s="404"/>
      <c r="AB49" s="404"/>
      <c r="AC49" s="585"/>
    </row>
    <row r="50" spans="1:29" ht="15.75" thickBot="1">
      <c r="A50" s="448" t="s">
        <v>2431</v>
      </c>
      <c r="B50" s="449"/>
      <c r="C50" s="1293" t="e">
        <f>R50</f>
        <v>#DIV/0!</v>
      </c>
      <c r="D50" s="1293"/>
      <c r="E50" s="1293"/>
      <c r="F50" s="1293"/>
      <c r="G50" s="1293"/>
      <c r="H50" s="1293"/>
      <c r="I50" s="1293"/>
      <c r="J50" s="450"/>
      <c r="K50" s="722"/>
      <c r="L50" s="2918"/>
      <c r="M50" s="2910"/>
      <c r="N50" s="2910"/>
      <c r="O50" s="2910"/>
      <c r="P50" s="3590" t="str">
        <f>A50</f>
        <v>估价对象XX用房的比较价值（楼面单价，元/平方米）</v>
      </c>
      <c r="Q50" s="3591"/>
      <c r="R50" s="3592" t="e">
        <f>IF(F1="售价",ROUND(IF(D49="简单平均",AVERAGE(R49:V49),R49*F49+T49*H49+V49*J49),0),ROUND(IF(D49="简单平均",AVERAGE(R49:V49),R49*F49+T49*H49+V49*J49),1))</f>
        <v>#DIV/0!</v>
      </c>
      <c r="S50" s="3592"/>
      <c r="T50" s="3592"/>
      <c r="U50" s="3592"/>
      <c r="V50" s="3592"/>
      <c r="W50" s="3592"/>
      <c r="X50" s="2098"/>
      <c r="Y50" s="2098"/>
      <c r="Z50" s="2098"/>
      <c r="AA50" s="2098"/>
      <c r="AB50" s="2098"/>
      <c r="AC50" s="2099"/>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8" customFormat="1" ht="13.5" customHeight="1">
      <c r="A55" s="2922"/>
      <c r="B55" s="2922"/>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8"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1" t="s">
        <v>2435</v>
      </c>
      <c r="B58" s="697"/>
      <c r="C58" s="702"/>
      <c r="D58" s="702"/>
      <c r="E58" s="702"/>
      <c r="F58" s="703"/>
      <c r="G58" s="703"/>
      <c r="H58" s="702"/>
      <c r="I58" s="702"/>
      <c r="J58" s="702"/>
      <c r="K58" s="704"/>
      <c r="L58" s="1071"/>
      <c r="M58" s="1069"/>
      <c r="N58" s="2963"/>
      <c r="O58" s="2963"/>
      <c r="P58" s="2952"/>
      <c r="Q58" s="2933"/>
      <c r="R58" s="2919"/>
      <c r="S58" s="2919"/>
      <c r="T58" s="2919"/>
      <c r="U58" s="2919"/>
      <c r="V58" s="2919"/>
      <c r="W58" s="2919"/>
      <c r="X58" s="2919"/>
      <c r="Y58" s="2919"/>
      <c r="Z58" s="2919"/>
      <c r="AA58" s="2919"/>
      <c r="AB58" s="2919"/>
      <c r="AC58" s="2919"/>
    </row>
    <row r="59" spans="1:29" s="464" customFormat="1" ht="15">
      <c r="A59" s="461" t="s">
        <v>2309</v>
      </c>
      <c r="B59" s="462"/>
      <c r="C59" s="1314" t="str">
        <f>YEAR(C7)&amp;"-"&amp;MONTH(C7)</f>
        <v>2022-2</v>
      </c>
      <c r="D59" s="1315">
        <f>EDATE(C59,-1)</f>
        <v>44562</v>
      </c>
      <c r="E59" s="1315">
        <f>EDATE(D59,-1)</f>
        <v>44531</v>
      </c>
      <c r="F59" s="1315">
        <f t="shared" ref="F59:O59" si="16">EDATE(E59,-1)</f>
        <v>44501</v>
      </c>
      <c r="G59" s="1315">
        <f t="shared" si="16"/>
        <v>44470</v>
      </c>
      <c r="H59" s="1315">
        <f t="shared" si="16"/>
        <v>44440</v>
      </c>
      <c r="I59" s="1315">
        <f t="shared" si="16"/>
        <v>44409</v>
      </c>
      <c r="J59" s="1315">
        <f t="shared" si="16"/>
        <v>44378</v>
      </c>
      <c r="K59" s="1315">
        <f t="shared" si="16"/>
        <v>44348</v>
      </c>
      <c r="L59" s="1315">
        <f t="shared" si="16"/>
        <v>44317</v>
      </c>
      <c r="M59" s="1315">
        <f t="shared" si="16"/>
        <v>44287</v>
      </c>
      <c r="N59" s="1315">
        <f t="shared" si="16"/>
        <v>44256</v>
      </c>
      <c r="O59" s="1315">
        <f t="shared" si="16"/>
        <v>44228</v>
      </c>
      <c r="P59" s="2953"/>
      <c r="Q59" s="2935"/>
      <c r="R59" s="2935"/>
      <c r="S59" s="2935"/>
      <c r="T59" s="2935"/>
      <c r="U59" s="2935"/>
      <c r="V59" s="2935"/>
      <c r="W59" s="2935"/>
      <c r="X59" s="2935"/>
      <c r="Y59" s="2935"/>
      <c r="Z59" s="2935"/>
      <c r="AA59" s="2935"/>
      <c r="AB59" s="2935"/>
      <c r="AC59" s="2935"/>
    </row>
    <row r="60" spans="1:29" s="112" customFormat="1" ht="15">
      <c r="A60" s="465"/>
      <c r="B60" s="466"/>
      <c r="C60" s="1313">
        <v>100</v>
      </c>
      <c r="D60" s="468"/>
      <c r="E60" s="468"/>
      <c r="F60" s="468"/>
      <c r="G60" s="468"/>
      <c r="H60" s="468"/>
      <c r="I60" s="468"/>
      <c r="J60" s="468"/>
      <c r="K60" s="468"/>
      <c r="L60" s="468"/>
      <c r="M60" s="469"/>
      <c r="N60" s="468"/>
      <c r="O60" s="469"/>
      <c r="P60" s="2954"/>
      <c r="Q60" s="2853"/>
      <c r="R60" s="2853"/>
      <c r="S60" s="2853"/>
      <c r="T60" s="2853"/>
      <c r="U60" s="2853"/>
      <c r="V60" s="2853"/>
      <c r="W60" s="2853"/>
      <c r="X60" s="2853"/>
      <c r="Y60" s="2853"/>
      <c r="Z60" s="2853"/>
      <c r="AA60" s="2853"/>
      <c r="AB60" s="2853"/>
      <c r="AC60" s="2853"/>
    </row>
    <row r="61" spans="1:29" s="112" customFormat="1" ht="15.75" thickBot="1">
      <c r="A61" s="471" t="s">
        <v>2346</v>
      </c>
      <c r="B61" s="472"/>
      <c r="C61" s="473"/>
      <c r="D61" s="474"/>
      <c r="E61" s="474"/>
      <c r="F61" s="474"/>
      <c r="G61" s="474"/>
      <c r="H61" s="474"/>
      <c r="I61" s="474"/>
      <c r="J61" s="474"/>
      <c r="K61" s="474"/>
      <c r="L61" s="474"/>
      <c r="M61" s="475"/>
      <c r="N61" s="474"/>
      <c r="O61" s="475"/>
      <c r="P61" s="2954"/>
      <c r="Q61" s="2933"/>
      <c r="R61" s="2853"/>
      <c r="S61" s="2853"/>
      <c r="T61" s="2853"/>
      <c r="U61" s="2853"/>
      <c r="V61" s="2853"/>
      <c r="W61" s="2853"/>
      <c r="X61" s="2853"/>
      <c r="Y61" s="2853"/>
      <c r="Z61" s="2853"/>
      <c r="AA61" s="2853"/>
      <c r="AB61" s="2853"/>
      <c r="AC61" s="2853"/>
    </row>
    <row r="62" spans="1:29" s="112" customFormat="1" ht="15">
      <c r="A62" s="477" t="s">
        <v>2311</v>
      </c>
      <c r="B62" s="466"/>
      <c r="C62" s="478" t="s">
        <v>2413</v>
      </c>
      <c r="D62" s="479"/>
      <c r="E62" s="479"/>
      <c r="F62" s="479"/>
      <c r="G62" s="479"/>
      <c r="H62" s="479"/>
      <c r="I62" s="479"/>
      <c r="J62" s="479"/>
      <c r="K62" s="479"/>
      <c r="L62" s="480"/>
      <c r="M62" s="481"/>
      <c r="N62" s="2946"/>
      <c r="O62" s="2946"/>
      <c r="P62" s="2955"/>
      <c r="Q62" s="2933"/>
      <c r="R62" s="2853"/>
      <c r="S62" s="2853"/>
      <c r="T62" s="2853"/>
      <c r="U62" s="2853"/>
      <c r="V62" s="2853"/>
      <c r="W62" s="2853"/>
      <c r="X62" s="2853"/>
      <c r="Y62" s="2853"/>
      <c r="Z62" s="2853"/>
      <c r="AA62" s="2853"/>
      <c r="AB62" s="2853"/>
      <c r="AC62" s="2853"/>
    </row>
    <row r="63" spans="1:29" s="112" customFormat="1" ht="15.75" thickBot="1">
      <c r="A63" s="477"/>
      <c r="B63" s="466"/>
      <c r="C63" s="467">
        <v>100</v>
      </c>
      <c r="D63" s="468"/>
      <c r="E63" s="468"/>
      <c r="F63" s="468"/>
      <c r="G63" s="468"/>
      <c r="H63" s="468"/>
      <c r="I63" s="468"/>
      <c r="J63" s="468"/>
      <c r="K63" s="468"/>
      <c r="L63" s="468"/>
      <c r="M63" s="470"/>
      <c r="N63" s="2946"/>
      <c r="O63" s="2946"/>
      <c r="P63" s="2954"/>
      <c r="Q63" s="2933"/>
      <c r="R63" s="2853"/>
      <c r="S63" s="2853"/>
      <c r="T63" s="2853"/>
      <c r="U63" s="2853"/>
      <c r="V63" s="2853"/>
      <c r="W63" s="2853"/>
      <c r="X63" s="2853"/>
      <c r="Y63" s="2853"/>
      <c r="Z63" s="2853"/>
      <c r="AA63" s="2853"/>
      <c r="AB63" s="2853"/>
      <c r="AC63" s="2853"/>
    </row>
    <row r="64" spans="1:29">
      <c r="A64" s="483" t="s">
        <v>2349</v>
      </c>
      <c r="B64" s="484" t="s">
        <v>2315</v>
      </c>
      <c r="C64" s="485">
        <f>C9</f>
        <v>0</v>
      </c>
      <c r="D64" s="486"/>
      <c r="E64" s="486"/>
      <c r="F64" s="486"/>
      <c r="G64" s="486"/>
      <c r="H64" s="486"/>
      <c r="I64" s="486"/>
      <c r="J64" s="486"/>
      <c r="K64" s="487"/>
      <c r="L64" s="488"/>
      <c r="M64" s="489"/>
      <c r="N64" s="2947"/>
      <c r="O64" s="2947"/>
      <c r="P64" s="2956"/>
      <c r="Q64" s="2933"/>
      <c r="R64" s="2919"/>
      <c r="S64" s="2919"/>
      <c r="T64" s="2919"/>
      <c r="U64" s="2919"/>
      <c r="V64" s="2919"/>
      <c r="W64" s="2919"/>
      <c r="X64" s="2919"/>
      <c r="Y64" s="2919"/>
      <c r="Z64" s="2919"/>
      <c r="AA64" s="2919"/>
      <c r="AB64" s="2919"/>
      <c r="AC64" s="2919"/>
    </row>
    <row r="65" spans="1:29" ht="15.75" thickBot="1">
      <c r="A65" s="490"/>
      <c r="B65" s="491"/>
      <c r="C65" s="492">
        <v>100</v>
      </c>
      <c r="D65" s="492"/>
      <c r="E65" s="492"/>
      <c r="F65" s="492"/>
      <c r="G65" s="492"/>
      <c r="H65" s="492"/>
      <c r="I65" s="492"/>
      <c r="J65" s="492"/>
      <c r="K65" s="492"/>
      <c r="L65" s="492"/>
      <c r="M65" s="493"/>
      <c r="N65" s="2948"/>
      <c r="O65" s="2948"/>
      <c r="P65" s="2956"/>
      <c r="Q65" s="2933"/>
      <c r="R65" s="2919"/>
      <c r="S65" s="2919"/>
      <c r="T65" s="2919"/>
      <c r="U65" s="2919"/>
      <c r="V65" s="2919"/>
      <c r="W65" s="2919"/>
      <c r="X65" s="2919"/>
      <c r="Y65" s="2919"/>
      <c r="Z65" s="2919"/>
      <c r="AA65" s="2919"/>
      <c r="AB65" s="2919"/>
      <c r="AC65" s="2919"/>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7"/>
      <c r="O66" s="2947"/>
      <c r="P66" s="2956"/>
      <c r="Q66" s="2933"/>
      <c r="R66" s="2919"/>
      <c r="S66" s="2919"/>
      <c r="T66" s="2919"/>
      <c r="U66" s="2919"/>
      <c r="V66" s="2919"/>
      <c r="W66" s="2919"/>
      <c r="X66" s="2919"/>
      <c r="Y66" s="2919"/>
      <c r="Z66" s="2919"/>
      <c r="AA66" s="2919"/>
      <c r="AB66" s="2919"/>
      <c r="AC66" s="291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8"/>
      <c r="O67" s="2948"/>
      <c r="P67" s="2956"/>
      <c r="Q67" s="2933"/>
      <c r="R67" s="2919"/>
      <c r="S67" s="2919"/>
      <c r="T67" s="2919"/>
      <c r="U67" s="2919"/>
      <c r="V67" s="2919"/>
      <c r="W67" s="2919"/>
      <c r="X67" s="2919"/>
      <c r="Y67" s="2919"/>
      <c r="Z67" s="2919"/>
      <c r="AA67" s="2919"/>
      <c r="AB67" s="2919"/>
      <c r="AC67" s="2919"/>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0"/>
      <c r="B69" s="504"/>
      <c r="C69" s="505"/>
      <c r="D69" s="505"/>
      <c r="E69" s="505"/>
      <c r="F69" s="505"/>
      <c r="G69" s="505"/>
      <c r="H69" s="505"/>
      <c r="I69" s="505"/>
      <c r="J69" s="505"/>
      <c r="K69" s="506"/>
      <c r="L69" s="507"/>
      <c r="M69" s="508"/>
      <c r="N69" s="2947"/>
      <c r="O69" s="2947"/>
      <c r="P69" s="2956"/>
      <c r="Q69" s="2933"/>
      <c r="R69" s="2919"/>
      <c r="S69" s="2919"/>
      <c r="T69" s="2919"/>
      <c r="U69" s="2919"/>
      <c r="V69" s="2919"/>
      <c r="W69" s="2919"/>
      <c r="X69" s="2919"/>
      <c r="Y69" s="2919"/>
      <c r="Z69" s="2919"/>
      <c r="AA69" s="2919"/>
      <c r="AB69" s="2919"/>
      <c r="AC69" s="291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8"/>
      <c r="O70" s="2948"/>
      <c r="P70" s="2956"/>
      <c r="Q70" s="2933"/>
      <c r="R70" s="2919"/>
      <c r="S70" s="2919"/>
      <c r="T70" s="2919"/>
      <c r="U70" s="2919"/>
      <c r="V70" s="2919"/>
      <c r="W70" s="2919"/>
      <c r="X70" s="2919"/>
      <c r="Y70" s="2919"/>
      <c r="Z70" s="2919"/>
      <c r="AA70" s="2919"/>
      <c r="AB70" s="2919"/>
      <c r="AC70" s="2919"/>
    </row>
    <row r="71" spans="1:29" s="429" customFormat="1" ht="15.75" thickTop="1">
      <c r="A71" s="509"/>
      <c r="B71" s="494">
        <f>B12</f>
        <v>111</v>
      </c>
      <c r="C71" s="510"/>
      <c r="D71" s="510"/>
      <c r="E71" s="510"/>
      <c r="F71" s="510"/>
      <c r="G71" s="510"/>
      <c r="H71" s="511"/>
      <c r="I71" s="511"/>
      <c r="J71" s="511"/>
      <c r="K71" s="511"/>
      <c r="L71" s="512"/>
      <c r="M71" s="513"/>
      <c r="N71" s="2949"/>
      <c r="O71" s="2949"/>
      <c r="P71" s="2957"/>
      <c r="Q71" s="2940"/>
      <c r="R71" s="2941"/>
      <c r="S71" s="2941"/>
      <c r="T71" s="2941"/>
      <c r="U71" s="2941"/>
      <c r="V71" s="2941"/>
      <c r="W71" s="2941"/>
      <c r="X71" s="2941"/>
      <c r="Y71" s="2941"/>
      <c r="Z71" s="2941"/>
      <c r="AA71" s="2941"/>
      <c r="AB71" s="2941"/>
      <c r="AC71" s="2941"/>
    </row>
    <row r="72" spans="1:29" s="429" customFormat="1" ht="15.75" thickBot="1">
      <c r="A72" s="509"/>
      <c r="B72" s="499"/>
      <c r="C72" s="516"/>
      <c r="D72" s="492"/>
      <c r="E72" s="492"/>
      <c r="F72" s="492"/>
      <c r="G72" s="492"/>
      <c r="H72" s="492"/>
      <c r="I72" s="492"/>
      <c r="J72" s="492"/>
      <c r="K72" s="492"/>
      <c r="L72" s="492"/>
      <c r="M72" s="493"/>
      <c r="N72" s="2948"/>
      <c r="O72" s="2948"/>
      <c r="P72" s="2957"/>
      <c r="Q72" s="2940"/>
      <c r="R72" s="2941"/>
      <c r="S72" s="2941"/>
      <c r="T72" s="2941"/>
      <c r="U72" s="2941"/>
      <c r="V72" s="2941"/>
      <c r="W72" s="2941"/>
      <c r="X72" s="2941"/>
      <c r="Y72" s="2941"/>
      <c r="Z72" s="2941"/>
      <c r="AA72" s="2941"/>
      <c r="AB72" s="2941"/>
      <c r="AC72" s="2941"/>
    </row>
    <row r="73" spans="1:29" s="429" customFormat="1" ht="15.75" thickTop="1">
      <c r="A73" s="509"/>
      <c r="B73" s="494">
        <f>B13</f>
        <v>111</v>
      </c>
      <c r="C73" s="510"/>
      <c r="D73" s="510"/>
      <c r="E73" s="510"/>
      <c r="F73" s="510"/>
      <c r="G73" s="510"/>
      <c r="H73" s="511"/>
      <c r="I73" s="511"/>
      <c r="J73" s="511"/>
      <c r="K73" s="511"/>
      <c r="L73" s="512"/>
      <c r="M73" s="513"/>
      <c r="N73" s="2949"/>
      <c r="O73" s="2949"/>
      <c r="P73" s="2958"/>
      <c r="Q73" s="2943"/>
      <c r="R73" s="2941"/>
      <c r="S73" s="2941"/>
      <c r="T73" s="2941"/>
      <c r="U73" s="2941"/>
      <c r="V73" s="2941"/>
      <c r="W73" s="2941"/>
      <c r="X73" s="2941"/>
      <c r="Y73" s="2941"/>
      <c r="Z73" s="2941"/>
      <c r="AA73" s="2941"/>
      <c r="AB73" s="2941"/>
      <c r="AC73" s="2941"/>
    </row>
    <row r="74" spans="1:29" s="429" customFormat="1" ht="15.75" thickBot="1">
      <c r="A74" s="509"/>
      <c r="B74" s="499"/>
      <c r="C74" s="516"/>
      <c r="D74" s="516"/>
      <c r="E74" s="516"/>
      <c r="F74" s="516"/>
      <c r="G74" s="516"/>
      <c r="H74" s="518"/>
      <c r="I74" s="518"/>
      <c r="J74" s="518"/>
      <c r="K74" s="518"/>
      <c r="L74" s="518"/>
      <c r="M74" s="519"/>
      <c r="N74" s="2949"/>
      <c r="O74" s="2949"/>
      <c r="P74" s="2957"/>
      <c r="Q74" s="2940"/>
      <c r="R74" s="2941"/>
      <c r="S74" s="2941"/>
      <c r="T74" s="2941"/>
      <c r="U74" s="2941"/>
      <c r="V74" s="2941"/>
      <c r="W74" s="2941"/>
      <c r="X74" s="2941"/>
      <c r="Y74" s="2941"/>
      <c r="Z74" s="2941"/>
      <c r="AA74" s="2941"/>
      <c r="AB74" s="2941"/>
      <c r="AC74" s="2941"/>
    </row>
    <row r="75" spans="1:29" s="429" customFormat="1" ht="15.75" thickTop="1">
      <c r="A75" s="509"/>
      <c r="B75" s="502">
        <f>B14</f>
        <v>111</v>
      </c>
      <c r="C75" s="479"/>
      <c r="D75" s="479"/>
      <c r="E75" s="479"/>
      <c r="F75" s="479"/>
      <c r="G75" s="479"/>
      <c r="H75" s="520"/>
      <c r="I75" s="520"/>
      <c r="J75" s="520"/>
      <c r="K75" s="520"/>
      <c r="L75" s="521"/>
      <c r="M75" s="522"/>
      <c r="N75" s="2949"/>
      <c r="O75" s="2949"/>
      <c r="P75" s="2959"/>
      <c r="Q75" s="2940"/>
      <c r="R75" s="2941"/>
      <c r="S75" s="2941"/>
      <c r="T75" s="2941"/>
      <c r="U75" s="2941"/>
      <c r="V75" s="2941"/>
      <c r="W75" s="2941"/>
      <c r="X75" s="2941"/>
      <c r="Y75" s="2941"/>
      <c r="Z75" s="2941"/>
      <c r="AA75" s="2941"/>
      <c r="AB75" s="2941"/>
      <c r="AC75" s="2941"/>
    </row>
    <row r="76" spans="1:29" s="429" customFormat="1" ht="15.75" thickBot="1">
      <c r="A76" s="524"/>
      <c r="B76" s="525"/>
      <c r="C76" s="526"/>
      <c r="D76" s="526"/>
      <c r="E76" s="526"/>
      <c r="F76" s="526"/>
      <c r="G76" s="526"/>
      <c r="H76" s="527"/>
      <c r="I76" s="527"/>
      <c r="J76" s="527"/>
      <c r="K76" s="527"/>
      <c r="L76" s="527"/>
      <c r="M76" s="528"/>
      <c r="N76" s="2949"/>
      <c r="O76" s="2949"/>
      <c r="P76" s="2957"/>
      <c r="Q76" s="2940"/>
      <c r="R76" s="2941"/>
      <c r="S76" s="2941"/>
      <c r="T76" s="2941"/>
      <c r="U76" s="2941"/>
      <c r="V76" s="2941"/>
      <c r="W76" s="2941"/>
      <c r="X76" s="2941"/>
      <c r="Y76" s="2941"/>
      <c r="Z76" s="2941"/>
      <c r="AA76" s="2941"/>
      <c r="AB76" s="2941"/>
      <c r="AC76" s="2941"/>
    </row>
    <row r="77" spans="1:29">
      <c r="A77" s="483" t="s">
        <v>2320</v>
      </c>
      <c r="B77" s="484" t="s">
        <v>2458</v>
      </c>
      <c r="C77" s="529" t="s">
        <v>2358</v>
      </c>
      <c r="D77" s="529" t="s">
        <v>2359</v>
      </c>
      <c r="E77" s="529" t="s">
        <v>2360</v>
      </c>
      <c r="F77" s="529" t="s">
        <v>2361</v>
      </c>
      <c r="G77" s="529" t="s">
        <v>2362</v>
      </c>
      <c r="H77" s="485"/>
      <c r="I77" s="485"/>
      <c r="J77" s="485"/>
      <c r="K77" s="530"/>
      <c r="L77" s="531"/>
      <c r="M77" s="532"/>
      <c r="N77" s="2947"/>
      <c r="O77" s="2947"/>
      <c r="P77" s="2960"/>
      <c r="Q77" s="2933"/>
      <c r="R77" s="2919"/>
      <c r="S77" s="2919"/>
      <c r="T77" s="2919"/>
      <c r="U77" s="2919"/>
      <c r="V77" s="2919"/>
      <c r="W77" s="2919"/>
      <c r="X77" s="2919"/>
      <c r="Y77" s="2919"/>
      <c r="Z77" s="2919"/>
      <c r="AA77" s="2919"/>
      <c r="AB77" s="2919"/>
      <c r="AC77" s="291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8"/>
      <c r="O78" s="2948"/>
      <c r="P78" s="2956"/>
      <c r="Q78" s="2933"/>
      <c r="R78" s="2919"/>
      <c r="S78" s="2919"/>
      <c r="T78" s="2919"/>
      <c r="U78" s="2919"/>
      <c r="V78" s="2919"/>
      <c r="W78" s="2919"/>
      <c r="X78" s="2919"/>
      <c r="Y78" s="2919"/>
      <c r="Z78" s="2919"/>
      <c r="AA78" s="2919"/>
      <c r="AB78" s="2919"/>
      <c r="AC78" s="2919"/>
    </row>
    <row r="79" spans="1:29" ht="15.75" thickTop="1">
      <c r="A79" s="490"/>
      <c r="B79" s="494" t="s">
        <v>2363</v>
      </c>
      <c r="C79" s="534" t="s">
        <v>2358</v>
      </c>
      <c r="D79" s="534" t="s">
        <v>2359</v>
      </c>
      <c r="E79" s="534" t="s">
        <v>2360</v>
      </c>
      <c r="F79" s="534" t="s">
        <v>2361</v>
      </c>
      <c r="G79" s="534" t="s">
        <v>2362</v>
      </c>
      <c r="H79" s="495"/>
      <c r="I79" s="495"/>
      <c r="J79" s="495"/>
      <c r="K79" s="496"/>
      <c r="L79" s="497"/>
      <c r="M79" s="498"/>
      <c r="N79" s="2947"/>
      <c r="O79" s="2947"/>
      <c r="P79" s="2956"/>
      <c r="Q79" s="2933"/>
      <c r="R79" s="2919"/>
      <c r="S79" s="2919"/>
      <c r="T79" s="2919"/>
      <c r="U79" s="2919"/>
      <c r="V79" s="2919"/>
      <c r="W79" s="2919"/>
      <c r="X79" s="2919"/>
      <c r="Y79" s="2919"/>
      <c r="Z79" s="2919"/>
      <c r="AA79" s="2919"/>
      <c r="AB79" s="2919"/>
      <c r="AC79" s="291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8"/>
      <c r="O80" s="2948"/>
      <c r="P80" s="2956"/>
      <c r="Q80" s="2933"/>
      <c r="R80" s="2919"/>
      <c r="S80" s="2919"/>
      <c r="T80" s="2919"/>
      <c r="U80" s="2919"/>
      <c r="V80" s="2919"/>
      <c r="W80" s="2919"/>
      <c r="X80" s="2919"/>
      <c r="Y80" s="2919"/>
      <c r="Z80" s="2919"/>
      <c r="AA80" s="2919"/>
      <c r="AB80" s="2919"/>
      <c r="AC80" s="2919"/>
    </row>
    <row r="81" spans="1:29" ht="15.75" thickTop="1">
      <c r="A81" s="490"/>
      <c r="B81" s="494" t="s">
        <v>2364</v>
      </c>
      <c r="C81" s="534" t="s">
        <v>2358</v>
      </c>
      <c r="D81" s="534" t="s">
        <v>2359</v>
      </c>
      <c r="E81" s="534" t="s">
        <v>2360</v>
      </c>
      <c r="F81" s="534" t="s">
        <v>2361</v>
      </c>
      <c r="G81" s="534" t="s">
        <v>2362</v>
      </c>
      <c r="H81" s="495"/>
      <c r="I81" s="495"/>
      <c r="J81" s="495"/>
      <c r="K81" s="496"/>
      <c r="L81" s="497"/>
      <c r="M81" s="498"/>
      <c r="N81" s="2947"/>
      <c r="O81" s="2947"/>
      <c r="P81" s="2956"/>
      <c r="Q81" s="2933"/>
      <c r="R81" s="2919"/>
      <c r="S81" s="2919"/>
      <c r="T81" s="2919"/>
      <c r="U81" s="2919"/>
      <c r="V81" s="2919"/>
      <c r="W81" s="2919"/>
      <c r="X81" s="2919"/>
      <c r="Y81" s="2919"/>
      <c r="Z81" s="2919"/>
      <c r="AA81" s="2919"/>
      <c r="AB81" s="2919"/>
      <c r="AC81" s="291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8"/>
      <c r="O82" s="2948"/>
      <c r="P82" s="2956"/>
      <c r="Q82" s="2933"/>
      <c r="R82" s="2919"/>
      <c r="S82" s="2919"/>
      <c r="T82" s="2919"/>
      <c r="U82" s="2919"/>
      <c r="V82" s="2919"/>
      <c r="W82" s="2919"/>
      <c r="X82" s="2919"/>
      <c r="Y82" s="2919"/>
      <c r="Z82" s="2919"/>
      <c r="AA82" s="2919"/>
      <c r="AB82" s="2919"/>
      <c r="AC82" s="2919"/>
    </row>
    <row r="83" spans="1:29" ht="15.75" thickTop="1">
      <c r="A83" s="490"/>
      <c r="B83" s="502" t="s">
        <v>2450</v>
      </c>
      <c r="C83" s="615" t="s">
        <v>2436</v>
      </c>
      <c r="D83" s="615" t="s">
        <v>2437</v>
      </c>
      <c r="E83" s="615" t="s">
        <v>2438</v>
      </c>
      <c r="F83" s="615" t="s">
        <v>2439</v>
      </c>
      <c r="G83" s="615" t="s">
        <v>2440</v>
      </c>
      <c r="H83" s="495"/>
      <c r="I83" s="495"/>
      <c r="J83" s="495"/>
      <c r="K83" s="495"/>
      <c r="L83" s="495"/>
      <c r="M83" s="1259"/>
      <c r="N83" s="2948"/>
      <c r="O83" s="2948"/>
      <c r="P83" s="2956"/>
      <c r="Q83" s="2933"/>
      <c r="R83" s="2919"/>
      <c r="S83" s="2919"/>
      <c r="T83" s="2919"/>
      <c r="U83" s="2919"/>
      <c r="V83" s="2919"/>
      <c r="W83" s="2919"/>
      <c r="X83" s="2919"/>
      <c r="Y83" s="2919"/>
      <c r="Z83" s="2919"/>
      <c r="AA83" s="2919"/>
      <c r="AB83" s="2919"/>
      <c r="AC83" s="291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8"/>
      <c r="O84" s="2948"/>
      <c r="P84" s="2956"/>
      <c r="Q84" s="2933"/>
      <c r="R84" s="2919"/>
      <c r="S84" s="2919"/>
      <c r="T84" s="2919"/>
      <c r="U84" s="2919"/>
      <c r="V84" s="2919"/>
      <c r="W84" s="2919"/>
      <c r="X84" s="2919"/>
      <c r="Y84" s="2919"/>
      <c r="Z84" s="2919"/>
      <c r="AA84" s="2919"/>
      <c r="AB84" s="2919"/>
      <c r="AC84" s="2919"/>
    </row>
    <row r="85" spans="1:29" ht="15.75" thickTop="1">
      <c r="A85" s="490"/>
      <c r="B85" s="494" t="s">
        <v>2459</v>
      </c>
      <c r="C85" s="534" t="s">
        <v>2358</v>
      </c>
      <c r="D85" s="534" t="s">
        <v>2359</v>
      </c>
      <c r="E85" s="534" t="s">
        <v>2360</v>
      </c>
      <c r="F85" s="534" t="s">
        <v>2361</v>
      </c>
      <c r="G85" s="534" t="s">
        <v>2362</v>
      </c>
      <c r="H85" s="495"/>
      <c r="I85" s="495"/>
      <c r="J85" s="495"/>
      <c r="K85" s="496"/>
      <c r="L85" s="497"/>
      <c r="M85" s="498"/>
      <c r="N85" s="2947"/>
      <c r="O85" s="2947"/>
      <c r="P85" s="2956"/>
      <c r="Q85" s="2933"/>
      <c r="R85" s="2919"/>
      <c r="S85" s="2919"/>
      <c r="T85" s="2919"/>
      <c r="U85" s="2919"/>
      <c r="V85" s="2919"/>
      <c r="W85" s="2919"/>
      <c r="X85" s="2919"/>
      <c r="Y85" s="2919"/>
      <c r="Z85" s="2919"/>
      <c r="AA85" s="2919"/>
      <c r="AB85" s="2919"/>
      <c r="AC85" s="291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8"/>
      <c r="O86" s="2948"/>
      <c r="P86" s="2956"/>
      <c r="Q86" s="2933"/>
      <c r="R86" s="2919"/>
      <c r="S86" s="2919"/>
      <c r="T86" s="2919"/>
      <c r="U86" s="2919"/>
      <c r="V86" s="2919"/>
      <c r="W86" s="2919"/>
      <c r="X86" s="2919"/>
      <c r="Y86" s="2919"/>
      <c r="Z86" s="2919"/>
      <c r="AA86" s="2919"/>
      <c r="AB86" s="2919"/>
      <c r="AC86" s="2919"/>
    </row>
    <row r="87" spans="1:29" s="112" customFormat="1" ht="27.75" thickTop="1">
      <c r="A87" s="535"/>
      <c r="B87" s="494" t="s">
        <v>2460</v>
      </c>
      <c r="C87" s="510"/>
      <c r="D87" s="510"/>
      <c r="E87" s="510"/>
      <c r="F87" s="510"/>
      <c r="G87" s="510"/>
      <c r="H87" s="510"/>
      <c r="I87" s="510"/>
      <c r="J87" s="510"/>
      <c r="K87" s="510"/>
      <c r="L87" s="536"/>
      <c r="M87" s="537"/>
      <c r="N87" s="2946"/>
      <c r="O87" s="2946"/>
      <c r="P87" s="2956"/>
      <c r="Q87" s="2933"/>
      <c r="R87" s="2853"/>
      <c r="S87" s="2853"/>
      <c r="T87" s="2853"/>
      <c r="U87" s="2853"/>
      <c r="V87" s="2853"/>
      <c r="W87" s="2853"/>
      <c r="X87" s="2853"/>
      <c r="Y87" s="2853"/>
      <c r="Z87" s="2853"/>
      <c r="AA87" s="2853"/>
      <c r="AB87" s="2853"/>
      <c r="AC87" s="285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8"/>
      <c r="O88" s="2948"/>
      <c r="P88" s="2956"/>
      <c r="Q88" s="2933"/>
      <c r="R88" s="2853"/>
      <c r="S88" s="2853"/>
      <c r="T88" s="2853"/>
      <c r="U88" s="2853"/>
      <c r="V88" s="2853"/>
      <c r="W88" s="2853"/>
      <c r="X88" s="2853"/>
      <c r="Y88" s="2853"/>
      <c r="Z88" s="2853"/>
      <c r="AA88" s="2853"/>
      <c r="AB88" s="2853"/>
      <c r="AC88" s="2853"/>
    </row>
    <row r="89" spans="1:29" s="112" customFormat="1" ht="15.75" thickTop="1">
      <c r="A89" s="535"/>
      <c r="B89" s="494" t="str">
        <f>B27</f>
        <v>楼层</v>
      </c>
      <c r="C89" s="510"/>
      <c r="D89" s="510"/>
      <c r="E89" s="510"/>
      <c r="F89" s="2079"/>
      <c r="G89" s="510"/>
      <c r="H89" s="510"/>
      <c r="I89" s="510"/>
      <c r="J89" s="510"/>
      <c r="K89" s="510"/>
      <c r="L89" s="510"/>
      <c r="M89" s="537"/>
      <c r="N89" s="2946"/>
      <c r="O89" s="2946"/>
      <c r="P89" s="2956"/>
      <c r="Q89" s="2933"/>
      <c r="R89" s="2853"/>
      <c r="S89" s="2853"/>
      <c r="T89" s="2853"/>
      <c r="U89" s="2853"/>
      <c r="V89" s="2853"/>
      <c r="W89" s="2853"/>
      <c r="X89" s="2853"/>
      <c r="Y89" s="2853"/>
      <c r="Z89" s="2853"/>
      <c r="AA89" s="2853"/>
      <c r="AB89" s="2853"/>
      <c r="AC89" s="285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48"/>
      <c r="O90" s="2948"/>
      <c r="P90" s="2956"/>
      <c r="Q90" s="2933"/>
      <c r="R90" s="2853"/>
      <c r="S90" s="2853"/>
      <c r="T90" s="2853"/>
      <c r="U90" s="2853"/>
      <c r="V90" s="2853"/>
      <c r="W90" s="2853"/>
      <c r="X90" s="2853"/>
      <c r="Y90" s="2853"/>
      <c r="Z90" s="2853"/>
      <c r="AA90" s="2853"/>
      <c r="AB90" s="2853"/>
      <c r="AC90" s="2853"/>
    </row>
    <row r="91" spans="1:29" s="429" customFormat="1" ht="15.75" thickTop="1">
      <c r="A91" s="509"/>
      <c r="B91" s="494" t="str">
        <f>B28</f>
        <v>朝向</v>
      </c>
      <c r="C91" s="510"/>
      <c r="D91" s="510"/>
      <c r="E91" s="510"/>
      <c r="F91" s="510"/>
      <c r="G91" s="510"/>
      <c r="H91" s="511"/>
      <c r="I91" s="511"/>
      <c r="J91" s="511"/>
      <c r="K91" s="511"/>
      <c r="L91" s="512"/>
      <c r="M91" s="513"/>
      <c r="N91" s="2949"/>
      <c r="O91" s="2949"/>
      <c r="P91" s="2957"/>
      <c r="Q91" s="2940"/>
      <c r="R91" s="2941"/>
      <c r="S91" s="2941"/>
      <c r="T91" s="2941"/>
      <c r="U91" s="2941"/>
      <c r="V91" s="2941"/>
      <c r="W91" s="2941"/>
      <c r="X91" s="2941"/>
      <c r="Y91" s="2941"/>
      <c r="Z91" s="2941"/>
      <c r="AA91" s="2941"/>
      <c r="AB91" s="2941"/>
      <c r="AC91" s="294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0"/>
      <c r="B93" s="494">
        <f>B29</f>
        <v>111</v>
      </c>
      <c r="C93" s="510"/>
      <c r="D93" s="510"/>
      <c r="E93" s="510"/>
      <c r="F93" s="510"/>
      <c r="G93" s="510"/>
      <c r="H93" s="510"/>
      <c r="I93" s="510"/>
      <c r="J93" s="510"/>
      <c r="K93" s="510"/>
      <c r="L93" s="536"/>
      <c r="M93" s="537"/>
      <c r="N93" s="2947"/>
      <c r="O93" s="2947"/>
      <c r="P93" s="2956"/>
      <c r="Q93" s="2933"/>
      <c r="R93" s="2919"/>
      <c r="S93" s="2919"/>
      <c r="T93" s="2919"/>
      <c r="U93" s="2919"/>
      <c r="V93" s="2919"/>
      <c r="W93" s="2919"/>
      <c r="X93" s="2919"/>
      <c r="Y93" s="2919"/>
      <c r="Z93" s="2919"/>
      <c r="AA93" s="2919"/>
      <c r="AB93" s="2919"/>
      <c r="AC93" s="2919"/>
    </row>
    <row r="94" spans="1:29" ht="15.75" thickBot="1">
      <c r="A94" s="490"/>
      <c r="B94" s="499"/>
      <c r="C94" s="516"/>
      <c r="D94" s="492"/>
      <c r="E94" s="492"/>
      <c r="F94" s="492"/>
      <c r="G94" s="492"/>
      <c r="H94" s="492"/>
      <c r="I94" s="492"/>
      <c r="J94" s="492"/>
      <c r="K94" s="492"/>
      <c r="L94" s="492"/>
      <c r="M94" s="493"/>
      <c r="N94" s="2948"/>
      <c r="O94" s="2948"/>
      <c r="P94" s="2956"/>
      <c r="Q94" s="2933"/>
      <c r="R94" s="2919"/>
      <c r="S94" s="2919"/>
      <c r="T94" s="2919"/>
      <c r="U94" s="2919"/>
      <c r="V94" s="2919"/>
      <c r="W94" s="2919"/>
      <c r="X94" s="2919"/>
      <c r="Y94" s="2919"/>
      <c r="Z94" s="2919"/>
      <c r="AA94" s="2919"/>
      <c r="AB94" s="2919"/>
      <c r="AC94" s="2919"/>
    </row>
    <row r="95" spans="1:29" ht="15.75" thickTop="1">
      <c r="A95" s="490"/>
      <c r="B95" s="494">
        <f>B30</f>
        <v>111</v>
      </c>
      <c r="C95" s="510"/>
      <c r="D95" s="510"/>
      <c r="E95" s="510"/>
      <c r="F95" s="510"/>
      <c r="G95" s="539"/>
      <c r="H95" s="539"/>
      <c r="I95" s="539"/>
      <c r="J95" s="539"/>
      <c r="K95" s="540"/>
      <c r="L95" s="541"/>
      <c r="M95" s="542"/>
      <c r="N95" s="2947"/>
      <c r="O95" s="2947"/>
      <c r="P95" s="2956"/>
      <c r="Q95" s="2933"/>
      <c r="R95" s="2919"/>
      <c r="S95" s="2919"/>
      <c r="T95" s="2919"/>
      <c r="U95" s="2919"/>
      <c r="V95" s="2919"/>
      <c r="W95" s="2919"/>
      <c r="X95" s="2919"/>
      <c r="Y95" s="2919"/>
      <c r="Z95" s="2919"/>
      <c r="AA95" s="2919"/>
      <c r="AB95" s="2919"/>
      <c r="AC95" s="2919"/>
    </row>
    <row r="96" spans="1:29" ht="15.75" thickBot="1">
      <c r="A96" s="490"/>
      <c r="B96" s="499"/>
      <c r="C96" s="516"/>
      <c r="D96" s="516"/>
      <c r="E96" s="516"/>
      <c r="F96" s="516"/>
      <c r="G96" s="492"/>
      <c r="H96" s="492"/>
      <c r="I96" s="492"/>
      <c r="J96" s="492"/>
      <c r="K96" s="492"/>
      <c r="L96" s="492"/>
      <c r="M96" s="493"/>
      <c r="N96" s="2948"/>
      <c r="O96" s="2948"/>
      <c r="P96" s="2956"/>
      <c r="Q96" s="2933"/>
      <c r="R96" s="2919"/>
      <c r="S96" s="2919"/>
      <c r="T96" s="2919"/>
      <c r="U96" s="2919"/>
      <c r="V96" s="2919"/>
      <c r="W96" s="2919"/>
      <c r="X96" s="2919"/>
      <c r="Y96" s="2919"/>
      <c r="Z96" s="2919"/>
      <c r="AA96" s="2919"/>
      <c r="AB96" s="2919"/>
      <c r="AC96" s="2919"/>
    </row>
    <row r="97" spans="1:29" ht="15.75" thickTop="1">
      <c r="A97" s="490"/>
      <c r="B97" s="494">
        <f>B31</f>
        <v>111</v>
      </c>
      <c r="C97" s="510"/>
      <c r="D97" s="510"/>
      <c r="E97" s="510"/>
      <c r="F97" s="510"/>
      <c r="G97" s="539"/>
      <c r="H97" s="539"/>
      <c r="I97" s="539"/>
      <c r="J97" s="539"/>
      <c r="K97" s="540"/>
      <c r="L97" s="541"/>
      <c r="M97" s="542"/>
      <c r="N97" s="2947"/>
      <c r="O97" s="2947"/>
      <c r="P97" s="2956"/>
      <c r="Q97" s="2933"/>
      <c r="R97" s="2919"/>
      <c r="S97" s="2919"/>
      <c r="T97" s="2919"/>
      <c r="U97" s="2919"/>
      <c r="V97" s="2919"/>
      <c r="W97" s="2919"/>
      <c r="X97" s="2919"/>
      <c r="Y97" s="2919"/>
      <c r="Z97" s="2919"/>
      <c r="AA97" s="2919"/>
      <c r="AB97" s="2919"/>
      <c r="AC97" s="2919"/>
    </row>
    <row r="98" spans="1:29" ht="15.75" thickBot="1">
      <c r="A98" s="490"/>
      <c r="B98" s="499"/>
      <c r="C98" s="516"/>
      <c r="D98" s="492"/>
      <c r="E98" s="492"/>
      <c r="F98" s="492"/>
      <c r="G98" s="492"/>
      <c r="H98" s="492"/>
      <c r="I98" s="492"/>
      <c r="J98" s="492"/>
      <c r="K98" s="492"/>
      <c r="L98" s="492"/>
      <c r="M98" s="493"/>
      <c r="N98" s="2948"/>
      <c r="O98" s="2948"/>
      <c r="P98" s="2956"/>
      <c r="Q98" s="2933"/>
      <c r="R98" s="2919"/>
      <c r="S98" s="2919"/>
      <c r="T98" s="2919"/>
      <c r="U98" s="2919"/>
      <c r="V98" s="2919"/>
      <c r="W98" s="2919"/>
      <c r="X98" s="2919"/>
      <c r="Y98" s="2919"/>
      <c r="Z98" s="2919"/>
      <c r="AA98" s="2919"/>
      <c r="AB98" s="2919"/>
      <c r="AC98" s="2919"/>
    </row>
    <row r="99" spans="1:29" ht="15.75" thickTop="1">
      <c r="A99" s="490"/>
      <c r="B99" s="502">
        <f>B32</f>
        <v>111</v>
      </c>
      <c r="C99" s="479"/>
      <c r="D99" s="479"/>
      <c r="E99" s="479"/>
      <c r="F99" s="479"/>
      <c r="G99" s="543"/>
      <c r="H99" s="543"/>
      <c r="I99" s="543"/>
      <c r="J99" s="543"/>
      <c r="K99" s="544"/>
      <c r="L99" s="545"/>
      <c r="M99" s="546"/>
      <c r="N99" s="2947"/>
      <c r="O99" s="2947"/>
      <c r="P99" s="2956"/>
      <c r="Q99" s="2933"/>
      <c r="R99" s="2919"/>
      <c r="S99" s="2919"/>
      <c r="T99" s="2919"/>
      <c r="U99" s="2919"/>
      <c r="V99" s="2919"/>
      <c r="W99" s="2919"/>
      <c r="X99" s="2919"/>
      <c r="Y99" s="2919"/>
      <c r="Z99" s="2919"/>
      <c r="AA99" s="2919"/>
      <c r="AB99" s="2919"/>
      <c r="AC99" s="2919"/>
    </row>
    <row r="100" spans="1:29" ht="15.75" thickBot="1">
      <c r="A100" s="2080"/>
      <c r="B100" s="525"/>
      <c r="C100" s="526"/>
      <c r="D100" s="526"/>
      <c r="E100" s="526"/>
      <c r="F100" s="526"/>
      <c r="G100" s="547"/>
      <c r="H100" s="547"/>
      <c r="I100" s="547"/>
      <c r="J100" s="547"/>
      <c r="K100" s="547"/>
      <c r="L100" s="547"/>
      <c r="M100" s="548"/>
      <c r="N100" s="2948"/>
      <c r="O100" s="2948"/>
      <c r="P100" s="2956"/>
      <c r="Q100" s="2933"/>
      <c r="R100" s="2919"/>
      <c r="S100" s="2919"/>
      <c r="T100" s="2919"/>
      <c r="U100" s="2919"/>
      <c r="V100" s="2919"/>
      <c r="W100" s="2919"/>
      <c r="X100" s="2919"/>
      <c r="Y100" s="2919"/>
      <c r="Z100" s="2919"/>
      <c r="AA100" s="2919"/>
      <c r="AB100" s="2919"/>
      <c r="AC100" s="2919"/>
    </row>
    <row r="101" spans="1:29">
      <c r="A101" s="483" t="s">
        <v>2324</v>
      </c>
      <c r="B101" s="484" t="s">
        <v>2373</v>
      </c>
      <c r="C101" s="486"/>
      <c r="D101" s="486"/>
      <c r="E101" s="486"/>
      <c r="F101" s="486"/>
      <c r="G101" s="486"/>
      <c r="H101" s="486"/>
      <c r="I101" s="486"/>
      <c r="J101" s="486"/>
      <c r="K101" s="487"/>
      <c r="L101" s="488"/>
      <c r="M101" s="489"/>
      <c r="N101" s="2947"/>
      <c r="O101" s="2947"/>
      <c r="P101" s="2956"/>
      <c r="Q101" s="2933"/>
      <c r="R101" s="2919"/>
      <c r="S101" s="2919"/>
      <c r="T101" s="2919"/>
      <c r="U101" s="2919"/>
      <c r="V101" s="2919"/>
      <c r="W101" s="2919"/>
      <c r="X101" s="2919"/>
      <c r="Y101" s="2919"/>
      <c r="Z101" s="2919"/>
      <c r="AA101" s="2919"/>
      <c r="AB101" s="2919"/>
      <c r="AC101" s="291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29" customFormat="1">
      <c r="A104" s="549"/>
      <c r="B104" s="550"/>
      <c r="C104" s="551"/>
      <c r="D104" s="551"/>
      <c r="E104" s="551"/>
      <c r="F104" s="551"/>
      <c r="G104" s="551"/>
      <c r="H104" s="551"/>
      <c r="I104" s="551"/>
      <c r="J104" s="552"/>
      <c r="K104" s="552"/>
      <c r="L104" s="553"/>
      <c r="M104" s="554"/>
      <c r="N104" s="2949"/>
      <c r="O104" s="2949"/>
      <c r="P104" s="2957"/>
      <c r="Q104" s="2940"/>
      <c r="R104" s="2941"/>
      <c r="S104" s="2941"/>
      <c r="T104" s="2941"/>
      <c r="U104" s="2941"/>
      <c r="V104" s="2941"/>
      <c r="W104" s="2941"/>
      <c r="X104" s="2941"/>
      <c r="Y104" s="2941"/>
      <c r="Z104" s="2941"/>
      <c r="AA104" s="2941"/>
      <c r="AB104" s="2941"/>
      <c r="AC104" s="2941"/>
    </row>
    <row r="105" spans="1:29" s="429" customFormat="1" ht="15.75" thickBot="1">
      <c r="A105" s="509"/>
      <c r="B105" s="499"/>
      <c r="C105" s="516"/>
      <c r="D105" s="492"/>
      <c r="E105" s="492"/>
      <c r="F105" s="492"/>
      <c r="G105" s="492"/>
      <c r="H105" s="492"/>
      <c r="I105" s="492"/>
      <c r="J105" s="492"/>
      <c r="K105" s="492"/>
      <c r="L105" s="492"/>
      <c r="M105" s="493"/>
      <c r="N105" s="2948"/>
      <c r="O105" s="2948"/>
      <c r="P105" s="2957"/>
      <c r="Q105" s="2940"/>
      <c r="R105" s="2941"/>
      <c r="S105" s="2941"/>
      <c r="T105" s="2941"/>
      <c r="U105" s="2941"/>
      <c r="V105" s="2941"/>
      <c r="W105" s="2941"/>
      <c r="X105" s="2941"/>
      <c r="Y105" s="2941"/>
      <c r="Z105" s="2941"/>
      <c r="AA105" s="2941"/>
      <c r="AB105" s="2941"/>
      <c r="AC105" s="2941"/>
    </row>
    <row r="106" spans="1:29" ht="15" thickTop="1">
      <c r="A106" s="555"/>
      <c r="B106" s="494" t="s">
        <v>2375</v>
      </c>
      <c r="C106" s="510"/>
      <c r="D106" s="510"/>
      <c r="E106" s="539"/>
      <c r="F106" s="539"/>
      <c r="G106" s="539"/>
      <c r="H106" s="539"/>
      <c r="I106" s="539"/>
      <c r="J106" s="539"/>
      <c r="K106" s="540"/>
      <c r="L106" s="541"/>
      <c r="M106" s="542"/>
      <c r="N106" s="2947"/>
      <c r="O106" s="2947"/>
      <c r="P106" s="2956"/>
      <c r="Q106" s="2933"/>
      <c r="R106" s="2919"/>
      <c r="S106" s="2919"/>
      <c r="T106" s="2919"/>
      <c r="U106" s="2919"/>
      <c r="V106" s="2919"/>
      <c r="W106" s="2919"/>
      <c r="X106" s="2919"/>
      <c r="Y106" s="2919"/>
      <c r="Z106" s="2919"/>
      <c r="AA106" s="2919"/>
      <c r="AB106" s="2919"/>
      <c r="AC106" s="291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5"/>
      <c r="B108" s="494" t="s">
        <v>2377</v>
      </c>
      <c r="C108" s="510"/>
      <c r="D108" s="510"/>
      <c r="E108" s="510"/>
      <c r="F108" s="539"/>
      <c r="G108" s="539"/>
      <c r="H108" s="539"/>
      <c r="I108" s="539"/>
      <c r="J108" s="539"/>
      <c r="K108" s="540"/>
      <c r="L108" s="541"/>
      <c r="M108" s="542"/>
      <c r="N108" s="2947"/>
      <c r="O108" s="2947"/>
      <c r="P108" s="2956"/>
      <c r="Q108" s="2933"/>
      <c r="R108" s="2919"/>
      <c r="S108" s="2919"/>
      <c r="T108" s="2919"/>
      <c r="U108" s="2919"/>
      <c r="V108" s="2919"/>
      <c r="W108" s="2919"/>
      <c r="X108" s="2919"/>
      <c r="Y108" s="2919"/>
      <c r="Z108" s="2919"/>
      <c r="AA108" s="2919"/>
      <c r="AB108" s="2919"/>
      <c r="AC108" s="291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7"/>
      <c r="O110" s="2947"/>
      <c r="P110" s="2956"/>
      <c r="Q110" s="2933"/>
      <c r="R110" s="2919"/>
      <c r="S110" s="2919"/>
      <c r="T110" s="2919"/>
      <c r="U110" s="2919"/>
      <c r="V110" s="2919"/>
      <c r="W110" s="2919"/>
      <c r="X110" s="2919"/>
      <c r="Y110" s="2919"/>
      <c r="Z110" s="2919"/>
      <c r="AA110" s="2919"/>
      <c r="AB110" s="2919"/>
      <c r="AC110" s="2919"/>
    </row>
    <row r="111" spans="1:29">
      <c r="A111" s="555"/>
      <c r="B111" s="502"/>
      <c r="C111" s="559">
        <v>0.5</v>
      </c>
      <c r="D111" s="559">
        <v>0.6</v>
      </c>
      <c r="E111" s="559">
        <v>0.7</v>
      </c>
      <c r="F111" s="559">
        <v>0.8</v>
      </c>
      <c r="G111" s="559">
        <v>0.9</v>
      </c>
      <c r="H111" s="559">
        <v>1.0001</v>
      </c>
      <c r="I111" s="578"/>
      <c r="J111" s="578"/>
      <c r="K111" s="579"/>
      <c r="L111" s="580"/>
      <c r="M111" s="581"/>
      <c r="N111" s="2947"/>
      <c r="O111" s="2947"/>
      <c r="P111" s="2956"/>
      <c r="Q111" s="2933"/>
      <c r="R111" s="2919"/>
      <c r="S111" s="2919"/>
      <c r="T111" s="2919"/>
      <c r="U111" s="2919"/>
      <c r="V111" s="2919"/>
      <c r="W111" s="2919"/>
      <c r="X111" s="2919"/>
      <c r="Y111" s="2919"/>
      <c r="Z111" s="2919"/>
      <c r="AA111" s="2919"/>
      <c r="AB111" s="2919"/>
      <c r="AC111" s="291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8"/>
      <c r="O112" s="2948"/>
      <c r="P112" s="2956"/>
      <c r="Q112" s="2933"/>
      <c r="R112" s="2919"/>
      <c r="S112" s="2919"/>
      <c r="T112" s="2919"/>
      <c r="U112" s="2919"/>
      <c r="V112" s="2919"/>
      <c r="W112" s="2919"/>
      <c r="X112" s="2919"/>
      <c r="Y112" s="2919"/>
      <c r="Z112" s="2919"/>
      <c r="AA112" s="2919"/>
      <c r="AB112" s="2919"/>
      <c r="AC112" s="2919"/>
    </row>
    <row r="113" spans="1:29" s="429" customFormat="1" ht="15" thickTop="1">
      <c r="A113" s="549"/>
      <c r="B113" s="494" t="s">
        <v>2461</v>
      </c>
      <c r="C113" s="510"/>
      <c r="D113" s="510"/>
      <c r="E113" s="510"/>
      <c r="F113" s="510"/>
      <c r="G113" s="510"/>
      <c r="H113" s="539"/>
      <c r="I113" s="539"/>
      <c r="J113" s="539"/>
      <c r="K113" s="540"/>
      <c r="L113" s="541"/>
      <c r="M113" s="542"/>
      <c r="N113" s="2949"/>
      <c r="O113" s="2949"/>
      <c r="P113" s="2957"/>
      <c r="Q113" s="2940"/>
      <c r="R113" s="2941"/>
      <c r="S113" s="2941"/>
      <c r="T113" s="2941"/>
      <c r="U113" s="2941"/>
      <c r="V113" s="2941"/>
      <c r="W113" s="2941"/>
      <c r="X113" s="2941"/>
      <c r="Y113" s="2941"/>
      <c r="Z113" s="2941"/>
      <c r="AA113" s="2941"/>
      <c r="AB113" s="2941"/>
      <c r="AC113" s="294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5"/>
      <c r="B115" s="494" t="s">
        <v>2378</v>
      </c>
      <c r="C115" s="510"/>
      <c r="D115" s="510"/>
      <c r="E115" s="539"/>
      <c r="F115" s="539"/>
      <c r="G115" s="539"/>
      <c r="H115" s="539"/>
      <c r="I115" s="539"/>
      <c r="J115" s="539"/>
      <c r="K115" s="540"/>
      <c r="L115" s="541"/>
      <c r="M115" s="542"/>
      <c r="N115" s="2947"/>
      <c r="O115" s="2947"/>
      <c r="P115" s="2956"/>
      <c r="Q115" s="2933"/>
      <c r="R115" s="2919"/>
      <c r="S115" s="2919"/>
      <c r="T115" s="2919"/>
      <c r="U115" s="2919"/>
      <c r="V115" s="2919"/>
      <c r="W115" s="2919"/>
      <c r="X115" s="2919"/>
      <c r="Y115" s="2919"/>
      <c r="Z115" s="2919"/>
      <c r="AA115" s="2919"/>
      <c r="AB115" s="2919"/>
      <c r="AC115" s="291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5"/>
      <c r="B117" s="494" t="s">
        <v>2379</v>
      </c>
      <c r="C117" s="510"/>
      <c r="D117" s="510"/>
      <c r="E117" s="510"/>
      <c r="F117" s="510"/>
      <c r="G117" s="510"/>
      <c r="H117" s="539"/>
      <c r="I117" s="539"/>
      <c r="J117" s="539"/>
      <c r="K117" s="540"/>
      <c r="L117" s="541"/>
      <c r="M117" s="542"/>
      <c r="N117" s="2947"/>
      <c r="O117" s="2947"/>
      <c r="P117" s="2956"/>
      <c r="Q117" s="2933"/>
      <c r="R117" s="2919"/>
      <c r="S117" s="2919"/>
      <c r="T117" s="2919"/>
      <c r="U117" s="2919"/>
      <c r="V117" s="2919"/>
      <c r="W117" s="2919"/>
      <c r="X117" s="2919"/>
      <c r="Y117" s="2919"/>
      <c r="Z117" s="2919"/>
      <c r="AA117" s="2919"/>
      <c r="AB117" s="2919"/>
      <c r="AC117" s="291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8"/>
      <c r="O118" s="2948"/>
      <c r="P118" s="2956"/>
      <c r="Q118" s="2933"/>
      <c r="R118" s="2919"/>
      <c r="S118" s="2919"/>
      <c r="T118" s="2919"/>
      <c r="U118" s="2919"/>
      <c r="V118" s="2919"/>
      <c r="W118" s="2919"/>
      <c r="X118" s="2919"/>
      <c r="Y118" s="2919"/>
      <c r="Z118" s="2919"/>
      <c r="AA118" s="2919"/>
      <c r="AB118" s="2919"/>
      <c r="AC118" s="2919"/>
    </row>
    <row r="119" spans="1:29" ht="15" thickTop="1">
      <c r="A119" s="555"/>
      <c r="B119" s="591" t="s">
        <v>2462</v>
      </c>
      <c r="C119" s="539"/>
      <c r="D119" s="539"/>
      <c r="E119" s="539"/>
      <c r="F119" s="539"/>
      <c r="G119" s="539"/>
      <c r="H119" s="539"/>
      <c r="I119" s="539"/>
      <c r="J119" s="539"/>
      <c r="K119" s="539"/>
      <c r="L119" s="2120"/>
      <c r="M119" s="2121"/>
      <c r="N119" s="2948"/>
      <c r="O119" s="2948"/>
      <c r="P119" s="2961"/>
      <c r="Q119" s="2962"/>
      <c r="R119" s="2919"/>
      <c r="S119" s="2919"/>
      <c r="T119" s="2919"/>
      <c r="U119" s="2919"/>
      <c r="V119" s="2919"/>
      <c r="W119" s="2919"/>
      <c r="X119" s="2919"/>
      <c r="Y119" s="2919"/>
      <c r="Z119" s="2919"/>
      <c r="AA119" s="2919"/>
      <c r="AB119" s="2919"/>
      <c r="AC119" s="291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8"/>
      <c r="O120" s="2948"/>
      <c r="P120" s="2956"/>
      <c r="Q120" s="2933"/>
      <c r="R120" s="2919"/>
      <c r="S120" s="2919"/>
      <c r="T120" s="2919"/>
      <c r="U120" s="2919"/>
      <c r="V120" s="2919"/>
      <c r="W120" s="2919"/>
      <c r="X120" s="2919"/>
      <c r="Y120" s="2919"/>
      <c r="Z120" s="2919"/>
      <c r="AA120" s="2919"/>
      <c r="AB120" s="2919"/>
      <c r="AC120" s="2919"/>
    </row>
    <row r="121" spans="1:29" s="429" customFormat="1" ht="15" thickTop="1">
      <c r="A121" s="549"/>
      <c r="B121" s="494" t="s">
        <v>2445</v>
      </c>
      <c r="C121" s="510"/>
      <c r="D121" s="510"/>
      <c r="E121" s="510"/>
      <c r="F121" s="539"/>
      <c r="G121" s="511"/>
      <c r="H121" s="511"/>
      <c r="I121" s="511"/>
      <c r="J121" s="511"/>
      <c r="K121" s="511"/>
      <c r="L121" s="512"/>
      <c r="M121" s="513"/>
      <c r="N121" s="2949"/>
      <c r="O121" s="2949"/>
      <c r="P121" s="2957"/>
      <c r="Q121" s="2940"/>
      <c r="R121" s="2941"/>
      <c r="S121" s="2941"/>
      <c r="T121" s="2941"/>
      <c r="U121" s="2941"/>
      <c r="V121" s="2941"/>
      <c r="W121" s="2941"/>
      <c r="X121" s="2941"/>
      <c r="Y121" s="2941"/>
      <c r="Z121" s="2941"/>
      <c r="AA121" s="2941"/>
      <c r="AB121" s="2941"/>
      <c r="AC121" s="2941"/>
    </row>
    <row r="122" spans="1:29" s="429" customFormat="1" ht="15.75" thickBot="1">
      <c r="A122" s="509"/>
      <c r="B122" s="491"/>
      <c r="C122" s="516"/>
      <c r="D122" s="516"/>
      <c r="E122" s="516"/>
      <c r="F122" s="516"/>
      <c r="G122" s="516"/>
      <c r="H122" s="516"/>
      <c r="I122" s="516"/>
      <c r="J122" s="516"/>
      <c r="K122" s="516"/>
      <c r="L122" s="516"/>
      <c r="M122" s="516"/>
      <c r="N122" s="2949"/>
      <c r="O122" s="2949"/>
      <c r="P122" s="2957"/>
      <c r="Q122" s="2940"/>
      <c r="R122" s="2941"/>
      <c r="S122" s="2941"/>
      <c r="T122" s="2941"/>
      <c r="U122" s="2941"/>
      <c r="V122" s="2941"/>
      <c r="W122" s="2941"/>
      <c r="X122" s="2941"/>
      <c r="Y122" s="2941"/>
      <c r="Z122" s="2941"/>
      <c r="AA122" s="2941"/>
      <c r="AB122" s="2941"/>
      <c r="AC122" s="2941"/>
    </row>
    <row r="123" spans="1:29" ht="15" thickTop="1">
      <c r="A123" s="555"/>
      <c r="B123" s="494" t="s">
        <v>2381</v>
      </c>
      <c r="C123" s="510"/>
      <c r="D123" s="510"/>
      <c r="E123" s="510"/>
      <c r="F123" s="539"/>
      <c r="G123" s="539"/>
      <c r="H123" s="539"/>
      <c r="I123" s="539"/>
      <c r="J123" s="539"/>
      <c r="K123" s="540"/>
      <c r="L123" s="541"/>
      <c r="M123" s="542"/>
      <c r="N123" s="2947"/>
      <c r="O123" s="2947"/>
      <c r="P123" s="2956"/>
      <c r="Q123" s="2933"/>
      <c r="R123" s="2919"/>
      <c r="S123" s="2919"/>
      <c r="T123" s="2919"/>
      <c r="U123" s="2919"/>
      <c r="V123" s="2919"/>
      <c r="W123" s="2919"/>
      <c r="X123" s="2919"/>
      <c r="Y123" s="2919"/>
      <c r="Z123" s="2919"/>
      <c r="AA123" s="2919"/>
      <c r="AB123" s="2919"/>
      <c r="AC123" s="291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7"/>
      <c r="O125" s="2947"/>
      <c r="P125" s="2957"/>
      <c r="Q125" s="2933"/>
      <c r="R125" s="2919"/>
      <c r="S125" s="2919"/>
      <c r="T125" s="2919"/>
      <c r="U125" s="2919"/>
      <c r="V125" s="2919"/>
      <c r="W125" s="2919"/>
      <c r="X125" s="2919"/>
      <c r="Y125" s="2919"/>
      <c r="Z125" s="2919"/>
      <c r="AA125" s="2919"/>
      <c r="AB125" s="2919"/>
      <c r="AC125" s="291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8"/>
      <c r="O126" s="2948"/>
      <c r="P126" s="2956"/>
      <c r="Q126" s="2933"/>
      <c r="R126" s="2919"/>
      <c r="S126" s="2919"/>
      <c r="T126" s="2919"/>
      <c r="U126" s="2919"/>
      <c r="V126" s="2919"/>
      <c r="W126" s="2919"/>
      <c r="X126" s="2919"/>
      <c r="Y126" s="2919"/>
      <c r="Z126" s="2919"/>
      <c r="AA126" s="2919"/>
      <c r="AB126" s="2919"/>
      <c r="AC126" s="2919"/>
    </row>
    <row r="127" spans="1:29" s="429" customFormat="1" ht="15" thickTop="1">
      <c r="A127" s="549"/>
      <c r="B127" s="494">
        <f>B45</f>
        <v>111</v>
      </c>
      <c r="C127" s="510"/>
      <c r="D127" s="510"/>
      <c r="E127" s="510"/>
      <c r="F127" s="510"/>
      <c r="G127" s="510"/>
      <c r="H127" s="511"/>
      <c r="I127" s="511"/>
      <c r="J127" s="511"/>
      <c r="K127" s="511"/>
      <c r="L127" s="512"/>
      <c r="M127" s="513"/>
      <c r="N127" s="2949"/>
      <c r="O127" s="2949"/>
      <c r="P127" s="2957"/>
      <c r="Q127" s="2940"/>
      <c r="R127" s="2941"/>
      <c r="S127" s="2941"/>
      <c r="T127" s="2941"/>
      <c r="U127" s="2941"/>
      <c r="V127" s="2941"/>
      <c r="W127" s="2941"/>
      <c r="X127" s="2941"/>
      <c r="Y127" s="2941"/>
      <c r="Z127" s="2941"/>
      <c r="AA127" s="2941"/>
      <c r="AB127" s="2941"/>
      <c r="AC127" s="2941"/>
    </row>
    <row r="128" spans="1:29" s="429" customFormat="1" ht="15.75" thickBot="1">
      <c r="A128" s="509"/>
      <c r="B128" s="499"/>
      <c r="C128" s="516"/>
      <c r="D128" s="492"/>
      <c r="E128" s="492"/>
      <c r="F128" s="492"/>
      <c r="G128" s="516"/>
      <c r="H128" s="518"/>
      <c r="I128" s="518"/>
      <c r="J128" s="518"/>
      <c r="K128" s="518"/>
      <c r="L128" s="518"/>
      <c r="M128" s="519"/>
      <c r="N128" s="2949"/>
      <c r="O128" s="2949"/>
      <c r="P128" s="2957"/>
      <c r="Q128" s="2940"/>
      <c r="R128" s="2941"/>
      <c r="S128" s="2941"/>
      <c r="T128" s="2941"/>
      <c r="U128" s="2941"/>
      <c r="V128" s="2941"/>
      <c r="W128" s="2941"/>
      <c r="X128" s="2941"/>
      <c r="Y128" s="2941"/>
      <c r="Z128" s="2941"/>
      <c r="AA128" s="2941"/>
      <c r="AB128" s="2941"/>
      <c r="AC128" s="2941"/>
    </row>
    <row r="129" spans="1:29" ht="15" thickTop="1">
      <c r="A129" s="555"/>
      <c r="B129" s="494">
        <f>B46</f>
        <v>111</v>
      </c>
      <c r="C129" s="510"/>
      <c r="D129" s="510"/>
      <c r="E129" s="510"/>
      <c r="F129" s="510"/>
      <c r="G129" s="539"/>
      <c r="H129" s="539"/>
      <c r="I129" s="539"/>
      <c r="J129" s="539"/>
      <c r="K129" s="540"/>
      <c r="L129" s="541"/>
      <c r="M129" s="542"/>
      <c r="N129" s="2947"/>
      <c r="O129" s="2947"/>
      <c r="P129" s="2956"/>
      <c r="Q129" s="2933"/>
      <c r="R129" s="2919"/>
      <c r="S129" s="2919"/>
      <c r="T129" s="2919"/>
      <c r="U129" s="2919"/>
      <c r="V129" s="2919"/>
      <c r="W129" s="2919"/>
      <c r="X129" s="2919"/>
      <c r="Y129" s="2919"/>
      <c r="Z129" s="2919"/>
      <c r="AA129" s="2919"/>
      <c r="AB129" s="2919"/>
      <c r="AC129" s="2919"/>
    </row>
    <row r="130" spans="1:29" ht="15.75" thickBot="1">
      <c r="A130" s="490"/>
      <c r="B130" s="499"/>
      <c r="C130" s="516"/>
      <c r="D130" s="516"/>
      <c r="E130" s="516"/>
      <c r="F130" s="516"/>
      <c r="G130" s="492"/>
      <c r="H130" s="492"/>
      <c r="I130" s="492"/>
      <c r="J130" s="492"/>
      <c r="K130" s="492"/>
      <c r="L130" s="492"/>
      <c r="M130" s="493"/>
      <c r="N130" s="2948"/>
      <c r="O130" s="2948"/>
      <c r="P130" s="2956"/>
      <c r="Q130" s="2933"/>
      <c r="R130" s="2919"/>
      <c r="S130" s="2919"/>
      <c r="T130" s="2919"/>
      <c r="U130" s="2919"/>
      <c r="V130" s="2919"/>
      <c r="W130" s="2919"/>
      <c r="X130" s="2919"/>
      <c r="Y130" s="2919"/>
      <c r="Z130" s="2919"/>
      <c r="AA130" s="2919"/>
      <c r="AB130" s="2919"/>
      <c r="AC130" s="2919"/>
    </row>
    <row r="131" spans="1:29" ht="15" thickTop="1">
      <c r="A131" s="555"/>
      <c r="B131" s="502">
        <f>B47</f>
        <v>111</v>
      </c>
      <c r="C131" s="479"/>
      <c r="D131" s="479"/>
      <c r="E131" s="479"/>
      <c r="F131" s="479"/>
      <c r="G131" s="543"/>
      <c r="H131" s="543"/>
      <c r="I131" s="543"/>
      <c r="J131" s="543"/>
      <c r="K131" s="479"/>
      <c r="L131" s="480"/>
      <c r="M131" s="546"/>
      <c r="N131" s="2947"/>
      <c r="O131" s="2947"/>
      <c r="P131" s="2956"/>
      <c r="Q131" s="2933"/>
      <c r="R131" s="2919"/>
      <c r="S131" s="2919"/>
      <c r="T131" s="2919"/>
      <c r="U131" s="2919"/>
      <c r="V131" s="2919"/>
      <c r="W131" s="2919"/>
      <c r="X131" s="2919"/>
      <c r="Y131" s="2919"/>
      <c r="Z131" s="2919"/>
      <c r="AA131" s="2919"/>
      <c r="AB131" s="2919"/>
      <c r="AC131" s="2919"/>
    </row>
    <row r="132" spans="1:29" ht="15.75" thickBot="1">
      <c r="A132" s="2080"/>
      <c r="B132" s="525"/>
      <c r="C132" s="526"/>
      <c r="D132" s="526"/>
      <c r="E132" s="526"/>
      <c r="F132" s="526"/>
      <c r="G132" s="547"/>
      <c r="H132" s="547"/>
      <c r="I132" s="547"/>
      <c r="J132" s="547"/>
      <c r="K132" s="547"/>
      <c r="L132" s="547"/>
      <c r="M132" s="548"/>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109" t="s">
        <v>2463</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IF(C2="——",ROUND(C43*D3/10000,0),ROUND(C43*D3/10000,0)-D2)</f>
        <v>#DIV/0!</v>
      </c>
      <c r="C2" s="2033"/>
      <c r="D2" s="1036" t="e">
        <f ca="1">SUMIF(INDIRECT("'"&amp;F2&amp;"'"&amp;"!A:A"),"承租人权益价值",INDIRECT("'"&amp;F2&amp;"'"&amp;"!c:c"))</f>
        <v>#REF!</v>
      </c>
      <c r="E2" s="2034" t="s">
        <v>2089</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63761.02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562" t="s">
        <v>2407</v>
      </c>
      <c r="D4" s="3563"/>
      <c r="E4" s="3564" t="s">
        <v>2408</v>
      </c>
      <c r="F4" s="3565"/>
      <c r="G4" s="3562" t="s">
        <v>2409</v>
      </c>
      <c r="H4" s="3563"/>
      <c r="I4" s="3562" t="s">
        <v>2410</v>
      </c>
      <c r="J4" s="3563"/>
      <c r="K4" s="566" t="s">
        <v>2411</v>
      </c>
      <c r="L4" s="1042"/>
      <c r="M4" s="1043"/>
      <c r="N4" s="1043"/>
      <c r="O4" s="1043"/>
      <c r="P4" s="3566" t="s">
        <v>2412</v>
      </c>
      <c r="Q4" s="3567"/>
      <c r="R4" s="3572" t="s">
        <v>2408</v>
      </c>
      <c r="S4" s="3573"/>
      <c r="T4" s="3572" t="s">
        <v>2409</v>
      </c>
      <c r="U4" s="3573"/>
      <c r="V4" s="3578" t="s">
        <v>2410</v>
      </c>
      <c r="W4" s="3578"/>
      <c r="X4" s="1505"/>
      <c r="Y4" s="3572" t="s">
        <v>2412</v>
      </c>
      <c r="Z4" s="3573"/>
      <c r="AA4" s="3559" t="s">
        <v>2408</v>
      </c>
      <c r="AB4" s="3560" t="s">
        <v>2409</v>
      </c>
      <c r="AC4" s="3559" t="s">
        <v>2410</v>
      </c>
    </row>
    <row r="5" spans="1:29" ht="15">
      <c r="A5" s="363"/>
      <c r="B5" s="364"/>
      <c r="C5" s="3581" t="s">
        <v>2303</v>
      </c>
      <c r="D5" s="3582"/>
      <c r="E5" s="3588" t="s">
        <v>2304</v>
      </c>
      <c r="F5" s="3589"/>
      <c r="G5" s="3581" t="s">
        <v>2305</v>
      </c>
      <c r="H5" s="3582"/>
      <c r="I5" s="3581" t="s">
        <v>2306</v>
      </c>
      <c r="J5" s="3582"/>
      <c r="K5" s="566"/>
      <c r="L5" s="1042"/>
      <c r="M5" s="1043"/>
      <c r="N5" s="1043"/>
      <c r="O5" s="1043"/>
      <c r="P5" s="3568"/>
      <c r="Q5" s="3569"/>
      <c r="R5" s="3574"/>
      <c r="S5" s="3575"/>
      <c r="T5" s="3574"/>
      <c r="U5" s="3575"/>
      <c r="V5" s="3578"/>
      <c r="W5" s="3578"/>
      <c r="X5" s="1505"/>
      <c r="Y5" s="3574"/>
      <c r="Z5" s="3575"/>
      <c r="AA5" s="3560"/>
      <c r="AB5" s="3560"/>
      <c r="AC5" s="3560"/>
    </row>
    <row r="6" spans="1:29" ht="15.75" thickBot="1">
      <c r="A6" s="365"/>
      <c r="B6" s="366"/>
      <c r="C6" s="3579" t="s">
        <v>2307</v>
      </c>
      <c r="D6" s="3580"/>
      <c r="E6" s="3586" t="s">
        <v>2307</v>
      </c>
      <c r="F6" s="3587"/>
      <c r="G6" s="3579" t="s">
        <v>2307</v>
      </c>
      <c r="H6" s="3580"/>
      <c r="I6" s="3579" t="s">
        <v>2307</v>
      </c>
      <c r="J6" s="3580"/>
      <c r="K6" s="566" t="s">
        <v>2308</v>
      </c>
      <c r="L6" s="1042"/>
      <c r="M6" s="1043"/>
      <c r="N6" s="1043"/>
      <c r="O6" s="1043"/>
      <c r="P6" s="3570"/>
      <c r="Q6" s="3571"/>
      <c r="R6" s="3574"/>
      <c r="S6" s="3575"/>
      <c r="T6" s="3576"/>
      <c r="U6" s="3577"/>
      <c r="V6" s="3578"/>
      <c r="W6" s="3578"/>
      <c r="X6" s="1505"/>
      <c r="Y6" s="3576"/>
      <c r="Z6" s="3577"/>
      <c r="AA6" s="3561"/>
      <c r="AB6" s="3561"/>
      <c r="AC6" s="3561"/>
    </row>
    <row r="7" spans="1:29" s="112"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4"/>
      <c r="M7" s="1045"/>
      <c r="N7" s="1045"/>
      <c r="O7" s="1045"/>
      <c r="P7" s="3583" t="s">
        <v>2310</v>
      </c>
      <c r="Q7" s="3585"/>
      <c r="R7" s="708" t="s">
        <v>17</v>
      </c>
      <c r="S7" s="709">
        <f t="shared" ref="S7:S15" si="0">F7</f>
        <v>0</v>
      </c>
      <c r="T7" s="708" t="s">
        <v>17</v>
      </c>
      <c r="U7" s="709">
        <f t="shared" ref="U7:U15" si="1">H7</f>
        <v>0</v>
      </c>
      <c r="V7" s="708" t="s">
        <v>17</v>
      </c>
      <c r="W7" s="709">
        <f t="shared" ref="W7:W15" si="2">J7</f>
        <v>0</v>
      </c>
      <c r="X7" s="710"/>
      <c r="Y7" s="3583" t="s">
        <v>2310</v>
      </c>
      <c r="Z7" s="3584"/>
      <c r="AA7" s="711" t="e">
        <f>D7/F7</f>
        <v>#DIV/0!</v>
      </c>
      <c r="AB7" s="711" t="e">
        <f>D7/H7</f>
        <v>#DIV/0!</v>
      </c>
      <c r="AC7" s="711"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583" t="s">
        <v>2313</v>
      </c>
      <c r="Q8" s="3584"/>
      <c r="R8" s="708" t="s">
        <v>17</v>
      </c>
      <c r="S8" s="709">
        <f t="shared" si="0"/>
        <v>0</v>
      </c>
      <c r="T8" s="708" t="s">
        <v>17</v>
      </c>
      <c r="U8" s="709">
        <f t="shared" si="1"/>
        <v>0</v>
      </c>
      <c r="V8" s="708" t="s">
        <v>17</v>
      </c>
      <c r="W8" s="709">
        <f t="shared" si="2"/>
        <v>0</v>
      </c>
      <c r="X8" s="710"/>
      <c r="Y8" s="3583" t="s">
        <v>2313</v>
      </c>
      <c r="Z8" s="3584"/>
      <c r="AA8" s="711" t="e">
        <f t="shared" ref="AA8:AA40" si="3">D8/F8</f>
        <v>#DIV/0!</v>
      </c>
      <c r="AB8" s="711" t="e">
        <f t="shared" ref="AB8:AB40" si="4">D8/H8</f>
        <v>#DIV/0!</v>
      </c>
      <c r="AC8" s="711" t="e">
        <f t="shared" ref="AC8:AC40" si="5">D8/J8</f>
        <v>#DIV/0!</v>
      </c>
    </row>
    <row r="9" spans="1:29" s="112"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546" t="s">
        <v>2316</v>
      </c>
      <c r="Q9" s="1493" t="str">
        <f t="shared" ref="Q9:Q15" si="6">B9</f>
        <v>用途</v>
      </c>
      <c r="R9" s="708" t="s">
        <v>17</v>
      </c>
      <c r="S9" s="709">
        <f t="shared" si="0"/>
        <v>100</v>
      </c>
      <c r="T9" s="708" t="s">
        <v>17</v>
      </c>
      <c r="U9" s="709">
        <f t="shared" si="1"/>
        <v>100</v>
      </c>
      <c r="V9" s="708" t="s">
        <v>17</v>
      </c>
      <c r="W9" s="709">
        <f t="shared" si="2"/>
        <v>100</v>
      </c>
      <c r="X9" s="710"/>
      <c r="Y9" s="3558"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546"/>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546"/>
      <c r="Q11" s="1493" t="str">
        <f t="shared" si="6"/>
        <v>容积率</v>
      </c>
      <c r="R11" s="708" t="s">
        <v>17</v>
      </c>
      <c r="S11" s="709" t="e">
        <f t="shared" si="0"/>
        <v>#N/A</v>
      </c>
      <c r="T11" s="708" t="s">
        <v>17</v>
      </c>
      <c r="U11" s="709" t="e">
        <f t="shared" si="1"/>
        <v>#N/A</v>
      </c>
      <c r="V11" s="708" t="s">
        <v>17</v>
      </c>
      <c r="W11" s="709" t="e">
        <f t="shared" si="2"/>
        <v>#N/A</v>
      </c>
      <c r="X11" s="710"/>
      <c r="Y11" s="3558"/>
      <c r="Z11" s="55" t="str">
        <f t="shared" si="7"/>
        <v>容积率</v>
      </c>
      <c r="AA11" s="711" t="e">
        <f t="shared" si="3"/>
        <v>#N/A</v>
      </c>
      <c r="AB11" s="711" t="e">
        <f t="shared" si="4"/>
        <v>#N/A</v>
      </c>
      <c r="AC11" s="711" t="e">
        <f t="shared" si="5"/>
        <v>#N/A</v>
      </c>
    </row>
    <row r="12" spans="1:29" s="112" customFormat="1" ht="15">
      <c r="A12" s="389"/>
      <c r="B12" s="2045">
        <v>111</v>
      </c>
      <c r="C12" s="390"/>
      <c r="D12" s="391">
        <v>100</v>
      </c>
      <c r="E12" s="392"/>
      <c r="F12" s="131">
        <f>SUMIF(64:64,E12,65:65)-SUMIF(64:64,C12,65:65)+100</f>
        <v>100</v>
      </c>
      <c r="G12" s="2122"/>
      <c r="H12" s="131">
        <f>SUMIF(64:64,G12,65:65)-SUMIF(64:64,C12,65:65)+100</f>
        <v>100</v>
      </c>
      <c r="I12" s="427"/>
      <c r="J12" s="131">
        <f>SUMIF(64:64,I12,65:65)-SUMIF(64:64,C12,65:65)+100</f>
        <v>100</v>
      </c>
      <c r="K12" s="569"/>
      <c r="L12" s="1044"/>
      <c r="M12" s="1045"/>
      <c r="N12" s="1045"/>
      <c r="O12" s="1046"/>
      <c r="P12" s="3546"/>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711">
        <f>D12/J12</f>
        <v>1</v>
      </c>
    </row>
    <row r="13" spans="1:29" ht="15">
      <c r="A13" s="386"/>
      <c r="B13" s="2045">
        <v>111</v>
      </c>
      <c r="C13" s="392"/>
      <c r="D13" s="393">
        <v>100</v>
      </c>
      <c r="E13" s="392"/>
      <c r="F13" s="131">
        <f>SUMIF(66:66,E13,67:67)-SUMIF(66:66,C13,67:67)+100</f>
        <v>100</v>
      </c>
      <c r="G13" s="2122"/>
      <c r="H13" s="393">
        <f>SUMIF(66:66,G13,67:67)-SUMIF(66:66,C13,67:67)+100</f>
        <v>100</v>
      </c>
      <c r="I13" s="427"/>
      <c r="J13" s="393">
        <f>SUMIF(66:66,I13,67:67)-SUMIF(66:66,C13,67:67)+100</f>
        <v>100</v>
      </c>
      <c r="K13" s="569"/>
      <c r="L13" s="1052"/>
      <c r="M13" s="1043"/>
      <c r="N13" s="1043"/>
      <c r="O13" s="1051"/>
      <c r="P13" s="3546"/>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711">
        <f t="shared" si="5"/>
        <v>1</v>
      </c>
    </row>
    <row r="14" spans="1:29" ht="15.75" thickBot="1">
      <c r="A14" s="394"/>
      <c r="B14" s="2047">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546"/>
      <c r="Q14" s="1493">
        <f t="shared" si="6"/>
        <v>111</v>
      </c>
      <c r="R14" s="708" t="s">
        <v>17</v>
      </c>
      <c r="S14" s="709">
        <f t="shared" si="0"/>
        <v>100</v>
      </c>
      <c r="T14" s="708" t="s">
        <v>17</v>
      </c>
      <c r="U14" s="709">
        <f t="shared" si="1"/>
        <v>100</v>
      </c>
      <c r="V14" s="708" t="s">
        <v>17</v>
      </c>
      <c r="W14" s="709">
        <f t="shared" si="2"/>
        <v>100</v>
      </c>
      <c r="X14" s="710"/>
      <c r="Y14" s="3558"/>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548" t="s">
        <v>2321</v>
      </c>
      <c r="Q15" s="1502" t="str">
        <f t="shared" si="6"/>
        <v>产业集聚程度</v>
      </c>
      <c r="R15" s="712" t="s">
        <v>17</v>
      </c>
      <c r="S15" s="713">
        <f t="shared" si="0"/>
        <v>100</v>
      </c>
      <c r="T15" s="712" t="s">
        <v>17</v>
      </c>
      <c r="U15" s="713">
        <f t="shared" si="1"/>
        <v>100</v>
      </c>
      <c r="V15" s="712" t="s">
        <v>17</v>
      </c>
      <c r="W15" s="713">
        <f t="shared" si="2"/>
        <v>100</v>
      </c>
      <c r="X15" s="1505"/>
      <c r="Y15" s="3548" t="s">
        <v>2321</v>
      </c>
      <c r="Z15" s="1506" t="str">
        <f t="shared" si="7"/>
        <v>产业集聚程度</v>
      </c>
      <c r="AA15" s="1503">
        <f t="shared" si="3"/>
        <v>1</v>
      </c>
      <c r="AB15" s="1503">
        <f t="shared" si="4"/>
        <v>1</v>
      </c>
      <c r="AC15" s="1503">
        <f t="shared" si="5"/>
        <v>1</v>
      </c>
    </row>
    <row r="16" spans="1:29" ht="15">
      <c r="A16" s="386"/>
      <c r="B16" s="404"/>
      <c r="C16" s="405"/>
      <c r="D16" s="406"/>
      <c r="E16" s="405"/>
      <c r="F16" s="407"/>
      <c r="G16" s="405"/>
      <c r="H16" s="408"/>
      <c r="I16" s="405"/>
      <c r="J16" s="406"/>
      <c r="K16" s="571"/>
      <c r="L16" s="1052"/>
      <c r="M16" s="1043"/>
      <c r="N16" s="1043"/>
      <c r="O16" s="1051"/>
      <c r="P16" s="3549"/>
      <c r="Q16" s="1502"/>
      <c r="R16" s="712"/>
      <c r="S16" s="713"/>
      <c r="T16" s="712"/>
      <c r="U16" s="713"/>
      <c r="V16" s="712"/>
      <c r="W16" s="713"/>
      <c r="X16" s="1505"/>
      <c r="Y16" s="3549"/>
      <c r="Z16" s="1506"/>
      <c r="AA16" s="1503">
        <v>1</v>
      </c>
      <c r="AB16" s="1503">
        <v>1</v>
      </c>
      <c r="AC16" s="1503">
        <v>1</v>
      </c>
    </row>
    <row r="17" spans="1:29" ht="85.5">
      <c r="A17" s="386"/>
      <c r="B17" s="409" t="s">
        <v>1885</v>
      </c>
      <c r="C17" s="205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549"/>
      <c r="Q17" s="1502" t="str">
        <f>B17</f>
        <v>交通便捷度</v>
      </c>
      <c r="R17" s="712" t="s">
        <v>17</v>
      </c>
      <c r="S17" s="713">
        <f>F17</f>
        <v>100</v>
      </c>
      <c r="T17" s="712" t="s">
        <v>17</v>
      </c>
      <c r="U17" s="713">
        <f>H17</f>
        <v>100</v>
      </c>
      <c r="V17" s="712" t="s">
        <v>17</v>
      </c>
      <c r="W17" s="713">
        <f>J17</f>
        <v>100</v>
      </c>
      <c r="X17" s="1505"/>
      <c r="Y17" s="3549"/>
      <c r="Z17" s="1506" t="str">
        <f>Q17</f>
        <v>交通便捷度</v>
      </c>
      <c r="AA17" s="1503">
        <f t="shared" si="3"/>
        <v>1</v>
      </c>
      <c r="AB17" s="1503">
        <f t="shared" si="4"/>
        <v>1</v>
      </c>
      <c r="AC17" s="1503">
        <f t="shared" si="5"/>
        <v>1</v>
      </c>
    </row>
    <row r="18" spans="1:29" ht="15">
      <c r="A18" s="386"/>
      <c r="B18" s="414"/>
      <c r="C18" s="2053"/>
      <c r="D18" s="408"/>
      <c r="E18" s="2055"/>
      <c r="F18" s="411"/>
      <c r="G18" s="2054"/>
      <c r="H18" s="406"/>
      <c r="I18" s="2055"/>
      <c r="J18" s="406"/>
      <c r="K18" s="571"/>
      <c r="L18" s="1052"/>
      <c r="M18" s="1043"/>
      <c r="N18" s="1043"/>
      <c r="O18" s="1051"/>
      <c r="P18" s="3549"/>
      <c r="Q18" s="1502"/>
      <c r="R18" s="712"/>
      <c r="S18" s="713"/>
      <c r="T18" s="712"/>
      <c r="U18" s="713"/>
      <c r="V18" s="712"/>
      <c r="W18" s="713"/>
      <c r="X18" s="1505"/>
      <c r="Y18" s="3549"/>
      <c r="Z18" s="1506"/>
      <c r="AA18" s="1503">
        <v>1</v>
      </c>
      <c r="AB18" s="1503">
        <v>1</v>
      </c>
      <c r="AC18" s="1503">
        <v>1</v>
      </c>
    </row>
    <row r="19" spans="1:29" ht="42.75">
      <c r="A19" s="386"/>
      <c r="B19" s="409" t="s">
        <v>2449</v>
      </c>
      <c r="C19" s="205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549"/>
      <c r="Q19" s="1502" t="str">
        <f>B19</f>
        <v>公共配套设施</v>
      </c>
      <c r="R19" s="712" t="s">
        <v>17</v>
      </c>
      <c r="S19" s="713">
        <f>F19</f>
        <v>100</v>
      </c>
      <c r="T19" s="712" t="s">
        <v>17</v>
      </c>
      <c r="U19" s="713">
        <f>H19</f>
        <v>100</v>
      </c>
      <c r="V19" s="712" t="s">
        <v>17</v>
      </c>
      <c r="W19" s="713">
        <f>J19</f>
        <v>100</v>
      </c>
      <c r="X19" s="1505"/>
      <c r="Y19" s="3549"/>
      <c r="Z19" s="1506" t="str">
        <f>Q19</f>
        <v>公共配套设施</v>
      </c>
      <c r="AA19" s="1503">
        <f t="shared" si="3"/>
        <v>1</v>
      </c>
      <c r="AB19" s="1503">
        <f t="shared" si="4"/>
        <v>1</v>
      </c>
      <c r="AC19" s="1503">
        <f t="shared" si="5"/>
        <v>1</v>
      </c>
    </row>
    <row r="20" spans="1:29" ht="15">
      <c r="A20" s="386"/>
      <c r="B20" s="414"/>
      <c r="C20" s="405"/>
      <c r="D20" s="406"/>
      <c r="E20" s="2050"/>
      <c r="F20" s="407"/>
      <c r="G20" s="2049"/>
      <c r="H20" s="406"/>
      <c r="I20" s="2050"/>
      <c r="J20" s="406"/>
      <c r="K20" s="571"/>
      <c r="L20" s="1052"/>
      <c r="M20" s="1043"/>
      <c r="N20" s="1043"/>
      <c r="O20" s="1051"/>
      <c r="P20" s="3549"/>
      <c r="Q20" s="1502"/>
      <c r="R20" s="712"/>
      <c r="S20" s="713"/>
      <c r="T20" s="712"/>
      <c r="U20" s="713"/>
      <c r="V20" s="712"/>
      <c r="W20" s="713"/>
      <c r="X20" s="1505"/>
      <c r="Y20" s="3549"/>
      <c r="Z20" s="1506"/>
      <c r="AA20" s="1503">
        <v>1</v>
      </c>
      <c r="AB20" s="1503">
        <v>1</v>
      </c>
      <c r="AC20" s="1503">
        <v>1</v>
      </c>
    </row>
    <row r="21" spans="1:29" ht="28.5">
      <c r="A21" s="386"/>
      <c r="B21" s="1261" t="s">
        <v>2450</v>
      </c>
      <c r="C21" s="205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549"/>
      <c r="Q21" s="1502" t="str">
        <f>B21</f>
        <v>基础设施水平</v>
      </c>
      <c r="R21" s="712" t="s">
        <v>17</v>
      </c>
      <c r="S21" s="713">
        <f>F21</f>
        <v>100</v>
      </c>
      <c r="T21" s="712" t="s">
        <v>17</v>
      </c>
      <c r="U21" s="713">
        <f>H21</f>
        <v>100</v>
      </c>
      <c r="V21" s="712" t="s">
        <v>17</v>
      </c>
      <c r="W21" s="713">
        <f>J21</f>
        <v>100</v>
      </c>
      <c r="X21" s="1505"/>
      <c r="Y21" s="3549"/>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7"/>
      <c r="G22" s="405"/>
      <c r="H22" s="406"/>
      <c r="I22" s="405"/>
      <c r="J22" s="406"/>
      <c r="K22" s="1260"/>
      <c r="L22" s="1052"/>
      <c r="M22" s="1043"/>
      <c r="N22" s="1043"/>
      <c r="O22" s="1051"/>
      <c r="P22" s="3549"/>
      <c r="Q22" s="1502"/>
      <c r="R22" s="712"/>
      <c r="S22" s="713"/>
      <c r="T22" s="712"/>
      <c r="U22" s="713"/>
      <c r="V22" s="712"/>
      <c r="W22" s="713"/>
      <c r="X22" s="1505"/>
      <c r="Y22" s="3549"/>
      <c r="Z22" s="1506"/>
      <c r="AA22" s="1503">
        <v>1</v>
      </c>
      <c r="AB22" s="1503">
        <v>1</v>
      </c>
      <c r="AC22" s="1503">
        <v>1</v>
      </c>
    </row>
    <row r="23" spans="1:29" ht="71.25">
      <c r="A23" s="386"/>
      <c r="B23" s="409" t="s">
        <v>2451</v>
      </c>
      <c r="C23" s="205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549"/>
      <c r="Q23" s="1502" t="str">
        <f>B23</f>
        <v>环境质量</v>
      </c>
      <c r="R23" s="712" t="s">
        <v>17</v>
      </c>
      <c r="S23" s="713">
        <f>F23</f>
        <v>100</v>
      </c>
      <c r="T23" s="712" t="s">
        <v>17</v>
      </c>
      <c r="U23" s="713">
        <f>H23</f>
        <v>100</v>
      </c>
      <c r="V23" s="712" t="s">
        <v>17</v>
      </c>
      <c r="W23" s="713">
        <f>J23</f>
        <v>100</v>
      </c>
      <c r="X23" s="1505"/>
      <c r="Y23" s="3549"/>
      <c r="Z23" s="1506" t="str">
        <f>Q23</f>
        <v>环境质量</v>
      </c>
      <c r="AA23" s="1503">
        <f t="shared" si="3"/>
        <v>1</v>
      </c>
      <c r="AB23" s="1503">
        <f t="shared" si="4"/>
        <v>1</v>
      </c>
      <c r="AC23" s="1503">
        <f t="shared" si="5"/>
        <v>1</v>
      </c>
    </row>
    <row r="24" spans="1:29" ht="15">
      <c r="A24" s="386"/>
      <c r="B24" s="1261"/>
      <c r="C24" s="405"/>
      <c r="D24" s="406"/>
      <c r="E24" s="2050"/>
      <c r="F24" s="407"/>
      <c r="G24" s="2049"/>
      <c r="H24" s="406"/>
      <c r="I24" s="2050"/>
      <c r="J24" s="406"/>
      <c r="K24" s="571"/>
      <c r="L24" s="1052"/>
      <c r="M24" s="1043"/>
      <c r="N24" s="1043"/>
      <c r="O24" s="1051"/>
      <c r="P24" s="3549"/>
      <c r="Q24" s="1502"/>
      <c r="R24" s="712"/>
      <c r="S24" s="713"/>
      <c r="T24" s="712"/>
      <c r="U24" s="713"/>
      <c r="V24" s="712"/>
      <c r="W24" s="713"/>
      <c r="X24" s="1505"/>
      <c r="Y24" s="3549"/>
      <c r="Z24" s="1506"/>
      <c r="AA24" s="1503">
        <v>1</v>
      </c>
      <c r="AB24" s="1503">
        <v>1</v>
      </c>
      <c r="AC24" s="1503">
        <v>1</v>
      </c>
    </row>
    <row r="25" spans="1:29" ht="15">
      <c r="A25" s="363"/>
      <c r="B25" s="126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549"/>
      <c r="Q25" s="1502">
        <f>B25</f>
        <v>111</v>
      </c>
      <c r="R25" s="712" t="s">
        <v>17</v>
      </c>
      <c r="S25" s="713">
        <f>F25</f>
        <v>100</v>
      </c>
      <c r="T25" s="712" t="s">
        <v>17</v>
      </c>
      <c r="U25" s="713">
        <f>H25</f>
        <v>100</v>
      </c>
      <c r="V25" s="712" t="s">
        <v>17</v>
      </c>
      <c r="W25" s="713">
        <f>J25</f>
        <v>100</v>
      </c>
      <c r="X25" s="1505"/>
      <c r="Y25" s="3549"/>
      <c r="Z25" s="1506">
        <f>Q25</f>
        <v>111</v>
      </c>
      <c r="AA25" s="1503">
        <f t="shared" si="3"/>
        <v>1</v>
      </c>
      <c r="AB25" s="1503">
        <f t="shared" si="4"/>
        <v>1</v>
      </c>
      <c r="AC25" s="1503">
        <f t="shared" si="5"/>
        <v>1</v>
      </c>
    </row>
    <row r="26" spans="1:29" ht="15">
      <c r="A26" s="386"/>
      <c r="B26" s="126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549"/>
      <c r="Q26" s="1502">
        <f t="shared" ref="Q26:Q40" si="11">B26</f>
        <v>111</v>
      </c>
      <c r="R26" s="712" t="s">
        <v>17</v>
      </c>
      <c r="S26" s="713">
        <f>F26</f>
        <v>100</v>
      </c>
      <c r="T26" s="712" t="s">
        <v>17</v>
      </c>
      <c r="U26" s="713">
        <f>H26</f>
        <v>100</v>
      </c>
      <c r="V26" s="712" t="s">
        <v>17</v>
      </c>
      <c r="W26" s="713">
        <f>J26</f>
        <v>100</v>
      </c>
      <c r="X26" s="1505"/>
      <c r="Y26" s="3549"/>
      <c r="Z26" s="1506">
        <f>Q26</f>
        <v>111</v>
      </c>
      <c r="AA26" s="1503">
        <f t="shared" si="3"/>
        <v>1</v>
      </c>
      <c r="AB26" s="1503">
        <f t="shared" si="4"/>
        <v>1</v>
      </c>
      <c r="AC26" s="1503">
        <f t="shared" si="5"/>
        <v>1</v>
      </c>
    </row>
    <row r="27" spans="1:29" s="112" customFormat="1" ht="15">
      <c r="A27" s="389"/>
      <c r="B27" s="126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549"/>
      <c r="Q27" s="1493">
        <f t="shared" si="11"/>
        <v>111</v>
      </c>
      <c r="R27" s="708" t="s">
        <v>17</v>
      </c>
      <c r="S27" s="709">
        <f>F27</f>
        <v>100</v>
      </c>
      <c r="T27" s="708" t="s">
        <v>17</v>
      </c>
      <c r="U27" s="709">
        <f>H27</f>
        <v>100</v>
      </c>
      <c r="V27" s="708" t="s">
        <v>17</v>
      </c>
      <c r="W27" s="709">
        <f>J27</f>
        <v>100</v>
      </c>
      <c r="X27" s="710"/>
      <c r="Y27" s="3549"/>
      <c r="Z27" s="55">
        <f>Q27</f>
        <v>111</v>
      </c>
      <c r="AA27" s="1503">
        <f>D27/F27</f>
        <v>1</v>
      </c>
      <c r="AB27" s="1503">
        <f>D27/H27</f>
        <v>1</v>
      </c>
      <c r="AC27" s="1503">
        <f>D27/J27</f>
        <v>1</v>
      </c>
    </row>
    <row r="28" spans="1:29" ht="15.75" thickBot="1">
      <c r="A28" s="394"/>
      <c r="B28" s="126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549"/>
      <c r="Q28" s="1502">
        <f t="shared" si="11"/>
        <v>111</v>
      </c>
      <c r="R28" s="712" t="s">
        <v>17</v>
      </c>
      <c r="S28" s="713">
        <f t="shared" ref="S28:S40" si="12">F28</f>
        <v>100</v>
      </c>
      <c r="T28" s="712" t="s">
        <v>17</v>
      </c>
      <c r="U28" s="713">
        <f t="shared" ref="U28:U40" si="13">H28</f>
        <v>100</v>
      </c>
      <c r="V28" s="712" t="s">
        <v>17</v>
      </c>
      <c r="W28" s="713">
        <f t="shared" ref="W28:W40" si="14">J28</f>
        <v>100</v>
      </c>
      <c r="X28" s="1505"/>
      <c r="Y28" s="3549"/>
      <c r="Z28" s="1506">
        <f t="shared" ref="Z28:Z40" si="15">Q28</f>
        <v>111</v>
      </c>
      <c r="AA28" s="1503">
        <f t="shared" si="3"/>
        <v>1</v>
      </c>
      <c r="AB28" s="1503">
        <f t="shared" si="4"/>
        <v>1</v>
      </c>
      <c r="AC28" s="1503">
        <f t="shared" si="5"/>
        <v>1</v>
      </c>
    </row>
    <row r="29" spans="1:29" ht="28.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605" t="s">
        <v>2326</v>
      </c>
      <c r="Q29" s="1502" t="str">
        <f t="shared" si="11"/>
        <v>建筑类型</v>
      </c>
      <c r="R29" s="712" t="s">
        <v>17</v>
      </c>
      <c r="S29" s="713">
        <f t="shared" si="12"/>
        <v>100</v>
      </c>
      <c r="T29" s="712" t="s">
        <v>17</v>
      </c>
      <c r="U29" s="713">
        <f t="shared" si="13"/>
        <v>100</v>
      </c>
      <c r="V29" s="712" t="s">
        <v>17</v>
      </c>
      <c r="W29" s="713">
        <f t="shared" si="14"/>
        <v>100</v>
      </c>
      <c r="X29" s="1505"/>
      <c r="Y29" s="3553" t="s">
        <v>2326</v>
      </c>
      <c r="Z29" s="1506" t="str">
        <f t="shared" si="15"/>
        <v>建筑类型</v>
      </c>
      <c r="AA29" s="1503">
        <f t="shared" si="3"/>
        <v>1</v>
      </c>
      <c r="AB29" s="1503">
        <f t="shared" si="4"/>
        <v>1</v>
      </c>
      <c r="AC29" s="1503">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553"/>
      <c r="Q30" s="714" t="str">
        <f t="shared" si="11"/>
        <v>项目建筑规模</v>
      </c>
      <c r="R30" s="715" t="s">
        <v>17</v>
      </c>
      <c r="S30" s="716" t="e">
        <f t="shared" si="12"/>
        <v>#N/A</v>
      </c>
      <c r="T30" s="715" t="s">
        <v>17</v>
      </c>
      <c r="U30" s="716" t="e">
        <f t="shared" si="13"/>
        <v>#N/A</v>
      </c>
      <c r="V30" s="715" t="s">
        <v>17</v>
      </c>
      <c r="W30" s="716" t="e">
        <f t="shared" si="14"/>
        <v>#N/A</v>
      </c>
      <c r="X30" s="717"/>
      <c r="Y30" s="3553"/>
      <c r="Z30" s="718" t="str">
        <f t="shared" si="15"/>
        <v>项目建筑规模</v>
      </c>
      <c r="AA30" s="1503" t="e">
        <f t="shared" si="3"/>
        <v>#N/A</v>
      </c>
      <c r="AB30" s="1503" t="e">
        <f t="shared" si="4"/>
        <v>#N/A</v>
      </c>
      <c r="AC30" s="1503"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553"/>
      <c r="Q31" s="1502" t="str">
        <f t="shared" si="11"/>
        <v>建筑结构</v>
      </c>
      <c r="R31" s="712" t="s">
        <v>17</v>
      </c>
      <c r="S31" s="713">
        <f t="shared" si="12"/>
        <v>100</v>
      </c>
      <c r="T31" s="712" t="s">
        <v>17</v>
      </c>
      <c r="U31" s="713">
        <f t="shared" si="13"/>
        <v>100</v>
      </c>
      <c r="V31" s="712" t="s">
        <v>17</v>
      </c>
      <c r="W31" s="713">
        <f t="shared" si="14"/>
        <v>100</v>
      </c>
      <c r="X31" s="1505"/>
      <c r="Y31" s="3553"/>
      <c r="Z31" s="1506" t="str">
        <f t="shared" si="15"/>
        <v>建筑结构</v>
      </c>
      <c r="AA31" s="1503">
        <f t="shared" si="3"/>
        <v>1</v>
      </c>
      <c r="AB31" s="1503">
        <f t="shared" si="4"/>
        <v>1</v>
      </c>
      <c r="AC31" s="1503">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553"/>
      <c r="Q32" s="1502" t="str">
        <f t="shared" si="11"/>
        <v>公共部分装修</v>
      </c>
      <c r="R32" s="712" t="s">
        <v>17</v>
      </c>
      <c r="S32" s="713">
        <f t="shared" si="12"/>
        <v>100</v>
      </c>
      <c r="T32" s="712" t="s">
        <v>17</v>
      </c>
      <c r="U32" s="713">
        <f t="shared" si="13"/>
        <v>100</v>
      </c>
      <c r="V32" s="712" t="s">
        <v>17</v>
      </c>
      <c r="W32" s="713">
        <f t="shared" si="14"/>
        <v>100</v>
      </c>
      <c r="X32" s="1505"/>
      <c r="Y32" s="3553"/>
      <c r="Z32" s="1506" t="str">
        <f t="shared" si="15"/>
        <v>公共部分装修</v>
      </c>
      <c r="AA32" s="1503">
        <f t="shared" si="3"/>
        <v>1</v>
      </c>
      <c r="AB32" s="1503">
        <f t="shared" si="4"/>
        <v>1</v>
      </c>
      <c r="AC32" s="1503">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553"/>
      <c r="Q33" s="1502" t="str">
        <f t="shared" si="11"/>
        <v>成新度</v>
      </c>
      <c r="R33" s="712" t="s">
        <v>17</v>
      </c>
      <c r="S33" s="713" t="e">
        <f t="shared" si="12"/>
        <v>#N/A</v>
      </c>
      <c r="T33" s="712" t="s">
        <v>17</v>
      </c>
      <c r="U33" s="713" t="e">
        <f t="shared" si="13"/>
        <v>#N/A</v>
      </c>
      <c r="V33" s="712" t="s">
        <v>17</v>
      </c>
      <c r="W33" s="713" t="e">
        <f t="shared" si="14"/>
        <v>#N/A</v>
      </c>
      <c r="X33" s="1505"/>
      <c r="Y33" s="3553"/>
      <c r="Z33" s="1506" t="str">
        <f t="shared" si="15"/>
        <v>成新度</v>
      </c>
      <c r="AA33" s="1503" t="e">
        <f t="shared" si="3"/>
        <v>#N/A</v>
      </c>
      <c r="AB33" s="1503" t="e">
        <f t="shared" si="4"/>
        <v>#N/A</v>
      </c>
      <c r="AC33" s="1503"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553"/>
      <c r="Q34" s="1493" t="str">
        <f t="shared" si="11"/>
        <v>物业管理</v>
      </c>
      <c r="R34" s="708" t="s">
        <v>17</v>
      </c>
      <c r="S34" s="709">
        <f t="shared" si="12"/>
        <v>100</v>
      </c>
      <c r="T34" s="708" t="s">
        <v>17</v>
      </c>
      <c r="U34" s="709">
        <f t="shared" si="13"/>
        <v>100</v>
      </c>
      <c r="V34" s="708" t="s">
        <v>17</v>
      </c>
      <c r="W34" s="709">
        <f t="shared" si="14"/>
        <v>100</v>
      </c>
      <c r="X34" s="710"/>
      <c r="Y34" s="3553"/>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553" t="s">
        <v>2326</v>
      </c>
      <c r="Q35" s="1502" t="str">
        <f t="shared" si="11"/>
        <v>市政基础设施</v>
      </c>
      <c r="R35" s="712" t="s">
        <v>17</v>
      </c>
      <c r="S35" s="713">
        <f t="shared" si="12"/>
        <v>100</v>
      </c>
      <c r="T35" s="712" t="s">
        <v>17</v>
      </c>
      <c r="U35" s="713">
        <f t="shared" si="13"/>
        <v>100</v>
      </c>
      <c r="V35" s="712" t="s">
        <v>17</v>
      </c>
      <c r="W35" s="713">
        <f t="shared" si="14"/>
        <v>100</v>
      </c>
      <c r="X35" s="1505"/>
      <c r="Y35" s="3553" t="s">
        <v>2326</v>
      </c>
      <c r="Z35" s="1506" t="str">
        <f t="shared" si="15"/>
        <v>市政基础设施</v>
      </c>
      <c r="AA35" s="1503">
        <f t="shared" si="3"/>
        <v>1</v>
      </c>
      <c r="AB35" s="1503">
        <f t="shared" si="4"/>
        <v>1</v>
      </c>
      <c r="AC35" s="1503">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553"/>
      <c r="Q36" s="1502" t="str">
        <f t="shared" si="11"/>
        <v>内部装修</v>
      </c>
      <c r="R36" s="712" t="s">
        <v>17</v>
      </c>
      <c r="S36" s="713">
        <f t="shared" si="12"/>
        <v>100</v>
      </c>
      <c r="T36" s="712" t="s">
        <v>17</v>
      </c>
      <c r="U36" s="713">
        <f t="shared" si="13"/>
        <v>100</v>
      </c>
      <c r="V36" s="712" t="s">
        <v>17</v>
      </c>
      <c r="W36" s="713">
        <f t="shared" si="14"/>
        <v>100</v>
      </c>
      <c r="X36" s="1505"/>
      <c r="Y36" s="3553"/>
      <c r="Z36" s="1506" t="str">
        <f t="shared" si="15"/>
        <v>内部装修</v>
      </c>
      <c r="AA36" s="1503">
        <f t="shared" si="3"/>
        <v>1</v>
      </c>
      <c r="AB36" s="1503">
        <f t="shared" si="4"/>
        <v>1</v>
      </c>
      <c r="AC36" s="1503">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553"/>
      <c r="Q37" s="1502" t="str">
        <f t="shared" si="11"/>
        <v>内部装修状况</v>
      </c>
      <c r="R37" s="712" t="s">
        <v>17</v>
      </c>
      <c r="S37" s="713">
        <f t="shared" si="12"/>
        <v>100</v>
      </c>
      <c r="T37" s="712" t="s">
        <v>17</v>
      </c>
      <c r="U37" s="713">
        <f t="shared" si="13"/>
        <v>100</v>
      </c>
      <c r="V37" s="712" t="s">
        <v>17</v>
      </c>
      <c r="W37" s="713">
        <f t="shared" si="14"/>
        <v>100</v>
      </c>
      <c r="X37" s="1505"/>
      <c r="Y37" s="3553"/>
      <c r="Z37" s="1506" t="str">
        <f t="shared" si="15"/>
        <v>内部装修状况</v>
      </c>
      <c r="AA37" s="1503">
        <f t="shared" si="3"/>
        <v>1</v>
      </c>
      <c r="AB37" s="1503">
        <f t="shared" si="4"/>
        <v>1</v>
      </c>
      <c r="AC37" s="1503">
        <f t="shared" si="5"/>
        <v>1</v>
      </c>
    </row>
    <row r="38" spans="1:29" s="429" customFormat="1" ht="15">
      <c r="A38" s="426"/>
      <c r="B38" s="126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553"/>
      <c r="Q38" s="714">
        <f t="shared" si="11"/>
        <v>111</v>
      </c>
      <c r="R38" s="715" t="s">
        <v>17</v>
      </c>
      <c r="S38" s="716">
        <f t="shared" si="12"/>
        <v>100</v>
      </c>
      <c r="T38" s="715" t="s">
        <v>17</v>
      </c>
      <c r="U38" s="716">
        <f t="shared" si="13"/>
        <v>100</v>
      </c>
      <c r="V38" s="715" t="s">
        <v>17</v>
      </c>
      <c r="W38" s="716">
        <f t="shared" si="14"/>
        <v>100</v>
      </c>
      <c r="X38" s="717"/>
      <c r="Y38" s="3553"/>
      <c r="Z38" s="718">
        <f t="shared" si="15"/>
        <v>111</v>
      </c>
      <c r="AA38" s="1503">
        <f t="shared" si="3"/>
        <v>1</v>
      </c>
      <c r="AB38" s="1503">
        <f t="shared" si="4"/>
        <v>1</v>
      </c>
      <c r="AC38" s="1503">
        <f t="shared" si="5"/>
        <v>1</v>
      </c>
    </row>
    <row r="39" spans="1:29" ht="15">
      <c r="A39" s="430"/>
      <c r="B39" s="126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553"/>
      <c r="Q39" s="1502">
        <f t="shared" si="11"/>
        <v>111</v>
      </c>
      <c r="R39" s="712" t="s">
        <v>17</v>
      </c>
      <c r="S39" s="713">
        <f t="shared" si="12"/>
        <v>100</v>
      </c>
      <c r="T39" s="712" t="s">
        <v>17</v>
      </c>
      <c r="U39" s="713">
        <f t="shared" si="13"/>
        <v>100</v>
      </c>
      <c r="V39" s="712" t="s">
        <v>17</v>
      </c>
      <c r="W39" s="713">
        <f t="shared" si="14"/>
        <v>100</v>
      </c>
      <c r="X39" s="1505"/>
      <c r="Y39" s="3553"/>
      <c r="Z39" s="1506">
        <f t="shared" si="15"/>
        <v>111</v>
      </c>
      <c r="AA39" s="1503">
        <f t="shared" si="3"/>
        <v>1</v>
      </c>
      <c r="AB39" s="1503">
        <f t="shared" si="4"/>
        <v>1</v>
      </c>
      <c r="AC39" s="1503">
        <f t="shared" si="5"/>
        <v>1</v>
      </c>
    </row>
    <row r="40" spans="1:29" ht="15.75" thickBot="1">
      <c r="A40" s="436"/>
      <c r="B40" s="204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554"/>
      <c r="Q40" s="1502">
        <f t="shared" si="11"/>
        <v>111</v>
      </c>
      <c r="R40" s="712" t="s">
        <v>17</v>
      </c>
      <c r="S40" s="713">
        <f t="shared" si="12"/>
        <v>100</v>
      </c>
      <c r="T40" s="712" t="s">
        <v>17</v>
      </c>
      <c r="U40" s="713">
        <f t="shared" si="13"/>
        <v>100</v>
      </c>
      <c r="V40" s="712" t="s">
        <v>17</v>
      </c>
      <c r="W40" s="713">
        <f t="shared" si="14"/>
        <v>100</v>
      </c>
      <c r="X40" s="1505"/>
      <c r="Y40" s="3554"/>
      <c r="Z40" s="1506">
        <f t="shared" si="15"/>
        <v>111</v>
      </c>
      <c r="AA40" s="1503">
        <f t="shared" si="3"/>
        <v>1</v>
      </c>
      <c r="AB40" s="1503">
        <f t="shared" si="4"/>
        <v>1</v>
      </c>
      <c r="AC40" s="1503">
        <f t="shared" si="5"/>
        <v>1</v>
      </c>
    </row>
    <row r="41" spans="1:29" ht="15">
      <c r="A41" s="437" t="s">
        <v>2338</v>
      </c>
      <c r="B41" s="438"/>
      <c r="C41" s="1284" t="s">
        <v>1</v>
      </c>
      <c r="D41" s="1285"/>
      <c r="E41" s="1286"/>
      <c r="F41" s="1287"/>
      <c r="G41" s="1288"/>
      <c r="H41" s="1289"/>
      <c r="I41" s="1286"/>
      <c r="J41" s="1289"/>
      <c r="K41" s="721"/>
      <c r="L41" s="1055"/>
      <c r="M41" s="1056"/>
      <c r="N41" s="1043"/>
      <c r="O41" s="1056"/>
      <c r="P41" s="3546" t="str">
        <f>A41</f>
        <v>成交单价（元/平方米）</v>
      </c>
      <c r="Q41" s="3546"/>
      <c r="R41" s="3547">
        <f>E41</f>
        <v>0</v>
      </c>
      <c r="S41" s="3547"/>
      <c r="T41" s="3547">
        <f>G41</f>
        <v>0</v>
      </c>
      <c r="U41" s="3547"/>
      <c r="V41" s="3547">
        <f>I41</f>
        <v>0</v>
      </c>
      <c r="W41" s="3547"/>
      <c r="X41" s="697"/>
      <c r="Y41" s="719"/>
      <c r="Z41" s="697"/>
      <c r="AA41" s="697"/>
      <c r="AB41" s="697"/>
      <c r="AC41" s="697"/>
    </row>
    <row r="42" spans="1:29" ht="15.75" thickBot="1">
      <c r="A42" s="444" t="s">
        <v>2430</v>
      </c>
      <c r="B42" s="445"/>
      <c r="C42" s="1290" t="e">
        <f>R43</f>
        <v>#DIV/0!</v>
      </c>
      <c r="D42" s="2504" t="s">
        <v>2819</v>
      </c>
      <c r="E42" s="1291" t="e">
        <f>R42</f>
        <v>#DIV/0!</v>
      </c>
      <c r="F42" s="2505"/>
      <c r="G42" s="1290" t="e">
        <f>T42</f>
        <v>#DIV/0!</v>
      </c>
      <c r="H42" s="2505"/>
      <c r="I42" s="1291" t="e">
        <f>V42</f>
        <v>#DIV/0!</v>
      </c>
      <c r="J42" s="2505"/>
      <c r="K42" s="2507">
        <f>F42+H42+J42</f>
        <v>0</v>
      </c>
      <c r="L42" s="1055"/>
      <c r="M42" s="1056"/>
      <c r="N42" s="1043"/>
      <c r="O42" s="1056"/>
      <c r="P42" s="3546" t="str">
        <f>A42</f>
        <v>比较价值（元/平方米）</v>
      </c>
      <c r="Q42" s="3546"/>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697"/>
      <c r="Y42" s="697"/>
      <c r="Z42" s="697"/>
      <c r="AA42" s="697"/>
      <c r="AB42" s="697"/>
      <c r="AC42" s="697"/>
    </row>
    <row r="43" spans="1:29" ht="15.75" thickBot="1">
      <c r="A43" s="448" t="s">
        <v>2431</v>
      </c>
      <c r="B43" s="449"/>
      <c r="C43" s="1293" t="e">
        <f>R43</f>
        <v>#DIV/0!</v>
      </c>
      <c r="D43" s="1293"/>
      <c r="E43" s="1293"/>
      <c r="F43" s="1293"/>
      <c r="G43" s="1293"/>
      <c r="H43" s="1293"/>
      <c r="I43" s="1293"/>
      <c r="J43" s="1293"/>
      <c r="K43" s="722"/>
      <c r="L43" s="1055"/>
      <c r="M43" s="1056"/>
      <c r="N43" s="1056"/>
      <c r="O43" s="1056"/>
      <c r="P43" s="3543" t="str">
        <f>A43</f>
        <v>估价对象XX用房的比较价值（楼面单价，元/平方米）</v>
      </c>
      <c r="Q43" s="3544"/>
      <c r="R43" s="3545" t="e">
        <f>IF(F1="售价",ROUND(IF(D42="简单平均",AVERAGE(R42:V42),R42*F42+T42*H42+V42*J42),0),ROUND(IF(D42="简单平均",AVERAGE(R42:V42),R42*F42+T42*H42+V42*J42),1))</f>
        <v>#DIV/0!</v>
      </c>
      <c r="S43" s="3545"/>
      <c r="T43" s="3545"/>
      <c r="U43" s="3545"/>
      <c r="V43" s="3545"/>
      <c r="W43" s="3545"/>
      <c r="X43" s="697"/>
      <c r="Y43" s="697"/>
      <c r="Z43" s="697"/>
      <c r="AA43" s="697"/>
      <c r="AB43" s="697"/>
      <c r="AC43" s="697"/>
    </row>
    <row r="44" spans="1:29">
      <c r="A44" s="2919"/>
      <c r="B44" s="2919"/>
      <c r="C44" s="2919"/>
      <c r="D44" s="2919"/>
      <c r="E44" s="2919"/>
      <c r="F44" s="2919"/>
      <c r="G44" s="2923"/>
      <c r="H44" s="2919"/>
      <c r="I44" s="2919"/>
      <c r="J44" s="2919"/>
      <c r="K44" s="2924"/>
      <c r="L44" s="1018"/>
      <c r="M44" s="1056"/>
      <c r="N44" s="1056"/>
      <c r="O44" s="1056"/>
    </row>
    <row r="45" spans="1:29">
      <c r="A45" s="2919"/>
      <c r="B45" s="2919"/>
      <c r="C45" s="2919"/>
      <c r="D45" s="2919"/>
      <c r="E45" s="2919"/>
      <c r="F45" s="2919"/>
      <c r="G45" s="2919"/>
      <c r="H45" s="2919"/>
      <c r="I45" s="2919"/>
      <c r="J45" s="2919"/>
      <c r="K45" s="2924"/>
      <c r="L45" s="1018"/>
      <c r="M45" s="1056"/>
      <c r="N45" s="1056"/>
      <c r="O45" s="1056"/>
    </row>
    <row r="46" spans="1:29" ht="13.5" customHeight="1">
      <c r="A46" s="2919"/>
      <c r="B46" s="2919"/>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4"/>
      <c r="L46" s="1018"/>
      <c r="M46" s="1056"/>
      <c r="N46" s="1056"/>
      <c r="O46" s="1056"/>
    </row>
    <row r="47" spans="1:29" ht="13.5" customHeight="1">
      <c r="A47" s="2919"/>
      <c r="B47" s="2919"/>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4"/>
      <c r="L47" s="1018"/>
      <c r="M47" s="1056"/>
      <c r="N47" s="1056"/>
      <c r="O47" s="1056"/>
    </row>
    <row r="48" spans="1:29" s="458" customFormat="1" ht="13.5" customHeight="1">
      <c r="A48" s="2922"/>
      <c r="B48" s="2922"/>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7"/>
      <c r="L48" s="1059"/>
      <c r="M48" s="1057"/>
      <c r="N48" s="1057"/>
      <c r="O48" s="1057"/>
    </row>
    <row r="49" spans="1:17" s="458" customFormat="1">
      <c r="A49" s="2922"/>
      <c r="B49" s="2925"/>
      <c r="C49" s="2926"/>
      <c r="D49" s="2922"/>
      <c r="E49" s="2922"/>
      <c r="F49" s="2922"/>
      <c r="G49" s="2922"/>
      <c r="H49" s="2922"/>
      <c r="I49" s="2922"/>
      <c r="J49" s="2922"/>
      <c r="K49" s="2927"/>
      <c r="L49" s="1059"/>
      <c r="M49" s="1057"/>
      <c r="N49" s="1057"/>
      <c r="O49" s="1057"/>
    </row>
    <row r="50" spans="1:17">
      <c r="A50" s="2919"/>
      <c r="B50" s="2925"/>
      <c r="C50" s="2926"/>
      <c r="D50" s="2919"/>
      <c r="E50" s="2919"/>
      <c r="F50" s="2919"/>
      <c r="G50" s="2919"/>
      <c r="H50" s="2919"/>
      <c r="I50" s="2919"/>
      <c r="J50" s="2919"/>
      <c r="K50" s="2924"/>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4" t="str">
        <f>YEAR(C7)&amp;"-"&amp;MONTH(C7)</f>
        <v>2022-2</v>
      </c>
      <c r="D52" s="1315">
        <f>EDATE(C52,-1)</f>
        <v>44562</v>
      </c>
      <c r="E52" s="1315">
        <f t="shared" ref="E52:O52" si="16">EDATE(D52,-1)</f>
        <v>44531</v>
      </c>
      <c r="F52" s="1315">
        <f t="shared" si="16"/>
        <v>44501</v>
      </c>
      <c r="G52" s="1315">
        <f t="shared" si="16"/>
        <v>44470</v>
      </c>
      <c r="H52" s="1315">
        <f t="shared" si="16"/>
        <v>44440</v>
      </c>
      <c r="I52" s="1315">
        <f t="shared" si="16"/>
        <v>44409</v>
      </c>
      <c r="J52" s="1315">
        <f t="shared" si="16"/>
        <v>44378</v>
      </c>
      <c r="K52" s="1315">
        <f t="shared" si="16"/>
        <v>44348</v>
      </c>
      <c r="L52" s="1315">
        <f t="shared" si="16"/>
        <v>44317</v>
      </c>
      <c r="M52" s="1315">
        <f t="shared" si="16"/>
        <v>44287</v>
      </c>
      <c r="N52" s="1315">
        <f t="shared" si="16"/>
        <v>44256</v>
      </c>
      <c r="O52" s="1315">
        <f t="shared" si="16"/>
        <v>44228</v>
      </c>
      <c r="P52" s="463"/>
    </row>
    <row r="53" spans="1:17" s="112" customFormat="1" ht="15">
      <c r="A53" s="465"/>
      <c r="B53" s="466"/>
      <c r="C53" s="1313">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4"/>
      <c r="O54" s="2965"/>
      <c r="P54" s="460"/>
      <c r="Q54" s="460"/>
    </row>
    <row r="55" spans="1:17" s="112" customFormat="1" ht="15">
      <c r="A55" s="477" t="s">
        <v>2311</v>
      </c>
      <c r="B55" s="466"/>
      <c r="C55" s="478" t="s">
        <v>2413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5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0"/>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1516</v>
      </c>
    </row>
    <row r="2" spans="1:1">
      <c r="A2" s="1629"/>
    </row>
    <row r="3" spans="1:1" ht="18">
      <c r="A3" s="1630" t="str">
        <f>项目基本情况!B5&amp;"："</f>
        <v>北京市保障房中心：</v>
      </c>
    </row>
    <row r="4" spans="1:1" ht="18">
      <c r="A4" s="1631" t="str">
        <f>"受贵公司委托，我公司对"&amp;项目基本情况!S1&amp;"进行了预评估。"</f>
        <v>受贵公司委托，我公司对北京市房地产市场价值进行了预评估。</v>
      </c>
    </row>
    <row r="5" spans="1:1" ht="18.75">
      <c r="A5" s="1632" t="s">
        <v>1517</v>
      </c>
    </row>
    <row r="6" spans="1:1" ht="18.75">
      <c r="A6" s="1633" t="s">
        <v>1518</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1634" t="s">
        <v>1519</v>
      </c>
    </row>
    <row r="9" spans="1:1" ht="18.75">
      <c r="A9" s="1633" t="s">
        <v>1520</v>
      </c>
    </row>
    <row r="10" spans="1:1" ht="54">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1634" t="s">
        <v>1521</v>
      </c>
    </row>
    <row r="12" spans="1:1" ht="18.75">
      <c r="A12" s="1632" t="s">
        <v>1522</v>
      </c>
    </row>
    <row r="13" spans="1:1" ht="38.25" customHeight="1">
      <c r="A13" s="1635" t="str">
        <f>IF(项目基本情况!B8="抵押",IF(项目基本情况!B5=项目基本情况!B6,定义!C51,定义!B51),定义!D51)</f>
        <v>为估价委托人了解估价对象房地产市场价值提供参考依据。</v>
      </c>
    </row>
    <row r="14" spans="1:1" ht="18.75">
      <c r="A14" s="1636" t="s">
        <v>1523</v>
      </c>
    </row>
    <row r="15" spans="1:1" ht="18">
      <c r="A15" s="1637" t="str">
        <f>TEXT(项目基本情况!D3,"yyyy年m月d日;;")&amp;IF(项目基本情况!D3=项目基本情况!B3,"（评估专业人员实地查勘之日）","")</f>
        <v>2022年2月25日（评估专业人员实地查勘之日）</v>
      </c>
    </row>
    <row r="16" spans="1:1" ht="18.75">
      <c r="A16" s="1636" t="s">
        <v>1524</v>
      </c>
    </row>
    <row r="17" spans="1:1" ht="75">
      <c r="A17" s="1631" t="s">
        <v>1525</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1" t="str">
        <f>IF(项目基本情况!B9="房地产市场价值","——",IF(项目基本情况!E8="房地产抵押价值",定义!C54,IF(项目基本情况!E8="已注销",定义!C55,定义!C56)))</f>
        <v>——</v>
      </c>
    </row>
    <row r="21" spans="1:1" ht="18">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1" t="str">
        <f>IF(项目基本情况!B9="房地产市场价值","——",IF(项目基本情况!E9="——","",定义!C57))</f>
        <v>——</v>
      </c>
    </row>
    <row r="23" spans="1:1" ht="18.75">
      <c r="A23" s="1636" t="s">
        <v>1514</v>
      </c>
    </row>
    <row r="24" spans="1:1" ht="18">
      <c r="A24" s="1638" t="str">
        <f>"本次评估采用的主估价方法为"&amp;结果表!K4&amp;"和"&amp;结果表!L4&amp;"。"</f>
        <v>本次评估采用的主估价方法为基准地价系数修正法和基准地价系数修正法。</v>
      </c>
    </row>
    <row r="25" spans="1:1" ht="18">
      <c r="A25" s="1638"/>
    </row>
    <row r="26" spans="1:1" ht="18.75">
      <c r="A26" s="1639" t="s">
        <v>1515</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2468</v>
      </c>
      <c r="B1" s="1359"/>
      <c r="C1" s="1360" t="s">
        <v>2291</v>
      </c>
      <c r="D1" s="1361"/>
      <c r="E1" s="1362"/>
      <c r="F1" s="2031"/>
      <c r="G1" s="1363" t="s">
        <v>2404</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7" customFormat="1" ht="28.5" customHeight="1" thickTop="1">
      <c r="A2" s="1357" t="s">
        <v>2088</v>
      </c>
      <c r="B2" s="1294" t="e">
        <f ca="1">IF(C2="——",IF(B37="元/平方米",ROUND(C39*D3/10000,0),ROUND(F3*C39/10000,0)),IF(B37="元/平方米",ROUND(C39*D3/10000,0),ROUND(F3*C39/10000,0))-D2)</f>
        <v>#DIV/0!</v>
      </c>
      <c r="C2" s="2033"/>
      <c r="D2" s="1036" t="e">
        <f ca="1">SUMIF(INDIRECT("'"&amp;F2&amp;"'"&amp;"!A:A"),"承租人权益价值",INDIRECT("'"&amp;F2&amp;"'"&amp;"!c:c"))</f>
        <v>#REF!</v>
      </c>
      <c r="E2" s="2034" t="s">
        <v>2089</v>
      </c>
      <c r="F2" s="2035"/>
      <c r="G2" s="1037"/>
      <c r="H2" s="1037"/>
      <c r="I2" s="1037"/>
      <c r="J2" s="1037"/>
      <c r="K2" s="1039"/>
      <c r="L2" s="2928"/>
      <c r="M2" s="2929"/>
      <c r="N2" s="2929"/>
      <c r="O2" s="2929"/>
      <c r="P2" s="1295"/>
      <c r="Q2" s="706"/>
      <c r="R2" s="706"/>
      <c r="S2" s="706"/>
      <c r="T2" s="706"/>
      <c r="U2" s="706"/>
      <c r="V2" s="706"/>
      <c r="W2" s="706"/>
      <c r="X2" s="706"/>
      <c r="Y2" s="706"/>
      <c r="Z2" s="706"/>
      <c r="AA2" s="706"/>
      <c r="AB2" s="706"/>
      <c r="AC2" s="707"/>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8"/>
      <c r="M3" s="2929"/>
      <c r="N3" s="2929"/>
      <c r="O3" s="2929"/>
      <c r="P3" s="1295"/>
      <c r="Q3" s="706"/>
      <c r="R3" s="706"/>
      <c r="S3" s="706"/>
      <c r="T3" s="706"/>
      <c r="U3" s="706"/>
      <c r="V3" s="706"/>
      <c r="W3" s="706"/>
      <c r="X3" s="706"/>
      <c r="Y3" s="706"/>
      <c r="Z3" s="706"/>
      <c r="AA3" s="706"/>
      <c r="AB3" s="723"/>
      <c r="AC3" s="720"/>
    </row>
    <row r="4" spans="1:29" ht="15">
      <c r="A4" s="360" t="s">
        <v>2406</v>
      </c>
      <c r="B4" s="361"/>
      <c r="C4" s="3562" t="s">
        <v>2407</v>
      </c>
      <c r="D4" s="3563"/>
      <c r="E4" s="3564" t="s">
        <v>2408</v>
      </c>
      <c r="F4" s="3565"/>
      <c r="G4" s="3562" t="s">
        <v>2409</v>
      </c>
      <c r="H4" s="3563"/>
      <c r="I4" s="3562" t="s">
        <v>2410</v>
      </c>
      <c r="J4" s="3563"/>
      <c r="K4" s="566" t="s">
        <v>2411</v>
      </c>
      <c r="L4" s="2909"/>
      <c r="M4" s="2910"/>
      <c r="N4" s="2910"/>
      <c r="O4" s="2910"/>
      <c r="P4" s="3566" t="s">
        <v>2412</v>
      </c>
      <c r="Q4" s="3567"/>
      <c r="R4" s="3572" t="s">
        <v>2408</v>
      </c>
      <c r="S4" s="3573"/>
      <c r="T4" s="3572" t="s">
        <v>2409</v>
      </c>
      <c r="U4" s="3573"/>
      <c r="V4" s="3578" t="s">
        <v>2410</v>
      </c>
      <c r="W4" s="3578"/>
      <c r="X4" s="1505"/>
      <c r="Y4" s="3572" t="s">
        <v>2412</v>
      </c>
      <c r="Z4" s="3573"/>
      <c r="AA4" s="3559" t="s">
        <v>2408</v>
      </c>
      <c r="AB4" s="3560" t="s">
        <v>2409</v>
      </c>
      <c r="AC4" s="3559" t="s">
        <v>2410</v>
      </c>
    </row>
    <row r="5" spans="1:29" ht="15">
      <c r="A5" s="363"/>
      <c r="B5" s="364"/>
      <c r="C5" s="3581" t="s">
        <v>2303</v>
      </c>
      <c r="D5" s="3582"/>
      <c r="E5" s="3588" t="s">
        <v>2304</v>
      </c>
      <c r="F5" s="3589"/>
      <c r="G5" s="3581" t="s">
        <v>2305</v>
      </c>
      <c r="H5" s="3582"/>
      <c r="I5" s="3581" t="s">
        <v>2306</v>
      </c>
      <c r="J5" s="3582"/>
      <c r="K5" s="566"/>
      <c r="L5" s="2909"/>
      <c r="M5" s="2910"/>
      <c r="N5" s="2910"/>
      <c r="O5" s="2910"/>
      <c r="P5" s="3568"/>
      <c r="Q5" s="3569"/>
      <c r="R5" s="3574"/>
      <c r="S5" s="3575"/>
      <c r="T5" s="3574"/>
      <c r="U5" s="3575"/>
      <c r="V5" s="3578"/>
      <c r="W5" s="3578"/>
      <c r="X5" s="1505"/>
      <c r="Y5" s="3574"/>
      <c r="Z5" s="3575"/>
      <c r="AA5" s="3560"/>
      <c r="AB5" s="3560"/>
      <c r="AC5" s="3560"/>
    </row>
    <row r="6" spans="1:29" ht="15.75" thickBot="1">
      <c r="A6" s="365"/>
      <c r="B6" s="366"/>
      <c r="C6" s="3579" t="s">
        <v>2307</v>
      </c>
      <c r="D6" s="3580"/>
      <c r="E6" s="3586" t="s">
        <v>2307</v>
      </c>
      <c r="F6" s="3587"/>
      <c r="G6" s="3579" t="s">
        <v>2307</v>
      </c>
      <c r="H6" s="3580"/>
      <c r="I6" s="3579" t="s">
        <v>2307</v>
      </c>
      <c r="J6" s="3580"/>
      <c r="K6" s="566" t="s">
        <v>2308</v>
      </c>
      <c r="L6" s="2909"/>
      <c r="M6" s="2910"/>
      <c r="N6" s="2910"/>
      <c r="O6" s="2910"/>
      <c r="P6" s="3570"/>
      <c r="Q6" s="3571"/>
      <c r="R6" s="3574"/>
      <c r="S6" s="3575"/>
      <c r="T6" s="3576"/>
      <c r="U6" s="3577"/>
      <c r="V6" s="3578"/>
      <c r="W6" s="3578"/>
      <c r="X6" s="1505"/>
      <c r="Y6" s="3576"/>
      <c r="Z6" s="3577"/>
      <c r="AA6" s="3561"/>
      <c r="AB6" s="3561"/>
      <c r="AC6" s="3561"/>
    </row>
    <row r="7" spans="1:29" s="112" customFormat="1" ht="15.75" thickBot="1">
      <c r="A7" s="367" t="s">
        <v>2309</v>
      </c>
      <c r="B7" s="368"/>
      <c r="C7" s="369">
        <f>'数据-取费表'!B2</f>
        <v>44617</v>
      </c>
      <c r="D7" s="370">
        <v>100</v>
      </c>
      <c r="E7" s="371"/>
      <c r="F7" s="372">
        <f>SUMIF(48:48,YEAR(E7)&amp;"-"&amp;MONTH(E7),49:49)</f>
        <v>0</v>
      </c>
      <c r="G7" s="371"/>
      <c r="H7" s="370">
        <f>SUMIF(48:48,YEAR(G7)&amp;"-"&amp;MONTH(G7),49:49)</f>
        <v>0</v>
      </c>
      <c r="I7" s="371"/>
      <c r="J7" s="370">
        <f>SUMIF(48:48,YEAR(I7)&amp;"-"&amp;MONTH(I7),49:49)</f>
        <v>0</v>
      </c>
      <c r="K7" s="567"/>
      <c r="L7" s="2911"/>
      <c r="M7" s="2912"/>
      <c r="N7" s="2912"/>
      <c r="O7" s="2912"/>
      <c r="P7" s="3583" t="s">
        <v>2310</v>
      </c>
      <c r="Q7" s="3585"/>
      <c r="R7" s="708" t="s">
        <v>17</v>
      </c>
      <c r="S7" s="709">
        <f t="shared" ref="S7:S14" si="0">F7</f>
        <v>0</v>
      </c>
      <c r="T7" s="708" t="s">
        <v>17</v>
      </c>
      <c r="U7" s="709">
        <f t="shared" ref="U7:U14" si="1">H7</f>
        <v>0</v>
      </c>
      <c r="V7" s="708" t="s">
        <v>17</v>
      </c>
      <c r="W7" s="709">
        <f t="shared" ref="W7:W14" si="2">J7</f>
        <v>0</v>
      </c>
      <c r="X7" s="710"/>
      <c r="Y7" s="3583" t="s">
        <v>2310</v>
      </c>
      <c r="Z7" s="3584"/>
      <c r="AA7" s="711" t="e">
        <f>D7/F7</f>
        <v>#DIV/0!</v>
      </c>
      <c r="AB7" s="711" t="e">
        <f>D7/H7</f>
        <v>#DIV/0!</v>
      </c>
      <c r="AC7" s="711"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1"/>
      <c r="M8" s="2912"/>
      <c r="N8" s="2912"/>
      <c r="O8" s="2912"/>
      <c r="P8" s="3583" t="s">
        <v>2313</v>
      </c>
      <c r="Q8" s="3584"/>
      <c r="R8" s="708" t="s">
        <v>17</v>
      </c>
      <c r="S8" s="709">
        <f t="shared" si="0"/>
        <v>0</v>
      </c>
      <c r="T8" s="708" t="s">
        <v>17</v>
      </c>
      <c r="U8" s="709">
        <f t="shared" si="1"/>
        <v>0</v>
      </c>
      <c r="V8" s="708" t="s">
        <v>17</v>
      </c>
      <c r="W8" s="709">
        <f t="shared" si="2"/>
        <v>0</v>
      </c>
      <c r="X8" s="710"/>
      <c r="Y8" s="3583" t="s">
        <v>2313</v>
      </c>
      <c r="Z8" s="3584"/>
      <c r="AA8" s="711" t="e">
        <f t="shared" ref="AA8:AA36" si="3">D8/F8</f>
        <v>#DIV/0!</v>
      </c>
      <c r="AB8" s="711" t="e">
        <f t="shared" ref="AB8:AB36" si="4">D8/H8</f>
        <v>#DIV/0!</v>
      </c>
      <c r="AC8" s="711" t="e">
        <f t="shared" ref="AC8:AC36" si="5">D8/J8</f>
        <v>#DIV/0!</v>
      </c>
    </row>
    <row r="9" spans="1:29" s="112"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1"/>
      <c r="M9" s="2912"/>
      <c r="N9" s="2912"/>
      <c r="O9" s="2912"/>
      <c r="P9" s="3546" t="s">
        <v>2316</v>
      </c>
      <c r="Q9" s="1493" t="str">
        <f t="shared" ref="Q9:Q14" si="6">B9</f>
        <v>用途</v>
      </c>
      <c r="R9" s="708" t="s">
        <v>17</v>
      </c>
      <c r="S9" s="709">
        <f t="shared" si="0"/>
        <v>100</v>
      </c>
      <c r="T9" s="708" t="s">
        <v>17</v>
      </c>
      <c r="U9" s="709">
        <f t="shared" si="1"/>
        <v>100</v>
      </c>
      <c r="V9" s="708" t="s">
        <v>17</v>
      </c>
      <c r="W9" s="709">
        <f t="shared" si="2"/>
        <v>100</v>
      </c>
      <c r="X9" s="710"/>
      <c r="Y9" s="3558" t="s">
        <v>2317</v>
      </c>
      <c r="Z9" s="55" t="str">
        <f t="shared" ref="Z9:Z14" si="7">Q9</f>
        <v>用途</v>
      </c>
      <c r="AA9" s="711">
        <f t="shared" si="3"/>
        <v>1</v>
      </c>
      <c r="AB9" s="711">
        <f t="shared" si="4"/>
        <v>1</v>
      </c>
      <c r="AC9" s="711">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3"/>
      <c r="M10" s="2914"/>
      <c r="N10" s="2914"/>
      <c r="O10" s="2914"/>
      <c r="P10" s="3546"/>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5"/>
      <c r="M11" s="2910"/>
      <c r="N11" s="2910"/>
      <c r="O11" s="2910"/>
      <c r="P11" s="3546"/>
      <c r="Q11" s="1493">
        <f t="shared" si="6"/>
        <v>111</v>
      </c>
      <c r="R11" s="708" t="s">
        <v>17</v>
      </c>
      <c r="S11" s="709">
        <f t="shared" si="0"/>
        <v>100</v>
      </c>
      <c r="T11" s="708" t="s">
        <v>17</v>
      </c>
      <c r="U11" s="709">
        <f t="shared" si="1"/>
        <v>100</v>
      </c>
      <c r="V11" s="708" t="s">
        <v>17</v>
      </c>
      <c r="W11" s="709">
        <f t="shared" si="2"/>
        <v>100</v>
      </c>
      <c r="X11" s="710"/>
      <c r="Y11" s="3558"/>
      <c r="Z11" s="55">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1"/>
      <c r="M12" s="2912"/>
      <c r="N12" s="2912"/>
      <c r="O12" s="2912"/>
      <c r="P12" s="3546"/>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6"/>
      <c r="M13" s="2910"/>
      <c r="N13" s="2910"/>
      <c r="O13" s="2910"/>
      <c r="P13" s="3546"/>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711">
        <f t="shared" si="5"/>
        <v>1</v>
      </c>
    </row>
    <row r="14" spans="1:29" ht="85.5">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6"/>
      <c r="M14" s="2910"/>
      <c r="N14" s="2910"/>
      <c r="O14" s="2910"/>
      <c r="P14" s="3548" t="s">
        <v>2321</v>
      </c>
      <c r="Q14" s="1502" t="str">
        <f t="shared" si="6"/>
        <v>交通便捷度</v>
      </c>
      <c r="R14" s="712" t="s">
        <v>17</v>
      </c>
      <c r="S14" s="713">
        <f t="shared" si="0"/>
        <v>100</v>
      </c>
      <c r="T14" s="712" t="s">
        <v>17</v>
      </c>
      <c r="U14" s="713">
        <f t="shared" si="1"/>
        <v>100</v>
      </c>
      <c r="V14" s="712" t="s">
        <v>17</v>
      </c>
      <c r="W14" s="713">
        <f t="shared" si="2"/>
        <v>100</v>
      </c>
      <c r="X14" s="1505"/>
      <c r="Y14" s="3548" t="s">
        <v>2321</v>
      </c>
      <c r="Z14" s="1506" t="str">
        <f t="shared" si="7"/>
        <v>交通便捷度</v>
      </c>
      <c r="AA14" s="1503">
        <f t="shared" si="3"/>
        <v>1</v>
      </c>
      <c r="AB14" s="1503">
        <f t="shared" si="4"/>
        <v>1</v>
      </c>
      <c r="AC14" s="1503">
        <f t="shared" si="5"/>
        <v>1</v>
      </c>
    </row>
    <row r="15" spans="1:29" ht="15">
      <c r="A15" s="363"/>
      <c r="B15" s="602"/>
      <c r="C15" s="405"/>
      <c r="D15" s="406"/>
      <c r="E15" s="405"/>
      <c r="F15" s="407"/>
      <c r="G15" s="405"/>
      <c r="H15" s="408"/>
      <c r="I15" s="405"/>
      <c r="J15" s="406"/>
      <c r="K15" s="571"/>
      <c r="L15" s="2916"/>
      <c r="M15" s="2910"/>
      <c r="N15" s="2910"/>
      <c r="O15" s="2910"/>
      <c r="P15" s="3549"/>
      <c r="Q15" s="1502"/>
      <c r="R15" s="712"/>
      <c r="S15" s="713"/>
      <c r="T15" s="712"/>
      <c r="U15" s="713"/>
      <c r="V15" s="712"/>
      <c r="W15" s="713"/>
      <c r="X15" s="1505"/>
      <c r="Y15" s="3549"/>
      <c r="Z15" s="1506"/>
      <c r="AA15" s="1503">
        <v>1</v>
      </c>
      <c r="AB15" s="1503">
        <v>1</v>
      </c>
      <c r="AC15" s="1503">
        <v>1</v>
      </c>
    </row>
    <row r="16" spans="1:29" ht="42.75">
      <c r="A16" s="363"/>
      <c r="B16" s="586" t="s">
        <v>2449</v>
      </c>
      <c r="C16" s="205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6"/>
      <c r="M16" s="2910"/>
      <c r="N16" s="2910"/>
      <c r="O16" s="2910"/>
      <c r="P16" s="3549"/>
      <c r="Q16" s="1502" t="str">
        <f>B16</f>
        <v>公共配套设施</v>
      </c>
      <c r="R16" s="712" t="s">
        <v>17</v>
      </c>
      <c r="S16" s="713">
        <f>F16</f>
        <v>100</v>
      </c>
      <c r="T16" s="712" t="s">
        <v>17</v>
      </c>
      <c r="U16" s="713">
        <f>H16</f>
        <v>100</v>
      </c>
      <c r="V16" s="712" t="s">
        <v>17</v>
      </c>
      <c r="W16" s="713">
        <f>J16</f>
        <v>100</v>
      </c>
      <c r="X16" s="1505"/>
      <c r="Y16" s="3549"/>
      <c r="Z16" s="1506" t="str">
        <f>Q16</f>
        <v>公共配套设施</v>
      </c>
      <c r="AA16" s="1503">
        <f t="shared" si="3"/>
        <v>1</v>
      </c>
      <c r="AB16" s="1503">
        <f t="shared" si="4"/>
        <v>1</v>
      </c>
      <c r="AC16" s="1503">
        <f t="shared" si="5"/>
        <v>1</v>
      </c>
    </row>
    <row r="17" spans="1:29" ht="15">
      <c r="A17" s="363"/>
      <c r="B17" s="587"/>
      <c r="C17" s="2053"/>
      <c r="D17" s="406"/>
      <c r="E17" s="405"/>
      <c r="F17" s="407"/>
      <c r="G17" s="405"/>
      <c r="H17" s="406"/>
      <c r="I17" s="405"/>
      <c r="J17" s="406"/>
      <c r="K17" s="571"/>
      <c r="L17" s="2916"/>
      <c r="M17" s="2910"/>
      <c r="N17" s="2910"/>
      <c r="O17" s="2910"/>
      <c r="P17" s="3549"/>
      <c r="Q17" s="1502"/>
      <c r="R17" s="712"/>
      <c r="S17" s="713"/>
      <c r="T17" s="712"/>
      <c r="U17" s="713"/>
      <c r="V17" s="712"/>
      <c r="W17" s="713"/>
      <c r="X17" s="1505"/>
      <c r="Y17" s="3549"/>
      <c r="Z17" s="1506"/>
      <c r="AA17" s="1503">
        <v>1</v>
      </c>
      <c r="AB17" s="1503">
        <v>1</v>
      </c>
      <c r="AC17" s="1503">
        <v>1</v>
      </c>
    </row>
    <row r="18" spans="1:29" ht="28.5">
      <c r="A18" s="363"/>
      <c r="B18" s="588" t="s">
        <v>2450</v>
      </c>
      <c r="C18" s="205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6"/>
      <c r="M18" s="2910"/>
      <c r="N18" s="2910"/>
      <c r="O18" s="2910"/>
      <c r="P18" s="3549"/>
      <c r="Q18" s="1502" t="str">
        <f>B18</f>
        <v>基础设施水平</v>
      </c>
      <c r="R18" s="712" t="s">
        <v>17</v>
      </c>
      <c r="S18" s="713">
        <f>F18</f>
        <v>100</v>
      </c>
      <c r="T18" s="712" t="s">
        <v>17</v>
      </c>
      <c r="U18" s="713">
        <f>H18</f>
        <v>100</v>
      </c>
      <c r="V18" s="712" t="s">
        <v>17</v>
      </c>
      <c r="W18" s="713">
        <f>J18</f>
        <v>100</v>
      </c>
      <c r="X18" s="1505"/>
      <c r="Y18" s="3549"/>
      <c r="Z18" s="1506" t="str">
        <f>Q18</f>
        <v>基础设施水平</v>
      </c>
      <c r="AA18" s="1503">
        <f t="shared" ref="AA18" si="8">D18/F18</f>
        <v>1</v>
      </c>
      <c r="AB18" s="1503">
        <f t="shared" ref="AB18" si="9">D18/H18</f>
        <v>1</v>
      </c>
      <c r="AC18" s="1503">
        <f t="shared" ref="AC18" si="10">D18/J18</f>
        <v>1</v>
      </c>
    </row>
    <row r="19" spans="1:29" ht="15">
      <c r="A19" s="363"/>
      <c r="B19" s="588"/>
      <c r="C19" s="2053"/>
      <c r="D19" s="408"/>
      <c r="E19" s="2053"/>
      <c r="F19" s="411"/>
      <c r="G19" s="2053"/>
      <c r="H19" s="406"/>
      <c r="I19" s="405"/>
      <c r="J19" s="406"/>
      <c r="K19" s="1260"/>
      <c r="L19" s="2916"/>
      <c r="M19" s="2910"/>
      <c r="N19" s="2910"/>
      <c r="O19" s="2910"/>
      <c r="P19" s="3549"/>
      <c r="Q19" s="1502"/>
      <c r="R19" s="712"/>
      <c r="S19" s="713"/>
      <c r="T19" s="712"/>
      <c r="U19" s="713"/>
      <c r="V19" s="712"/>
      <c r="W19" s="713"/>
      <c r="X19" s="1505"/>
      <c r="Y19" s="3549"/>
      <c r="Z19" s="1506"/>
      <c r="AA19" s="1503">
        <v>1</v>
      </c>
      <c r="AB19" s="1503">
        <v>1</v>
      </c>
      <c r="AC19" s="1503">
        <v>1</v>
      </c>
    </row>
    <row r="20" spans="1:29" ht="57">
      <c r="A20" s="363"/>
      <c r="B20" s="586" t="s">
        <v>2471</v>
      </c>
      <c r="C20" s="205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6"/>
      <c r="M20" s="2910"/>
      <c r="N20" s="2910"/>
      <c r="O20" s="2910"/>
      <c r="P20" s="3549"/>
      <c r="Q20" s="1502" t="str">
        <f>B20</f>
        <v>自然及人文环境</v>
      </c>
      <c r="R20" s="712" t="s">
        <v>17</v>
      </c>
      <c r="S20" s="713">
        <f>F20</f>
        <v>100</v>
      </c>
      <c r="T20" s="712" t="s">
        <v>17</v>
      </c>
      <c r="U20" s="713">
        <f>H20</f>
        <v>100</v>
      </c>
      <c r="V20" s="712" t="s">
        <v>17</v>
      </c>
      <c r="W20" s="713">
        <f>J20</f>
        <v>100</v>
      </c>
      <c r="X20" s="1505"/>
      <c r="Y20" s="3549"/>
      <c r="Z20" s="1506" t="str">
        <f>Q20</f>
        <v>自然及人文环境</v>
      </c>
      <c r="AA20" s="1503">
        <f t="shared" si="3"/>
        <v>1</v>
      </c>
      <c r="AB20" s="1503">
        <f t="shared" si="4"/>
        <v>1</v>
      </c>
      <c r="AC20" s="1503">
        <f t="shared" si="5"/>
        <v>1</v>
      </c>
    </row>
    <row r="21" spans="1:29" ht="15">
      <c r="A21" s="363"/>
      <c r="B21" s="587"/>
      <c r="C21" s="405"/>
      <c r="D21" s="406"/>
      <c r="E21" s="405"/>
      <c r="F21" s="407"/>
      <c r="G21" s="405"/>
      <c r="H21" s="406"/>
      <c r="I21" s="405"/>
      <c r="J21" s="406"/>
      <c r="K21" s="571"/>
      <c r="L21" s="2916"/>
      <c r="M21" s="2910"/>
      <c r="N21" s="2910"/>
      <c r="O21" s="2910"/>
      <c r="P21" s="3549"/>
      <c r="Q21" s="1502"/>
      <c r="R21" s="712"/>
      <c r="S21" s="713"/>
      <c r="T21" s="712"/>
      <c r="U21" s="713"/>
      <c r="V21" s="712"/>
      <c r="W21" s="713"/>
      <c r="X21" s="1505"/>
      <c r="Y21" s="3549"/>
      <c r="Z21" s="1506"/>
      <c r="AA21" s="1503">
        <v>1</v>
      </c>
      <c r="AB21" s="1503">
        <v>1</v>
      </c>
      <c r="AC21" s="1503">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6"/>
      <c r="M22" s="2910"/>
      <c r="N22" s="2910"/>
      <c r="O22" s="2910"/>
      <c r="P22" s="3549"/>
      <c r="Q22" s="1502" t="str">
        <f>B22</f>
        <v>楼层</v>
      </c>
      <c r="R22" s="712" t="s">
        <v>17</v>
      </c>
      <c r="S22" s="713">
        <f>F22</f>
        <v>100</v>
      </c>
      <c r="T22" s="712" t="s">
        <v>17</v>
      </c>
      <c r="U22" s="713">
        <f>H22</f>
        <v>100</v>
      </c>
      <c r="V22" s="712" t="s">
        <v>17</v>
      </c>
      <c r="W22" s="713">
        <f>J22</f>
        <v>100</v>
      </c>
      <c r="X22" s="1505"/>
      <c r="Y22" s="3549"/>
      <c r="Z22" s="1506" t="str">
        <f>Q22</f>
        <v>楼层</v>
      </c>
      <c r="AA22" s="1503">
        <f t="shared" si="3"/>
        <v>1</v>
      </c>
      <c r="AB22" s="1503">
        <f t="shared" si="4"/>
        <v>1</v>
      </c>
      <c r="AC22" s="1503">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6"/>
      <c r="M23" s="2910"/>
      <c r="N23" s="2910"/>
      <c r="O23" s="2910"/>
      <c r="P23" s="3549"/>
      <c r="Q23" s="1502">
        <f>B23</f>
        <v>111</v>
      </c>
      <c r="R23" s="712" t="s">
        <v>17</v>
      </c>
      <c r="S23" s="713">
        <f>F23</f>
        <v>100</v>
      </c>
      <c r="T23" s="712" t="s">
        <v>17</v>
      </c>
      <c r="U23" s="713">
        <f>H23</f>
        <v>100</v>
      </c>
      <c r="V23" s="712" t="s">
        <v>17</v>
      </c>
      <c r="W23" s="713">
        <f>J23</f>
        <v>100</v>
      </c>
      <c r="X23" s="1505"/>
      <c r="Y23" s="3549"/>
      <c r="Z23" s="1506">
        <f>Q23</f>
        <v>111</v>
      </c>
      <c r="AA23" s="1503">
        <f t="shared" si="3"/>
        <v>1</v>
      </c>
      <c r="AB23" s="1503">
        <f t="shared" si="4"/>
        <v>1</v>
      </c>
      <c r="AC23" s="1503">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6"/>
      <c r="M24" s="2910"/>
      <c r="N24" s="2910"/>
      <c r="O24" s="2910"/>
      <c r="P24" s="3549"/>
      <c r="Q24" s="1502">
        <f t="shared" ref="Q24:Q36" si="11">B24</f>
        <v>111</v>
      </c>
      <c r="R24" s="712" t="s">
        <v>17</v>
      </c>
      <c r="S24" s="713">
        <f>F24</f>
        <v>100</v>
      </c>
      <c r="T24" s="712" t="s">
        <v>17</v>
      </c>
      <c r="U24" s="713">
        <f>H24</f>
        <v>100</v>
      </c>
      <c r="V24" s="712" t="s">
        <v>17</v>
      </c>
      <c r="W24" s="713">
        <f>J24</f>
        <v>100</v>
      </c>
      <c r="X24" s="1505"/>
      <c r="Y24" s="3549"/>
      <c r="Z24" s="1506">
        <f>Q24</f>
        <v>111</v>
      </c>
      <c r="AA24" s="1503">
        <f t="shared" si="3"/>
        <v>1</v>
      </c>
      <c r="AB24" s="1503">
        <f t="shared" si="4"/>
        <v>1</v>
      </c>
      <c r="AC24" s="1503">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1"/>
      <c r="M25" s="2912"/>
      <c r="N25" s="2912"/>
      <c r="O25" s="2912"/>
      <c r="P25" s="3549"/>
      <c r="Q25" s="1493">
        <f t="shared" si="11"/>
        <v>111</v>
      </c>
      <c r="R25" s="708" t="s">
        <v>17</v>
      </c>
      <c r="S25" s="709">
        <f>F25</f>
        <v>100</v>
      </c>
      <c r="T25" s="708" t="s">
        <v>17</v>
      </c>
      <c r="U25" s="709">
        <f>H25</f>
        <v>100</v>
      </c>
      <c r="V25" s="708" t="s">
        <v>17</v>
      </c>
      <c r="W25" s="709">
        <f>J25</f>
        <v>100</v>
      </c>
      <c r="X25" s="710"/>
      <c r="Y25" s="3549"/>
      <c r="Z25" s="55">
        <f>Q25</f>
        <v>111</v>
      </c>
      <c r="AA25" s="1503">
        <f>D25/F25</f>
        <v>1</v>
      </c>
      <c r="AB25" s="1503">
        <f>D25/H25</f>
        <v>1</v>
      </c>
      <c r="AC25" s="1503">
        <f>D25/J25</f>
        <v>1</v>
      </c>
    </row>
    <row r="26" spans="1:29" ht="28.5">
      <c r="A26" s="607" t="s">
        <v>2324</v>
      </c>
      <c r="B26" s="66" t="s">
        <v>2473</v>
      </c>
      <c r="C26" s="2124">
        <f>B1</f>
        <v>0</v>
      </c>
      <c r="D26" s="406">
        <v>100</v>
      </c>
      <c r="E26" s="405"/>
      <c r="F26" s="407">
        <f>SUMIF(79:79,E26,80:80)-SUMIF(79:79,C26,80:80)+100</f>
        <v>100</v>
      </c>
      <c r="G26" s="405"/>
      <c r="H26" s="406">
        <f>SUMIF(79:79,G26,80:80)-SUMIF(79:79,C26,80:80)+100</f>
        <v>100</v>
      </c>
      <c r="I26" s="405"/>
      <c r="J26" s="406">
        <f>SUMIF(79:79,I26,80:80)-SUMIF(79:79,C26,80:80)+100</f>
        <v>100</v>
      </c>
      <c r="K26" s="568"/>
      <c r="L26" s="2916"/>
      <c r="M26" s="2910"/>
      <c r="N26" s="2910"/>
      <c r="O26" s="2910"/>
      <c r="P26" s="3605" t="s">
        <v>2326</v>
      </c>
      <c r="Q26" s="1502" t="str">
        <f t="shared" si="11"/>
        <v>配套类型</v>
      </c>
      <c r="R26" s="712" t="s">
        <v>17</v>
      </c>
      <c r="S26" s="713">
        <f t="shared" ref="S26:S36" si="12">F26</f>
        <v>100</v>
      </c>
      <c r="T26" s="712" t="s">
        <v>17</v>
      </c>
      <c r="U26" s="713">
        <f t="shared" ref="U26:U36" si="13">H26</f>
        <v>100</v>
      </c>
      <c r="V26" s="712" t="s">
        <v>17</v>
      </c>
      <c r="W26" s="713">
        <f t="shared" ref="W26:W36" si="14">J26</f>
        <v>100</v>
      </c>
      <c r="X26" s="1505"/>
      <c r="Y26" s="3553" t="s">
        <v>2326</v>
      </c>
      <c r="Z26" s="1506" t="str">
        <f t="shared" ref="Z26:Z36" si="15">Q26</f>
        <v>配套类型</v>
      </c>
      <c r="AA26" s="1503">
        <f t="shared" si="3"/>
        <v>1</v>
      </c>
      <c r="AB26" s="1503">
        <f t="shared" si="4"/>
        <v>1</v>
      </c>
      <c r="AC26" s="1503">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5"/>
      <c r="M27" s="2917"/>
      <c r="N27" s="2917"/>
      <c r="O27" s="2917"/>
      <c r="P27" s="3553"/>
      <c r="Q27" s="714" t="str">
        <f t="shared" si="11"/>
        <v>项目停车位配比</v>
      </c>
      <c r="R27" s="715" t="s">
        <v>17</v>
      </c>
      <c r="S27" s="716">
        <f t="shared" si="12"/>
        <v>100</v>
      </c>
      <c r="T27" s="715" t="s">
        <v>17</v>
      </c>
      <c r="U27" s="716">
        <f t="shared" si="13"/>
        <v>100</v>
      </c>
      <c r="V27" s="715" t="s">
        <v>17</v>
      </c>
      <c r="W27" s="716">
        <f t="shared" si="14"/>
        <v>100</v>
      </c>
      <c r="X27" s="717"/>
      <c r="Y27" s="3553"/>
      <c r="Z27" s="718" t="str">
        <f t="shared" si="15"/>
        <v>项目停车位配比</v>
      </c>
      <c r="AA27" s="1503">
        <f t="shared" si="3"/>
        <v>1</v>
      </c>
      <c r="AB27" s="1503">
        <f t="shared" si="4"/>
        <v>1</v>
      </c>
      <c r="AC27" s="1503">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6"/>
      <c r="M28" s="2910"/>
      <c r="N28" s="2910"/>
      <c r="O28" s="2910"/>
      <c r="P28" s="3553"/>
      <c r="Q28" s="1502" t="str">
        <f t="shared" si="11"/>
        <v>公共部分装修</v>
      </c>
      <c r="R28" s="712" t="s">
        <v>17</v>
      </c>
      <c r="S28" s="713">
        <f t="shared" si="12"/>
        <v>100</v>
      </c>
      <c r="T28" s="712" t="s">
        <v>17</v>
      </c>
      <c r="U28" s="713">
        <f t="shared" si="13"/>
        <v>100</v>
      </c>
      <c r="V28" s="712" t="s">
        <v>17</v>
      </c>
      <c r="W28" s="713">
        <f t="shared" si="14"/>
        <v>100</v>
      </c>
      <c r="X28" s="1505"/>
      <c r="Y28" s="3553"/>
      <c r="Z28" s="1506" t="str">
        <f t="shared" si="15"/>
        <v>公共部分装修</v>
      </c>
      <c r="AA28" s="1503">
        <f t="shared" si="3"/>
        <v>1</v>
      </c>
      <c r="AB28" s="1503">
        <f t="shared" si="4"/>
        <v>1</v>
      </c>
      <c r="AC28" s="1503">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6"/>
      <c r="M29" s="2910"/>
      <c r="N29" s="2910"/>
      <c r="O29" s="2910"/>
      <c r="P29" s="3553"/>
      <c r="Q29" s="1502" t="str">
        <f t="shared" si="11"/>
        <v>成新率</v>
      </c>
      <c r="R29" s="712" t="s">
        <v>17</v>
      </c>
      <c r="S29" s="713" t="e">
        <f t="shared" si="12"/>
        <v>#N/A</v>
      </c>
      <c r="T29" s="712" t="s">
        <v>17</v>
      </c>
      <c r="U29" s="713" t="e">
        <f t="shared" si="13"/>
        <v>#N/A</v>
      </c>
      <c r="V29" s="712" t="s">
        <v>17</v>
      </c>
      <c r="W29" s="713" t="e">
        <f t="shared" si="14"/>
        <v>#N/A</v>
      </c>
      <c r="X29" s="1505"/>
      <c r="Y29" s="3553"/>
      <c r="Z29" s="1506" t="str">
        <f t="shared" si="15"/>
        <v>成新率</v>
      </c>
      <c r="AA29" s="1503" t="e">
        <f t="shared" si="3"/>
        <v>#N/A</v>
      </c>
      <c r="AB29" s="1503" t="e">
        <f t="shared" si="4"/>
        <v>#N/A</v>
      </c>
      <c r="AC29" s="1503"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6"/>
      <c r="M30" s="2910"/>
      <c r="N30" s="2910"/>
      <c r="O30" s="2910"/>
      <c r="P30" s="3553"/>
      <c r="Q30" s="1502" t="str">
        <f t="shared" si="11"/>
        <v>物业等级</v>
      </c>
      <c r="R30" s="712" t="s">
        <v>17</v>
      </c>
      <c r="S30" s="713">
        <f t="shared" si="12"/>
        <v>100</v>
      </c>
      <c r="T30" s="712" t="s">
        <v>17</v>
      </c>
      <c r="U30" s="713">
        <f t="shared" si="13"/>
        <v>100</v>
      </c>
      <c r="V30" s="712" t="s">
        <v>17</v>
      </c>
      <c r="W30" s="713">
        <f t="shared" si="14"/>
        <v>100</v>
      </c>
      <c r="X30" s="1505"/>
      <c r="Y30" s="3553"/>
      <c r="Z30" s="1506" t="str">
        <f t="shared" si="15"/>
        <v>物业等级</v>
      </c>
      <c r="AA30" s="1503">
        <f t="shared" si="3"/>
        <v>1</v>
      </c>
      <c r="AB30" s="1503">
        <f t="shared" si="4"/>
        <v>1</v>
      </c>
      <c r="AC30" s="1503">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1"/>
      <c r="M31" s="2912"/>
      <c r="N31" s="2912"/>
      <c r="O31" s="2912"/>
      <c r="P31" s="3553"/>
      <c r="Q31" s="1493" t="str">
        <f t="shared" si="11"/>
        <v>停车位面积</v>
      </c>
      <c r="R31" s="708" t="s">
        <v>17</v>
      </c>
      <c r="S31" s="709" t="e">
        <f t="shared" si="12"/>
        <v>#N/A</v>
      </c>
      <c r="T31" s="708" t="s">
        <v>17</v>
      </c>
      <c r="U31" s="709" t="e">
        <f t="shared" si="13"/>
        <v>#N/A</v>
      </c>
      <c r="V31" s="708" t="s">
        <v>17</v>
      </c>
      <c r="W31" s="709" t="e">
        <f t="shared" si="14"/>
        <v>#N/A</v>
      </c>
      <c r="X31" s="710"/>
      <c r="Y31" s="3553"/>
      <c r="Z31" s="55" t="str">
        <f t="shared" si="15"/>
        <v>停车位面积</v>
      </c>
      <c r="AA31" s="711" t="e">
        <f t="shared" si="3"/>
        <v>#N/A</v>
      </c>
      <c r="AB31" s="711" t="e">
        <f t="shared" si="4"/>
        <v>#N/A</v>
      </c>
      <c r="AC31" s="711"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6"/>
      <c r="M32" s="2910"/>
      <c r="N32" s="2910"/>
      <c r="O32" s="2910"/>
      <c r="P32" s="3553" t="s">
        <v>2326</v>
      </c>
      <c r="Q32" s="1502" t="str">
        <f t="shared" si="11"/>
        <v>车位类型</v>
      </c>
      <c r="R32" s="712" t="s">
        <v>17</v>
      </c>
      <c r="S32" s="713">
        <f t="shared" si="12"/>
        <v>100</v>
      </c>
      <c r="T32" s="712" t="s">
        <v>17</v>
      </c>
      <c r="U32" s="713">
        <f t="shared" si="13"/>
        <v>100</v>
      </c>
      <c r="V32" s="712" t="s">
        <v>17</v>
      </c>
      <c r="W32" s="713">
        <f t="shared" si="14"/>
        <v>100</v>
      </c>
      <c r="X32" s="1505"/>
      <c r="Y32" s="3553" t="s">
        <v>2326</v>
      </c>
      <c r="Z32" s="1506" t="str">
        <f t="shared" si="15"/>
        <v>车位类型</v>
      </c>
      <c r="AA32" s="1503">
        <f t="shared" si="3"/>
        <v>1</v>
      </c>
      <c r="AB32" s="1503">
        <f t="shared" si="4"/>
        <v>1</v>
      </c>
      <c r="AC32" s="1503">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6"/>
      <c r="M33" s="2910"/>
      <c r="N33" s="2910"/>
      <c r="O33" s="2910"/>
      <c r="P33" s="3553"/>
      <c r="Q33" s="1502" t="str">
        <f t="shared" si="11"/>
        <v>是否直接入户</v>
      </c>
      <c r="R33" s="712" t="s">
        <v>17</v>
      </c>
      <c r="S33" s="713">
        <f t="shared" si="12"/>
        <v>100</v>
      </c>
      <c r="T33" s="712" t="s">
        <v>17</v>
      </c>
      <c r="U33" s="713">
        <f t="shared" si="13"/>
        <v>100</v>
      </c>
      <c r="V33" s="712" t="s">
        <v>17</v>
      </c>
      <c r="W33" s="713">
        <f t="shared" si="14"/>
        <v>100</v>
      </c>
      <c r="X33" s="1505"/>
      <c r="Y33" s="3553"/>
      <c r="Z33" s="1506" t="str">
        <f t="shared" si="15"/>
        <v>是否直接入户</v>
      </c>
      <c r="AA33" s="1503">
        <f t="shared" si="3"/>
        <v>1</v>
      </c>
      <c r="AB33" s="1503">
        <f t="shared" si="4"/>
        <v>1</v>
      </c>
      <c r="AC33" s="1503">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6"/>
      <c r="M34" s="2910"/>
      <c r="N34" s="2910"/>
      <c r="O34" s="2910"/>
      <c r="P34" s="3553"/>
      <c r="Q34" s="1502">
        <f t="shared" si="11"/>
        <v>111</v>
      </c>
      <c r="R34" s="712" t="s">
        <v>17</v>
      </c>
      <c r="S34" s="713">
        <f t="shared" si="12"/>
        <v>100</v>
      </c>
      <c r="T34" s="712" t="s">
        <v>17</v>
      </c>
      <c r="U34" s="713">
        <f t="shared" si="13"/>
        <v>100</v>
      </c>
      <c r="V34" s="712" t="s">
        <v>17</v>
      </c>
      <c r="W34" s="713">
        <f t="shared" si="14"/>
        <v>100</v>
      </c>
      <c r="X34" s="1505"/>
      <c r="Y34" s="3553"/>
      <c r="Z34" s="1506">
        <f t="shared" si="15"/>
        <v>111</v>
      </c>
      <c r="AA34" s="1503">
        <f t="shared" si="3"/>
        <v>1</v>
      </c>
      <c r="AB34" s="1503">
        <f t="shared" si="4"/>
        <v>1</v>
      </c>
      <c r="AC34" s="1503">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5"/>
      <c r="M35" s="2917"/>
      <c r="N35" s="2917"/>
      <c r="O35" s="2917"/>
      <c r="P35" s="3553"/>
      <c r="Q35" s="714">
        <f t="shared" si="11"/>
        <v>111</v>
      </c>
      <c r="R35" s="715" t="s">
        <v>17</v>
      </c>
      <c r="S35" s="716">
        <f t="shared" si="12"/>
        <v>100</v>
      </c>
      <c r="T35" s="715" t="s">
        <v>17</v>
      </c>
      <c r="U35" s="716">
        <f t="shared" si="13"/>
        <v>100</v>
      </c>
      <c r="V35" s="715" t="s">
        <v>17</v>
      </c>
      <c r="W35" s="716">
        <f t="shared" si="14"/>
        <v>100</v>
      </c>
      <c r="X35" s="717"/>
      <c r="Y35" s="3553"/>
      <c r="Z35" s="718">
        <f t="shared" si="15"/>
        <v>111</v>
      </c>
      <c r="AA35" s="1503">
        <f t="shared" si="3"/>
        <v>1</v>
      </c>
      <c r="AB35" s="1503">
        <f t="shared" si="4"/>
        <v>1</v>
      </c>
      <c r="AC35" s="1503">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6"/>
      <c r="M36" s="2910"/>
      <c r="N36" s="2910"/>
      <c r="O36" s="2910"/>
      <c r="P36" s="3553"/>
      <c r="Q36" s="1502">
        <f t="shared" si="11"/>
        <v>111</v>
      </c>
      <c r="R36" s="712" t="s">
        <v>17</v>
      </c>
      <c r="S36" s="713">
        <f t="shared" si="12"/>
        <v>100</v>
      </c>
      <c r="T36" s="712" t="s">
        <v>17</v>
      </c>
      <c r="U36" s="713">
        <f t="shared" si="13"/>
        <v>100</v>
      </c>
      <c r="V36" s="712" t="s">
        <v>17</v>
      </c>
      <c r="W36" s="713">
        <f t="shared" si="14"/>
        <v>100</v>
      </c>
      <c r="X36" s="1505"/>
      <c r="Y36" s="3553"/>
      <c r="Z36" s="1506">
        <f t="shared" si="15"/>
        <v>111</v>
      </c>
      <c r="AA36" s="1503">
        <f t="shared" si="3"/>
        <v>1</v>
      </c>
      <c r="AB36" s="1503">
        <f t="shared" si="4"/>
        <v>1</v>
      </c>
      <c r="AC36" s="1503">
        <f t="shared" si="5"/>
        <v>1</v>
      </c>
    </row>
    <row r="37" spans="1:29" ht="15">
      <c r="A37" s="437" t="s">
        <v>2481</v>
      </c>
      <c r="B37" s="2125" t="s">
        <v>2482</v>
      </c>
      <c r="C37" s="1284" t="s">
        <v>1</v>
      </c>
      <c r="D37" s="1285"/>
      <c r="E37" s="1286"/>
      <c r="F37" s="1287"/>
      <c r="G37" s="1288"/>
      <c r="H37" s="1289"/>
      <c r="I37" s="1286"/>
      <c r="J37" s="1289"/>
      <c r="K37" s="575"/>
      <c r="L37" s="2918"/>
      <c r="M37" s="2919"/>
      <c r="N37" s="2910"/>
      <c r="O37" s="2919"/>
      <c r="P37" s="3546" t="str">
        <f>A37</f>
        <v>成交单价</v>
      </c>
      <c r="Q37" s="3546"/>
      <c r="R37" s="3547">
        <f>E37</f>
        <v>0</v>
      </c>
      <c r="S37" s="3547"/>
      <c r="T37" s="3547">
        <f>G37</f>
        <v>0</v>
      </c>
      <c r="U37" s="3547"/>
      <c r="V37" s="3547">
        <f>I37</f>
        <v>0</v>
      </c>
      <c r="W37" s="3547"/>
      <c r="X37" s="697"/>
      <c r="Y37" s="719"/>
      <c r="Z37" s="697"/>
      <c r="AA37" s="697"/>
      <c r="AB37" s="697"/>
      <c r="AC37" s="697"/>
    </row>
    <row r="38" spans="1:29" ht="15.75" thickBot="1">
      <c r="A38" s="444" t="s">
        <v>2483</v>
      </c>
      <c r="B38" s="445" t="str">
        <f>B37</f>
        <v>元/车位</v>
      </c>
      <c r="C38" s="1290" t="e">
        <f>R39</f>
        <v>#DIV/0!</v>
      </c>
      <c r="D38" s="2504" t="s">
        <v>2819</v>
      </c>
      <c r="E38" s="1291" t="e">
        <f>R38</f>
        <v>#DIV/0!</v>
      </c>
      <c r="F38" s="2505"/>
      <c r="G38" s="1290" t="e">
        <f>T38</f>
        <v>#DIV/0!</v>
      </c>
      <c r="H38" s="2505"/>
      <c r="I38" s="1291" t="e">
        <f>V38</f>
        <v>#DIV/0!</v>
      </c>
      <c r="J38" s="2505"/>
      <c r="K38" s="2507">
        <f>F38+H38+J38</f>
        <v>0</v>
      </c>
      <c r="L38" s="2918"/>
      <c r="M38" s="2919"/>
      <c r="N38" s="2919"/>
      <c r="O38" s="2919"/>
      <c r="P38" s="3546" t="str">
        <f>A38</f>
        <v>比较价值（元/平方米）</v>
      </c>
      <c r="Q38" s="3546"/>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697"/>
      <c r="Y38" s="697"/>
      <c r="Z38" s="697"/>
      <c r="AA38" s="697"/>
      <c r="AB38" s="697"/>
      <c r="AC38" s="697"/>
    </row>
    <row r="39" spans="1:29" ht="15.75" thickBot="1">
      <c r="A39" s="448" t="s">
        <v>2484</v>
      </c>
      <c r="B39" s="449"/>
      <c r="C39" s="1293" t="e">
        <f>R39</f>
        <v>#DIV/0!</v>
      </c>
      <c r="D39" s="1293"/>
      <c r="E39" s="1293"/>
      <c r="F39" s="1293"/>
      <c r="G39" s="1293"/>
      <c r="H39" s="1293"/>
      <c r="I39" s="1293"/>
      <c r="J39" s="1293"/>
      <c r="K39" s="576"/>
      <c r="L39" s="2918"/>
      <c r="M39" s="2919"/>
      <c r="N39" s="2919"/>
      <c r="O39" s="2919"/>
      <c r="P39" s="3543" t="str">
        <f>A39</f>
        <v>估价对象XX用房的比较价值（楼面单价，元/平方米）</v>
      </c>
      <c r="Q39" s="3544"/>
      <c r="R39" s="3606" t="e">
        <f>IF(F1="售价",ROUND(IF(D38="简单平均",AVERAGE(R38:W38),R38*F38+T38*H38+V38*J38),0),ROUND(IF(D38="简单平均",AVERAGE(R38:V38),R38*F38+T38*H38+V38*J38),1))</f>
        <v>#DIV/0!</v>
      </c>
      <c r="S39" s="3606"/>
      <c r="T39" s="3606"/>
      <c r="U39" s="3606"/>
      <c r="V39" s="3606"/>
      <c r="W39" s="3606"/>
      <c r="X39" s="697"/>
      <c r="Y39" s="697"/>
      <c r="Z39" s="697"/>
      <c r="AA39" s="697"/>
      <c r="AB39" s="697"/>
      <c r="AC39" s="697"/>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8" customFormat="1" ht="13.5" customHeight="1">
      <c r="A44" s="2922"/>
      <c r="B44" s="2922"/>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8"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6" t="s">
        <v>2488</v>
      </c>
      <c r="B47" s="1056"/>
      <c r="C47" s="1069"/>
      <c r="D47" s="1069"/>
      <c r="E47" s="1069"/>
      <c r="F47" s="1297"/>
      <c r="G47" s="1297"/>
      <c r="H47" s="1069"/>
      <c r="I47" s="1069"/>
      <c r="J47" s="1069"/>
      <c r="K47" s="1070"/>
      <c r="L47" s="1071"/>
      <c r="M47" s="1069"/>
      <c r="N47" s="2963"/>
      <c r="O47" s="2963"/>
      <c r="P47" s="2952"/>
      <c r="Q47" s="2933"/>
      <c r="R47" s="2919"/>
      <c r="S47" s="2919"/>
      <c r="T47" s="2919"/>
      <c r="U47" s="2919"/>
      <c r="V47" s="2919"/>
      <c r="W47" s="2919"/>
      <c r="X47" s="2919"/>
      <c r="Y47" s="2919"/>
      <c r="Z47" s="2919"/>
      <c r="AA47" s="2919"/>
      <c r="AB47" s="2919"/>
      <c r="AC47" s="2919"/>
    </row>
    <row r="48" spans="1:29" s="464" customFormat="1" ht="15">
      <c r="A48" s="461" t="s">
        <v>2489</v>
      </c>
      <c r="B48" s="462"/>
      <c r="C48" s="1314" t="str">
        <f>YEAR(C7)&amp;"-"&amp;MONTH(C7)</f>
        <v>2022-2</v>
      </c>
      <c r="D48" s="1315">
        <f>EDATE(C48,-1)</f>
        <v>44562</v>
      </c>
      <c r="E48" s="1315">
        <f t="shared" ref="E48:O48" si="16">EDATE(D48,-1)</f>
        <v>44531</v>
      </c>
      <c r="F48" s="1315">
        <f t="shared" si="16"/>
        <v>44501</v>
      </c>
      <c r="G48" s="1315">
        <f t="shared" si="16"/>
        <v>44470</v>
      </c>
      <c r="H48" s="1315">
        <f t="shared" si="16"/>
        <v>44440</v>
      </c>
      <c r="I48" s="1315">
        <f t="shared" si="16"/>
        <v>44409</v>
      </c>
      <c r="J48" s="1315">
        <f t="shared" si="16"/>
        <v>44378</v>
      </c>
      <c r="K48" s="1315">
        <f t="shared" si="16"/>
        <v>44348</v>
      </c>
      <c r="L48" s="1315">
        <f t="shared" si="16"/>
        <v>44317</v>
      </c>
      <c r="M48" s="1315">
        <f t="shared" si="16"/>
        <v>44287</v>
      </c>
      <c r="N48" s="1315">
        <f t="shared" si="16"/>
        <v>44256</v>
      </c>
      <c r="O48" s="1315">
        <f t="shared" si="16"/>
        <v>44228</v>
      </c>
      <c r="P48" s="2953"/>
      <c r="Q48" s="2935"/>
      <c r="R48" s="2935"/>
      <c r="S48" s="2935"/>
      <c r="T48" s="2935"/>
      <c r="U48" s="2935"/>
      <c r="V48" s="2935"/>
      <c r="W48" s="2935"/>
      <c r="X48" s="2935"/>
      <c r="Y48" s="2935"/>
      <c r="Z48" s="2935"/>
      <c r="AA48" s="2935"/>
      <c r="AB48" s="2935"/>
      <c r="AC48" s="2935"/>
    </row>
    <row r="49" spans="1:29" s="112" customFormat="1" ht="15">
      <c r="A49" s="465"/>
      <c r="B49" s="466"/>
      <c r="C49" s="1307">
        <v>100</v>
      </c>
      <c r="D49" s="468"/>
      <c r="E49" s="468"/>
      <c r="F49" s="468"/>
      <c r="G49" s="468"/>
      <c r="H49" s="468"/>
      <c r="I49" s="468"/>
      <c r="J49" s="468"/>
      <c r="K49" s="468"/>
      <c r="L49" s="468"/>
      <c r="M49" s="469"/>
      <c r="N49" s="468"/>
      <c r="O49" s="469"/>
      <c r="P49" s="2954"/>
      <c r="Q49" s="2853"/>
      <c r="R49" s="2853"/>
      <c r="S49" s="2853"/>
      <c r="T49" s="2853"/>
      <c r="U49" s="2853"/>
      <c r="V49" s="2853"/>
      <c r="W49" s="2853"/>
      <c r="X49" s="2853"/>
      <c r="Y49" s="2853"/>
      <c r="Z49" s="2853"/>
      <c r="AA49" s="2853"/>
      <c r="AB49" s="2853"/>
      <c r="AC49" s="2853"/>
    </row>
    <row r="50" spans="1:29" s="112" customFormat="1" ht="15.75" thickBot="1">
      <c r="A50" s="471" t="s">
        <v>2346</v>
      </c>
      <c r="B50" s="472"/>
      <c r="C50" s="473"/>
      <c r="D50" s="474"/>
      <c r="E50" s="474"/>
      <c r="F50" s="474"/>
      <c r="G50" s="474"/>
      <c r="H50" s="474"/>
      <c r="I50" s="474"/>
      <c r="J50" s="474"/>
      <c r="K50" s="474"/>
      <c r="L50" s="474"/>
      <c r="M50" s="475"/>
      <c r="N50" s="474"/>
      <c r="O50" s="475"/>
      <c r="P50" s="2954"/>
      <c r="Q50" s="2933"/>
      <c r="R50" s="2853"/>
      <c r="S50" s="2853"/>
      <c r="T50" s="2853"/>
      <c r="U50" s="2853"/>
      <c r="V50" s="2853"/>
      <c r="W50" s="2853"/>
      <c r="X50" s="2853"/>
      <c r="Y50" s="2853"/>
      <c r="Z50" s="2853"/>
      <c r="AA50" s="2853"/>
      <c r="AB50" s="2853"/>
      <c r="AC50" s="2853"/>
    </row>
    <row r="51" spans="1:29" s="112" customFormat="1" ht="15">
      <c r="A51" s="477" t="s">
        <v>2311</v>
      </c>
      <c r="B51" s="466"/>
      <c r="C51" s="478" t="s">
        <v>2413</v>
      </c>
      <c r="D51" s="479"/>
      <c r="E51" s="479"/>
      <c r="F51" s="479"/>
      <c r="G51" s="479"/>
      <c r="H51" s="479"/>
      <c r="I51" s="479"/>
      <c r="J51" s="479"/>
      <c r="K51" s="479"/>
      <c r="L51" s="480"/>
      <c r="M51" s="481"/>
      <c r="N51" s="2946"/>
      <c r="O51" s="2946"/>
      <c r="P51" s="2955"/>
      <c r="Q51" s="2933"/>
      <c r="R51" s="2853"/>
      <c r="S51" s="2853"/>
      <c r="T51" s="2853"/>
      <c r="U51" s="2853"/>
      <c r="V51" s="2853"/>
      <c r="W51" s="2853"/>
      <c r="X51" s="2853"/>
      <c r="Y51" s="2853"/>
      <c r="Z51" s="2853"/>
      <c r="AA51" s="2853"/>
      <c r="AB51" s="2853"/>
      <c r="AC51" s="2853"/>
    </row>
    <row r="52" spans="1:29" s="112" customFormat="1" ht="15.75" thickBot="1">
      <c r="A52" s="477"/>
      <c r="B52" s="466"/>
      <c r="C52" s="594">
        <v>100</v>
      </c>
      <c r="D52" s="468"/>
      <c r="E52" s="468"/>
      <c r="F52" s="468"/>
      <c r="G52" s="468"/>
      <c r="H52" s="468"/>
      <c r="I52" s="468"/>
      <c r="J52" s="468"/>
      <c r="K52" s="468"/>
      <c r="L52" s="468"/>
      <c r="M52" s="470"/>
      <c r="N52" s="2946"/>
      <c r="O52" s="2946"/>
      <c r="P52" s="2954"/>
      <c r="Q52" s="2933"/>
      <c r="R52" s="2853"/>
      <c r="S52" s="2853"/>
      <c r="T52" s="2853"/>
      <c r="U52" s="2853"/>
      <c r="V52" s="2853"/>
      <c r="W52" s="2853"/>
      <c r="X52" s="2853"/>
      <c r="Y52" s="2853"/>
      <c r="Z52" s="2853"/>
      <c r="AA52" s="2853"/>
      <c r="AB52" s="2853"/>
      <c r="AC52" s="2853"/>
    </row>
    <row r="53" spans="1:29">
      <c r="A53" s="483" t="s">
        <v>2349</v>
      </c>
      <c r="B53" s="484" t="s">
        <v>2315</v>
      </c>
      <c r="C53" s="485">
        <f>C9</f>
        <v>0</v>
      </c>
      <c r="D53" s="486"/>
      <c r="E53" s="486"/>
      <c r="F53" s="486"/>
      <c r="G53" s="486"/>
      <c r="H53" s="486"/>
      <c r="I53" s="486"/>
      <c r="J53" s="486"/>
      <c r="K53" s="487"/>
      <c r="L53" s="488"/>
      <c r="M53" s="489"/>
      <c r="N53" s="2947"/>
      <c r="O53" s="2947"/>
      <c r="P53" s="2956"/>
      <c r="Q53" s="2933"/>
      <c r="R53" s="2919"/>
      <c r="S53" s="2919"/>
      <c r="T53" s="2919"/>
      <c r="U53" s="2919"/>
      <c r="V53" s="2919"/>
      <c r="W53" s="2919"/>
      <c r="X53" s="2919"/>
      <c r="Y53" s="2919"/>
      <c r="Z53" s="2919"/>
      <c r="AA53" s="2919"/>
      <c r="AB53" s="2919"/>
      <c r="AC53" s="2919"/>
    </row>
    <row r="54" spans="1:29" ht="15.75" thickBot="1">
      <c r="A54" s="490"/>
      <c r="B54" s="491"/>
      <c r="C54" s="492">
        <v>100</v>
      </c>
      <c r="D54" s="492"/>
      <c r="E54" s="492"/>
      <c r="F54" s="492"/>
      <c r="G54" s="492"/>
      <c r="H54" s="492"/>
      <c r="I54" s="492"/>
      <c r="J54" s="492"/>
      <c r="K54" s="492"/>
      <c r="L54" s="492"/>
      <c r="M54" s="493"/>
      <c r="N54" s="2948"/>
      <c r="O54" s="2948"/>
      <c r="P54" s="2956"/>
      <c r="Q54" s="2933"/>
      <c r="R54" s="2919"/>
      <c r="S54" s="2919"/>
      <c r="T54" s="2919"/>
      <c r="U54" s="2919"/>
      <c r="V54" s="2919"/>
      <c r="W54" s="2919"/>
      <c r="X54" s="2919"/>
      <c r="Y54" s="2919"/>
      <c r="Z54" s="2919"/>
      <c r="AA54" s="2919"/>
      <c r="AB54" s="2919"/>
      <c r="AC54" s="2919"/>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7"/>
      <c r="O55" s="2947"/>
      <c r="P55" s="2956"/>
      <c r="Q55" s="2933"/>
      <c r="R55" s="2919"/>
      <c r="S55" s="2919"/>
      <c r="T55" s="2919"/>
      <c r="U55" s="2919"/>
      <c r="V55" s="2919"/>
      <c r="W55" s="2919"/>
      <c r="X55" s="2919"/>
      <c r="Y55" s="2919"/>
      <c r="Z55" s="2919"/>
      <c r="AA55" s="2919"/>
      <c r="AB55" s="2919"/>
      <c r="AC55" s="291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8"/>
      <c r="O56" s="2948"/>
      <c r="P56" s="2956"/>
      <c r="Q56" s="2933"/>
      <c r="R56" s="2919"/>
      <c r="S56" s="2919"/>
      <c r="T56" s="2919"/>
      <c r="U56" s="2919"/>
      <c r="V56" s="2919"/>
      <c r="W56" s="2919"/>
      <c r="X56" s="2919"/>
      <c r="Y56" s="2919"/>
      <c r="Z56" s="2919"/>
      <c r="AA56" s="2919"/>
      <c r="AB56" s="2919"/>
      <c r="AC56" s="2919"/>
    </row>
    <row r="57" spans="1:29" ht="15.75" thickTop="1">
      <c r="A57" s="490"/>
      <c r="B57" s="615">
        <f>B11</f>
        <v>111</v>
      </c>
      <c r="C57" s="505"/>
      <c r="D57" s="505"/>
      <c r="E57" s="505"/>
      <c r="F57" s="505"/>
      <c r="G57" s="505"/>
      <c r="H57" s="505"/>
      <c r="I57" s="505"/>
      <c r="J57" s="505"/>
      <c r="K57" s="506"/>
      <c r="L57" s="507"/>
      <c r="M57" s="508"/>
      <c r="N57" s="2947"/>
      <c r="O57" s="2947"/>
      <c r="P57" s="2956"/>
      <c r="Q57" s="2933"/>
      <c r="R57" s="2919"/>
      <c r="S57" s="2919"/>
      <c r="T57" s="2919"/>
      <c r="U57" s="2919"/>
      <c r="V57" s="2919"/>
      <c r="W57" s="2919"/>
      <c r="X57" s="2919"/>
      <c r="Y57" s="2919"/>
      <c r="Z57" s="2919"/>
      <c r="AA57" s="2919"/>
      <c r="AB57" s="2919"/>
      <c r="AC57" s="2919"/>
    </row>
    <row r="58" spans="1:29" ht="15.75" thickBot="1">
      <c r="A58" s="490"/>
      <c r="B58" s="491"/>
      <c r="C58" s="516"/>
      <c r="D58" s="492"/>
      <c r="E58" s="492"/>
      <c r="F58" s="492"/>
      <c r="G58" s="492"/>
      <c r="H58" s="492"/>
      <c r="I58" s="492"/>
      <c r="J58" s="492"/>
      <c r="K58" s="492"/>
      <c r="L58" s="492"/>
      <c r="M58" s="493"/>
      <c r="N58" s="2948"/>
      <c r="O58" s="2948"/>
      <c r="P58" s="2956"/>
      <c r="Q58" s="2933"/>
      <c r="R58" s="2919"/>
      <c r="S58" s="2919"/>
      <c r="T58" s="2919"/>
      <c r="U58" s="2919"/>
      <c r="V58" s="2919"/>
      <c r="W58" s="2919"/>
      <c r="X58" s="2919"/>
      <c r="Y58" s="2919"/>
      <c r="Z58" s="2919"/>
      <c r="AA58" s="2919"/>
      <c r="AB58" s="2919"/>
      <c r="AC58" s="2919"/>
    </row>
    <row r="59" spans="1:29" s="429" customFormat="1" ht="15.75" thickTop="1">
      <c r="A59" s="509"/>
      <c r="B59" s="494">
        <f>B12</f>
        <v>111</v>
      </c>
      <c r="C59" s="505"/>
      <c r="D59" s="505"/>
      <c r="E59" s="505"/>
      <c r="F59" s="505"/>
      <c r="G59" s="510"/>
      <c r="H59" s="511"/>
      <c r="I59" s="511"/>
      <c r="J59" s="511"/>
      <c r="K59" s="511"/>
      <c r="L59" s="512"/>
      <c r="M59" s="513"/>
      <c r="N59" s="2949"/>
      <c r="O59" s="2949"/>
      <c r="P59" s="2957"/>
      <c r="Q59" s="2940"/>
      <c r="R59" s="2941"/>
      <c r="S59" s="2941"/>
      <c r="T59" s="2941"/>
      <c r="U59" s="2941"/>
      <c r="V59" s="2941"/>
      <c r="W59" s="2941"/>
      <c r="X59" s="2941"/>
      <c r="Y59" s="2941"/>
      <c r="Z59" s="2941"/>
      <c r="AA59" s="2941"/>
      <c r="AB59" s="2941"/>
      <c r="AC59" s="2941"/>
    </row>
    <row r="60" spans="1:29" s="429" customFormat="1" ht="15.75" thickBot="1">
      <c r="A60" s="509"/>
      <c r="B60" s="499"/>
      <c r="C60" s="516"/>
      <c r="D60" s="492"/>
      <c r="E60" s="492"/>
      <c r="F60" s="492"/>
      <c r="G60" s="492"/>
      <c r="H60" s="492"/>
      <c r="I60" s="492"/>
      <c r="J60" s="492"/>
      <c r="K60" s="492"/>
      <c r="L60" s="492"/>
      <c r="M60" s="493"/>
      <c r="N60" s="2948"/>
      <c r="O60" s="2948"/>
      <c r="P60" s="2957"/>
      <c r="Q60" s="2940"/>
      <c r="R60" s="2941"/>
      <c r="S60" s="2941"/>
      <c r="T60" s="2941"/>
      <c r="U60" s="2941"/>
      <c r="V60" s="2941"/>
      <c r="W60" s="2941"/>
      <c r="X60" s="2941"/>
      <c r="Y60" s="2941"/>
      <c r="Z60" s="2941"/>
      <c r="AA60" s="2941"/>
      <c r="AB60" s="2941"/>
      <c r="AC60" s="2941"/>
    </row>
    <row r="61" spans="1:29" s="429" customFormat="1" ht="15.75" thickTop="1">
      <c r="A61" s="509"/>
      <c r="B61" s="494">
        <f>B13</f>
        <v>111</v>
      </c>
      <c r="C61" s="510"/>
      <c r="D61" s="510"/>
      <c r="E61" s="510"/>
      <c r="F61" s="510"/>
      <c r="G61" s="510"/>
      <c r="H61" s="511"/>
      <c r="I61" s="511"/>
      <c r="J61" s="511"/>
      <c r="K61" s="511"/>
      <c r="L61" s="512"/>
      <c r="M61" s="513"/>
      <c r="N61" s="2949"/>
      <c r="O61" s="2949"/>
      <c r="P61" s="2958"/>
      <c r="Q61" s="2943"/>
      <c r="R61" s="2941"/>
      <c r="S61" s="2941"/>
      <c r="T61" s="2941"/>
      <c r="U61" s="2941"/>
      <c r="V61" s="2941"/>
      <c r="W61" s="2941"/>
      <c r="X61" s="2941"/>
      <c r="Y61" s="2941"/>
      <c r="Z61" s="2941"/>
      <c r="AA61" s="2941"/>
      <c r="AB61" s="2941"/>
      <c r="AC61" s="2941"/>
    </row>
    <row r="62" spans="1:29" s="429" customFormat="1" ht="15.75" thickBot="1">
      <c r="A62" s="509"/>
      <c r="B62" s="499"/>
      <c r="C62" s="516"/>
      <c r="D62" s="516"/>
      <c r="E62" s="516"/>
      <c r="F62" s="516"/>
      <c r="G62" s="516"/>
      <c r="H62" s="518"/>
      <c r="I62" s="518"/>
      <c r="J62" s="518"/>
      <c r="K62" s="518"/>
      <c r="L62" s="518"/>
      <c r="M62" s="519"/>
      <c r="N62" s="2949"/>
      <c r="O62" s="2949"/>
      <c r="P62" s="2957"/>
      <c r="Q62" s="2940"/>
      <c r="R62" s="2941"/>
      <c r="S62" s="2941"/>
      <c r="T62" s="2941"/>
      <c r="U62" s="2941"/>
      <c r="V62" s="2941"/>
      <c r="W62" s="2941"/>
      <c r="X62" s="2941"/>
      <c r="Y62" s="2941"/>
      <c r="Z62" s="2941"/>
      <c r="AA62" s="2941"/>
      <c r="AB62" s="2941"/>
      <c r="AC62" s="2941"/>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7"/>
      <c r="O63" s="2947"/>
      <c r="P63" s="2960"/>
      <c r="Q63" s="2933"/>
      <c r="R63" s="2919"/>
      <c r="S63" s="2919"/>
      <c r="T63" s="2919"/>
      <c r="U63" s="2919"/>
      <c r="V63" s="2919"/>
      <c r="W63" s="2919"/>
      <c r="X63" s="2919"/>
      <c r="Y63" s="2919"/>
      <c r="Z63" s="2919"/>
      <c r="AA63" s="2919"/>
      <c r="AB63" s="2919"/>
      <c r="AC63" s="291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8"/>
      <c r="O64" s="2948"/>
      <c r="P64" s="2956"/>
      <c r="Q64" s="2933"/>
      <c r="R64" s="2919"/>
      <c r="S64" s="2919"/>
      <c r="T64" s="2919"/>
      <c r="U64" s="2919"/>
      <c r="V64" s="2919"/>
      <c r="W64" s="2919"/>
      <c r="X64" s="2919"/>
      <c r="Y64" s="2919"/>
      <c r="Z64" s="2919"/>
      <c r="AA64" s="2919"/>
      <c r="AB64" s="2919"/>
      <c r="AC64" s="2919"/>
    </row>
    <row r="65" spans="1:29" ht="15.75" thickTop="1">
      <c r="A65" s="490"/>
      <c r="B65" s="494" t="s">
        <v>2364</v>
      </c>
      <c r="C65" s="534" t="s">
        <v>2358</v>
      </c>
      <c r="D65" s="534" t="s">
        <v>2359</v>
      </c>
      <c r="E65" s="534" t="s">
        <v>2360</v>
      </c>
      <c r="F65" s="534" t="s">
        <v>2361</v>
      </c>
      <c r="G65" s="534" t="s">
        <v>2362</v>
      </c>
      <c r="H65" s="495"/>
      <c r="I65" s="495"/>
      <c r="J65" s="495"/>
      <c r="K65" s="496"/>
      <c r="L65" s="497"/>
      <c r="M65" s="498"/>
      <c r="N65" s="2947"/>
      <c r="O65" s="2947"/>
      <c r="P65" s="2956"/>
      <c r="Q65" s="2933"/>
      <c r="R65" s="2919"/>
      <c r="S65" s="2919"/>
      <c r="T65" s="2919"/>
      <c r="U65" s="2919"/>
      <c r="V65" s="2919"/>
      <c r="W65" s="2919"/>
      <c r="X65" s="2919"/>
      <c r="Y65" s="2919"/>
      <c r="Z65" s="2919"/>
      <c r="AA65" s="2919"/>
      <c r="AB65" s="2919"/>
      <c r="AC65" s="291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8"/>
      <c r="O66" s="2948"/>
      <c r="P66" s="2956"/>
      <c r="Q66" s="2933"/>
      <c r="R66" s="2919"/>
      <c r="S66" s="2919"/>
      <c r="T66" s="2919"/>
      <c r="U66" s="2919"/>
      <c r="V66" s="2919"/>
      <c r="W66" s="2919"/>
      <c r="X66" s="2919"/>
      <c r="Y66" s="2919"/>
      <c r="Z66" s="2919"/>
      <c r="AA66" s="2919"/>
      <c r="AB66" s="2919"/>
      <c r="AC66" s="2919"/>
    </row>
    <row r="67" spans="1:29" ht="15.75" thickTop="1">
      <c r="A67" s="490"/>
      <c r="B67" s="502" t="s">
        <v>2450</v>
      </c>
      <c r="C67" s="615" t="s">
        <v>2436</v>
      </c>
      <c r="D67" s="615" t="s">
        <v>2437</v>
      </c>
      <c r="E67" s="615" t="s">
        <v>2438</v>
      </c>
      <c r="F67" s="615" t="s">
        <v>2439</v>
      </c>
      <c r="G67" s="615" t="s">
        <v>2440</v>
      </c>
      <c r="H67" s="495"/>
      <c r="I67" s="495"/>
      <c r="J67" s="495"/>
      <c r="K67" s="495"/>
      <c r="L67" s="495"/>
      <c r="M67" s="1259"/>
      <c r="N67" s="2948"/>
      <c r="O67" s="2948"/>
      <c r="P67" s="2956"/>
      <c r="Q67" s="2933"/>
      <c r="R67" s="2919"/>
      <c r="S67" s="2919"/>
      <c r="T67" s="2919"/>
      <c r="U67" s="2919"/>
      <c r="V67" s="2919"/>
      <c r="W67" s="2919"/>
      <c r="X67" s="2919"/>
      <c r="Y67" s="2919"/>
      <c r="Z67" s="2919"/>
      <c r="AA67" s="2919"/>
      <c r="AB67" s="2919"/>
      <c r="AC67" s="291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8"/>
      <c r="O68" s="2948"/>
      <c r="P68" s="2956"/>
      <c r="Q68" s="2933"/>
      <c r="R68" s="2919"/>
      <c r="S68" s="2919"/>
      <c r="T68" s="2919"/>
      <c r="U68" s="2919"/>
      <c r="V68" s="2919"/>
      <c r="W68" s="2919"/>
      <c r="X68" s="2919"/>
      <c r="Y68" s="2919"/>
      <c r="Z68" s="2919"/>
      <c r="AA68" s="2919"/>
      <c r="AB68" s="2919"/>
      <c r="AC68" s="2919"/>
    </row>
    <row r="69" spans="1:29" ht="15.75" thickTop="1">
      <c r="A69" s="490"/>
      <c r="B69" s="494" t="s">
        <v>2370</v>
      </c>
      <c r="C69" s="534" t="s">
        <v>2358</v>
      </c>
      <c r="D69" s="534" t="s">
        <v>2359</v>
      </c>
      <c r="E69" s="534" t="s">
        <v>2360</v>
      </c>
      <c r="F69" s="534" t="s">
        <v>2361</v>
      </c>
      <c r="G69" s="534" t="s">
        <v>2362</v>
      </c>
      <c r="H69" s="495"/>
      <c r="I69" s="495"/>
      <c r="J69" s="495"/>
      <c r="K69" s="496"/>
      <c r="L69" s="497"/>
      <c r="M69" s="498"/>
      <c r="N69" s="2947"/>
      <c r="O69" s="2947"/>
      <c r="P69" s="2956"/>
      <c r="Q69" s="2933"/>
      <c r="R69" s="2919"/>
      <c r="S69" s="2919"/>
      <c r="T69" s="2919"/>
      <c r="U69" s="2919"/>
      <c r="V69" s="2919"/>
      <c r="W69" s="2919"/>
      <c r="X69" s="2919"/>
      <c r="Y69" s="2919"/>
      <c r="Z69" s="2919"/>
      <c r="AA69" s="2919"/>
      <c r="AB69" s="2919"/>
      <c r="AC69" s="291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8"/>
      <c r="O70" s="2948"/>
      <c r="P70" s="2956"/>
      <c r="Q70" s="2933"/>
      <c r="R70" s="2919"/>
      <c r="S70" s="2919"/>
      <c r="T70" s="2919"/>
      <c r="U70" s="2919"/>
      <c r="V70" s="2919"/>
      <c r="W70" s="2919"/>
      <c r="X70" s="2919"/>
      <c r="Y70" s="2919"/>
      <c r="Z70" s="2919"/>
      <c r="AA70" s="2919"/>
      <c r="AB70" s="2919"/>
      <c r="AC70" s="2919"/>
    </row>
    <row r="71" spans="1:29" ht="15.75" thickTop="1">
      <c r="A71" s="490"/>
      <c r="B71" s="494" t="s">
        <v>2490</v>
      </c>
      <c r="C71" s="510"/>
      <c r="D71" s="510"/>
      <c r="E71" s="510"/>
      <c r="F71" s="510"/>
      <c r="G71" s="510"/>
      <c r="H71" s="539"/>
      <c r="I71" s="539"/>
      <c r="J71" s="539"/>
      <c r="K71" s="540"/>
      <c r="L71" s="541"/>
      <c r="M71" s="542"/>
      <c r="N71" s="2947"/>
      <c r="O71" s="2947"/>
      <c r="P71" s="2956"/>
      <c r="Q71" s="2933"/>
      <c r="R71" s="2919"/>
      <c r="S71" s="2919"/>
      <c r="T71" s="2919"/>
      <c r="U71" s="2919"/>
      <c r="V71" s="2919"/>
      <c r="W71" s="2919"/>
      <c r="X71" s="2919"/>
      <c r="Y71" s="2919"/>
      <c r="Z71" s="2919"/>
      <c r="AA71" s="2919"/>
      <c r="AB71" s="2919"/>
      <c r="AC71" s="291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8"/>
      <c r="O72" s="2948"/>
      <c r="P72" s="2956"/>
      <c r="Q72" s="2933"/>
      <c r="R72" s="2919"/>
      <c r="S72" s="2919"/>
      <c r="T72" s="2919"/>
      <c r="U72" s="2919"/>
      <c r="V72" s="2919"/>
      <c r="W72" s="2919"/>
      <c r="X72" s="2919"/>
      <c r="Y72" s="2919"/>
      <c r="Z72" s="2919"/>
      <c r="AA72" s="2919"/>
      <c r="AB72" s="2919"/>
      <c r="AC72" s="2919"/>
    </row>
    <row r="73" spans="1:29" s="112" customFormat="1" ht="15.75" thickTop="1">
      <c r="A73" s="535"/>
      <c r="B73" s="494">
        <f>B23</f>
        <v>111</v>
      </c>
      <c r="C73" s="505"/>
      <c r="D73" s="505"/>
      <c r="E73" s="505"/>
      <c r="F73" s="505"/>
      <c r="G73" s="510"/>
      <c r="H73" s="510"/>
      <c r="I73" s="510"/>
      <c r="J73" s="510"/>
      <c r="K73" s="510"/>
      <c r="L73" s="536"/>
      <c r="M73" s="537"/>
      <c r="N73" s="2946"/>
      <c r="O73" s="2946"/>
      <c r="P73" s="2956"/>
      <c r="Q73" s="2933"/>
      <c r="R73" s="2853"/>
      <c r="S73" s="2853"/>
      <c r="T73" s="2853"/>
      <c r="U73" s="2853"/>
      <c r="V73" s="2853"/>
      <c r="W73" s="2853"/>
      <c r="X73" s="2853"/>
      <c r="Y73" s="2853"/>
      <c r="Z73" s="2853"/>
      <c r="AA73" s="2853"/>
      <c r="AB73" s="2853"/>
      <c r="AC73" s="2853"/>
    </row>
    <row r="74" spans="1:29" s="112" customFormat="1" ht="15.75" thickBot="1">
      <c r="A74" s="535"/>
      <c r="B74" s="499"/>
      <c r="C74" s="516"/>
      <c r="D74" s="492"/>
      <c r="E74" s="492"/>
      <c r="F74" s="492"/>
      <c r="G74" s="492"/>
      <c r="H74" s="492"/>
      <c r="I74" s="492"/>
      <c r="J74" s="492"/>
      <c r="K74" s="492"/>
      <c r="L74" s="492"/>
      <c r="M74" s="493"/>
      <c r="N74" s="2948"/>
      <c r="O74" s="2948"/>
      <c r="P74" s="2956"/>
      <c r="Q74" s="2933"/>
      <c r="R74" s="2853"/>
      <c r="S74" s="2853"/>
      <c r="T74" s="2853"/>
      <c r="U74" s="2853"/>
      <c r="V74" s="2853"/>
      <c r="W74" s="2853"/>
      <c r="X74" s="2853"/>
      <c r="Y74" s="2853"/>
      <c r="Z74" s="2853"/>
      <c r="AA74" s="2853"/>
      <c r="AB74" s="2853"/>
      <c r="AC74" s="2853"/>
    </row>
    <row r="75" spans="1:29" s="112" customFormat="1" ht="15.75" thickTop="1">
      <c r="A75" s="535"/>
      <c r="B75" s="494">
        <f>B24</f>
        <v>111</v>
      </c>
      <c r="C75" s="505"/>
      <c r="D75" s="505"/>
      <c r="E75" s="505"/>
      <c r="F75" s="505"/>
      <c r="G75" s="510"/>
      <c r="H75" s="510"/>
      <c r="I75" s="510"/>
      <c r="J75" s="510"/>
      <c r="K75" s="510"/>
      <c r="L75" s="510"/>
      <c r="M75" s="537"/>
      <c r="N75" s="2946"/>
      <c r="O75" s="2946"/>
      <c r="P75" s="2956"/>
      <c r="Q75" s="2933"/>
      <c r="R75" s="2853"/>
      <c r="S75" s="2853"/>
      <c r="T75" s="2853"/>
      <c r="U75" s="2853"/>
      <c r="V75" s="2853"/>
      <c r="W75" s="2853"/>
      <c r="X75" s="2853"/>
      <c r="Y75" s="2853"/>
      <c r="Z75" s="2853"/>
      <c r="AA75" s="2853"/>
      <c r="AB75" s="2853"/>
      <c r="AC75" s="2853"/>
    </row>
    <row r="76" spans="1:29" s="112" customFormat="1" ht="15.75" thickBot="1">
      <c r="A76" s="535"/>
      <c r="B76" s="499"/>
      <c r="C76" s="516"/>
      <c r="D76" s="492"/>
      <c r="E76" s="492"/>
      <c r="F76" s="492"/>
      <c r="G76" s="492"/>
      <c r="H76" s="492"/>
      <c r="I76" s="492"/>
      <c r="J76" s="492"/>
      <c r="K76" s="492"/>
      <c r="L76" s="492"/>
      <c r="M76" s="493"/>
      <c r="N76" s="2948"/>
      <c r="O76" s="2948"/>
      <c r="P76" s="2956"/>
      <c r="Q76" s="2933"/>
      <c r="R76" s="2853"/>
      <c r="S76" s="2853"/>
      <c r="T76" s="2853"/>
      <c r="U76" s="2853"/>
      <c r="V76" s="2853"/>
      <c r="W76" s="2853"/>
      <c r="X76" s="2853"/>
      <c r="Y76" s="2853"/>
      <c r="Z76" s="2853"/>
      <c r="AA76" s="2853"/>
      <c r="AB76" s="2853"/>
      <c r="AC76" s="2853"/>
    </row>
    <row r="77" spans="1:29" s="429" customFormat="1" ht="15.75" thickTop="1">
      <c r="A77" s="509"/>
      <c r="B77" s="494">
        <f>B25</f>
        <v>111</v>
      </c>
      <c r="C77" s="510"/>
      <c r="D77" s="510"/>
      <c r="E77" s="510"/>
      <c r="F77" s="510"/>
      <c r="G77" s="510"/>
      <c r="H77" s="511"/>
      <c r="I77" s="511"/>
      <c r="J77" s="511"/>
      <c r="K77" s="511"/>
      <c r="L77" s="512"/>
      <c r="M77" s="513"/>
      <c r="N77" s="2949"/>
      <c r="O77" s="2949"/>
      <c r="P77" s="2957"/>
      <c r="Q77" s="2940"/>
      <c r="R77" s="2941"/>
      <c r="S77" s="2941"/>
      <c r="T77" s="2941"/>
      <c r="U77" s="2941"/>
      <c r="V77" s="2941"/>
      <c r="W77" s="2941"/>
      <c r="X77" s="2941"/>
      <c r="Y77" s="2941"/>
      <c r="Z77" s="2941"/>
      <c r="AA77" s="2941"/>
      <c r="AB77" s="2941"/>
      <c r="AC77" s="2941"/>
    </row>
    <row r="78" spans="1:29" s="429" customFormat="1" ht="15.75" thickBot="1">
      <c r="A78" s="509"/>
      <c r="B78" s="499"/>
      <c r="C78" s="516"/>
      <c r="D78" s="516"/>
      <c r="E78" s="516"/>
      <c r="F78" s="516"/>
      <c r="G78" s="492"/>
      <c r="H78" s="492"/>
      <c r="I78" s="492"/>
      <c r="J78" s="492"/>
      <c r="K78" s="492"/>
      <c r="L78" s="492"/>
      <c r="M78" s="493"/>
      <c r="N78" s="2949"/>
      <c r="O78" s="2949"/>
      <c r="P78" s="2957"/>
      <c r="Q78" s="2940"/>
      <c r="R78" s="2941"/>
      <c r="S78" s="2941"/>
      <c r="T78" s="2941"/>
      <c r="U78" s="2941"/>
      <c r="V78" s="2941"/>
      <c r="W78" s="2941"/>
      <c r="X78" s="2941"/>
      <c r="Y78" s="2941"/>
      <c r="Z78" s="2941"/>
      <c r="AA78" s="2941"/>
      <c r="AB78" s="2941"/>
      <c r="AC78" s="2941"/>
    </row>
    <row r="79" spans="1:29" ht="27.75" thickTop="1">
      <c r="A79" s="483" t="s">
        <v>2324</v>
      </c>
      <c r="B79" s="484" t="s">
        <v>2491</v>
      </c>
      <c r="C79" s="485">
        <f>C26</f>
        <v>0</v>
      </c>
      <c r="D79" s="486"/>
      <c r="E79" s="486"/>
      <c r="F79" s="486"/>
      <c r="G79" s="486"/>
      <c r="H79" s="486"/>
      <c r="I79" s="486"/>
      <c r="J79" s="486"/>
      <c r="K79" s="487"/>
      <c r="L79" s="488"/>
      <c r="M79" s="489"/>
      <c r="N79" s="2947"/>
      <c r="O79" s="2947"/>
      <c r="P79" s="2956"/>
      <c r="Q79" s="2933"/>
      <c r="R79" s="2919"/>
      <c r="S79" s="2919"/>
      <c r="T79" s="2919"/>
      <c r="U79" s="2919"/>
      <c r="V79" s="2919"/>
      <c r="W79" s="2919"/>
      <c r="X79" s="2919"/>
      <c r="Y79" s="2919"/>
      <c r="Z79" s="2919"/>
      <c r="AA79" s="2919"/>
      <c r="AB79" s="2919"/>
      <c r="AC79" s="291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0"/>
      <c r="B81" s="494" t="s">
        <v>2492</v>
      </c>
      <c r="C81" s="616"/>
      <c r="D81" s="616"/>
      <c r="E81" s="616"/>
      <c r="F81" s="616"/>
      <c r="G81" s="616"/>
      <c r="H81" s="616"/>
      <c r="I81" s="616"/>
      <c r="J81" s="616"/>
      <c r="K81" s="617"/>
      <c r="L81" s="618"/>
      <c r="M81" s="619"/>
      <c r="N81" s="2946"/>
      <c r="O81" s="2946"/>
      <c r="P81" s="2956"/>
      <c r="Q81" s="2933"/>
      <c r="R81" s="2919"/>
      <c r="S81" s="2919"/>
      <c r="T81" s="2919"/>
      <c r="U81" s="2919"/>
      <c r="V81" s="2919"/>
      <c r="W81" s="2919"/>
      <c r="X81" s="2919"/>
      <c r="Y81" s="2919"/>
      <c r="Z81" s="2919"/>
      <c r="AA81" s="2919"/>
      <c r="AB81" s="2919"/>
      <c r="AC81" s="2919"/>
    </row>
    <row r="82" spans="1:29" s="429" customFormat="1" ht="15.75" thickBot="1">
      <c r="A82" s="509"/>
      <c r="B82" s="499"/>
      <c r="C82" s="516"/>
      <c r="D82" s="492"/>
      <c r="E82" s="492"/>
      <c r="F82" s="492"/>
      <c r="G82" s="492"/>
      <c r="H82" s="492"/>
      <c r="I82" s="492"/>
      <c r="J82" s="492"/>
      <c r="K82" s="492"/>
      <c r="L82" s="492"/>
      <c r="M82" s="493"/>
      <c r="N82" s="2948"/>
      <c r="O82" s="2948"/>
      <c r="P82" s="2957"/>
      <c r="Q82" s="2940"/>
      <c r="R82" s="2941"/>
      <c r="S82" s="2941"/>
      <c r="T82" s="2941"/>
      <c r="U82" s="2941"/>
      <c r="V82" s="2941"/>
      <c r="W82" s="2941"/>
      <c r="X82" s="2941"/>
      <c r="Y82" s="2941"/>
      <c r="Z82" s="2941"/>
      <c r="AA82" s="2941"/>
      <c r="AB82" s="2941"/>
      <c r="AC82" s="2941"/>
    </row>
    <row r="83" spans="1:29" ht="15" thickTop="1">
      <c r="A83" s="555"/>
      <c r="B83" s="494" t="s">
        <v>2377</v>
      </c>
      <c r="C83" s="510"/>
      <c r="D83" s="510"/>
      <c r="E83" s="539"/>
      <c r="F83" s="539"/>
      <c r="G83" s="539"/>
      <c r="H83" s="539"/>
      <c r="I83" s="539"/>
      <c r="J83" s="539"/>
      <c r="K83" s="540"/>
      <c r="L83" s="541"/>
      <c r="M83" s="542"/>
      <c r="N83" s="2947"/>
      <c r="O83" s="2947"/>
      <c r="P83" s="2956"/>
      <c r="Q83" s="2933"/>
      <c r="R83" s="2919"/>
      <c r="S83" s="2919"/>
      <c r="T83" s="2919"/>
      <c r="U83" s="2919"/>
      <c r="V83" s="2919"/>
      <c r="W83" s="2919"/>
      <c r="X83" s="2919"/>
      <c r="Y83" s="2919"/>
      <c r="Z83" s="2919"/>
      <c r="AA83" s="2919"/>
      <c r="AB83" s="2919"/>
      <c r="AC83" s="291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7"/>
      <c r="O85" s="2947"/>
      <c r="P85" s="2956"/>
      <c r="Q85" s="2933"/>
      <c r="R85" s="2919"/>
      <c r="S85" s="2919"/>
      <c r="T85" s="2919"/>
      <c r="U85" s="2919"/>
      <c r="V85" s="2919"/>
      <c r="W85" s="2919"/>
      <c r="X85" s="2919"/>
      <c r="Y85" s="2919"/>
      <c r="Z85" s="2919"/>
      <c r="AA85" s="2919"/>
      <c r="AB85" s="2919"/>
      <c r="AC85" s="2919"/>
    </row>
    <row r="86" spans="1:29">
      <c r="A86" s="555"/>
      <c r="B86" s="502"/>
      <c r="C86" s="559">
        <v>0.5</v>
      </c>
      <c r="D86" s="559">
        <v>0.6</v>
      </c>
      <c r="E86" s="559">
        <v>0.7</v>
      </c>
      <c r="F86" s="559">
        <v>0.8</v>
      </c>
      <c r="G86" s="559">
        <v>0.9</v>
      </c>
      <c r="H86" s="559">
        <v>1.0001</v>
      </c>
      <c r="I86" s="578"/>
      <c r="J86" s="578"/>
      <c r="K86" s="579"/>
      <c r="L86" s="580"/>
      <c r="M86" s="581"/>
      <c r="N86" s="2947"/>
      <c r="O86" s="2947"/>
      <c r="P86" s="2956"/>
      <c r="Q86" s="2933"/>
      <c r="R86" s="2919"/>
      <c r="S86" s="2919"/>
      <c r="T86" s="2919"/>
      <c r="U86" s="2919"/>
      <c r="V86" s="2919"/>
      <c r="W86" s="2919"/>
      <c r="X86" s="2919"/>
      <c r="Y86" s="2919"/>
      <c r="Z86" s="2919"/>
      <c r="AA86" s="2919"/>
      <c r="AB86" s="2919"/>
      <c r="AC86" s="291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5"/>
      <c r="B88" s="502" t="s">
        <v>2494</v>
      </c>
      <c r="C88" s="486"/>
      <c r="D88" s="486"/>
      <c r="E88" s="486"/>
      <c r="F88" s="486"/>
      <c r="G88" s="486"/>
      <c r="H88" s="486"/>
      <c r="I88" s="486"/>
      <c r="J88" s="486"/>
      <c r="K88" s="487"/>
      <c r="L88" s="488"/>
      <c r="M88" s="489"/>
      <c r="N88" s="2947"/>
      <c r="O88" s="2947"/>
      <c r="P88" s="2956"/>
      <c r="Q88" s="2933"/>
      <c r="R88" s="2919"/>
      <c r="S88" s="2919"/>
      <c r="T88" s="2919"/>
      <c r="U88" s="2919"/>
      <c r="V88" s="2919"/>
      <c r="W88" s="2919"/>
      <c r="X88" s="2919"/>
      <c r="Y88" s="2919"/>
      <c r="Z88" s="2919"/>
      <c r="AA88" s="2919"/>
      <c r="AB88" s="2919"/>
      <c r="AC88" s="291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8"/>
      <c r="O89" s="2948"/>
      <c r="P89" s="2956"/>
      <c r="Q89" s="2933"/>
      <c r="R89" s="2919"/>
      <c r="S89" s="2919"/>
      <c r="T89" s="2919"/>
      <c r="U89" s="2919"/>
      <c r="V89" s="2919"/>
      <c r="W89" s="2919"/>
      <c r="X89" s="2919"/>
      <c r="Y89" s="2919"/>
      <c r="Z89" s="2919"/>
      <c r="AA89" s="2919"/>
      <c r="AB89" s="2919"/>
      <c r="AC89" s="2919"/>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49"/>
      <c r="O90" s="2949"/>
      <c r="P90" s="2957"/>
      <c r="Q90" s="2940"/>
      <c r="R90" s="2941"/>
      <c r="S90" s="2941"/>
      <c r="T90" s="2941"/>
      <c r="U90" s="2941"/>
      <c r="V90" s="2941"/>
      <c r="W90" s="2941"/>
      <c r="X90" s="2941"/>
      <c r="Y90" s="2941"/>
      <c r="Z90" s="2941"/>
      <c r="AA90" s="2941"/>
      <c r="AB90" s="2941"/>
      <c r="AC90" s="2941"/>
    </row>
    <row r="91" spans="1:29" s="429" customFormat="1">
      <c r="A91" s="549"/>
      <c r="B91" s="502"/>
      <c r="C91" s="551"/>
      <c r="D91" s="551"/>
      <c r="E91" s="551"/>
      <c r="F91" s="551"/>
      <c r="G91" s="551"/>
      <c r="H91" s="551"/>
      <c r="I91" s="551"/>
      <c r="J91" s="552"/>
      <c r="K91" s="552"/>
      <c r="L91" s="553"/>
      <c r="M91" s="554"/>
      <c r="N91" s="2949"/>
      <c r="O91" s="2949"/>
      <c r="P91" s="2957"/>
      <c r="Q91" s="2940"/>
      <c r="R91" s="2941"/>
      <c r="S91" s="2941"/>
      <c r="T91" s="2941"/>
      <c r="U91" s="2941"/>
      <c r="V91" s="2941"/>
      <c r="W91" s="2941"/>
      <c r="X91" s="2941"/>
      <c r="Y91" s="2941"/>
      <c r="Z91" s="2941"/>
      <c r="AA91" s="2941"/>
      <c r="AB91" s="2941"/>
      <c r="AC91" s="2941"/>
    </row>
    <row r="92" spans="1:29" s="429" customFormat="1" ht="15.75" thickBot="1">
      <c r="A92" s="509"/>
      <c r="B92" s="499"/>
      <c r="C92" s="516"/>
      <c r="D92" s="492"/>
      <c r="E92" s="492"/>
      <c r="F92" s="492"/>
      <c r="G92" s="492"/>
      <c r="H92" s="492"/>
      <c r="I92" s="492"/>
      <c r="J92" s="492"/>
      <c r="K92" s="492"/>
      <c r="L92" s="492"/>
      <c r="M92" s="493"/>
      <c r="N92" s="2949"/>
      <c r="O92" s="2949"/>
      <c r="P92" s="2957"/>
      <c r="Q92" s="2940"/>
      <c r="R92" s="2941"/>
      <c r="S92" s="2941"/>
      <c r="T92" s="2941"/>
      <c r="U92" s="2941"/>
      <c r="V92" s="2941"/>
      <c r="W92" s="2941"/>
      <c r="X92" s="2941"/>
      <c r="Y92" s="2941"/>
      <c r="Z92" s="2941"/>
      <c r="AA92" s="2941"/>
      <c r="AB92" s="2941"/>
      <c r="AC92" s="2941"/>
    </row>
    <row r="93" spans="1:29" ht="15" thickTop="1">
      <c r="A93" s="555"/>
      <c r="B93" s="494" t="s">
        <v>2496</v>
      </c>
      <c r="C93" s="510"/>
      <c r="D93" s="510"/>
      <c r="E93" s="539"/>
      <c r="F93" s="539"/>
      <c r="G93" s="539"/>
      <c r="H93" s="539"/>
      <c r="I93" s="539"/>
      <c r="J93" s="539"/>
      <c r="K93" s="540"/>
      <c r="L93" s="541"/>
      <c r="M93" s="542"/>
      <c r="N93" s="2947"/>
      <c r="O93" s="2947"/>
      <c r="P93" s="2956"/>
      <c r="Q93" s="2933"/>
      <c r="R93" s="2919"/>
      <c r="S93" s="2919"/>
      <c r="T93" s="2919"/>
      <c r="U93" s="2919"/>
      <c r="V93" s="2919"/>
      <c r="W93" s="2919"/>
      <c r="X93" s="2919"/>
      <c r="Y93" s="2919"/>
      <c r="Z93" s="2919"/>
      <c r="AA93" s="2919"/>
      <c r="AB93" s="2919"/>
      <c r="AC93" s="291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5"/>
      <c r="B95" s="494" t="s">
        <v>2497</v>
      </c>
      <c r="C95" s="486"/>
      <c r="D95" s="486"/>
      <c r="E95" s="486"/>
      <c r="F95" s="486"/>
      <c r="G95" s="486"/>
      <c r="H95" s="486"/>
      <c r="I95" s="486"/>
      <c r="J95" s="486"/>
      <c r="K95" s="487"/>
      <c r="L95" s="488"/>
      <c r="M95" s="489"/>
      <c r="N95" s="2947"/>
      <c r="O95" s="2947"/>
      <c r="P95" s="2956"/>
      <c r="Q95" s="2933"/>
      <c r="R95" s="2919"/>
      <c r="S95" s="2919"/>
      <c r="T95" s="2919"/>
      <c r="U95" s="2919"/>
      <c r="V95" s="2919"/>
      <c r="W95" s="2919"/>
      <c r="X95" s="2919"/>
      <c r="Y95" s="2919"/>
      <c r="Z95" s="2919"/>
      <c r="AA95" s="2919"/>
      <c r="AB95" s="2919"/>
      <c r="AC95" s="291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8"/>
      <c r="O96" s="2948"/>
      <c r="P96" s="2956"/>
      <c r="Q96" s="2933"/>
      <c r="R96" s="2919"/>
      <c r="S96" s="2919"/>
      <c r="T96" s="2919"/>
      <c r="U96" s="2919"/>
      <c r="V96" s="2919"/>
      <c r="W96" s="2919"/>
      <c r="X96" s="2919"/>
      <c r="Y96" s="2919"/>
      <c r="Z96" s="2919"/>
      <c r="AA96" s="2919"/>
      <c r="AB96" s="2919"/>
      <c r="AC96" s="2919"/>
    </row>
    <row r="97" spans="1:29" ht="15" thickTop="1">
      <c r="A97" s="555"/>
      <c r="B97" s="591">
        <f>B34</f>
        <v>111</v>
      </c>
      <c r="C97" s="505"/>
      <c r="D97" s="505"/>
      <c r="E97" s="505"/>
      <c r="F97" s="505"/>
      <c r="G97" s="510"/>
      <c r="H97" s="511"/>
      <c r="I97" s="511"/>
      <c r="J97" s="511"/>
      <c r="K97" s="511"/>
      <c r="L97" s="512"/>
      <c r="M97" s="513"/>
      <c r="N97" s="2948"/>
      <c r="O97" s="2948"/>
      <c r="P97" s="2961"/>
      <c r="Q97" s="2962"/>
      <c r="R97" s="2919"/>
      <c r="S97" s="2919"/>
      <c r="T97" s="2919"/>
      <c r="U97" s="2919"/>
      <c r="V97" s="2919"/>
      <c r="W97" s="2919"/>
      <c r="X97" s="2919"/>
      <c r="Y97" s="2919"/>
      <c r="Z97" s="2919"/>
      <c r="AA97" s="2919"/>
      <c r="AB97" s="2919"/>
      <c r="AC97" s="2919"/>
    </row>
    <row r="98" spans="1:29" ht="15.75" thickBot="1">
      <c r="A98" s="490"/>
      <c r="B98" s="499"/>
      <c r="C98" s="516"/>
      <c r="D98" s="492"/>
      <c r="E98" s="492"/>
      <c r="F98" s="492"/>
      <c r="G98" s="516"/>
      <c r="H98" s="518"/>
      <c r="I98" s="518"/>
      <c r="J98" s="518"/>
      <c r="K98" s="518"/>
      <c r="L98" s="518"/>
      <c r="M98" s="519"/>
      <c r="N98" s="2948"/>
      <c r="O98" s="2948"/>
      <c r="P98" s="2956"/>
      <c r="Q98" s="2933"/>
      <c r="R98" s="2919"/>
      <c r="S98" s="2919"/>
      <c r="T98" s="2919"/>
      <c r="U98" s="2919"/>
      <c r="V98" s="2919"/>
      <c r="W98" s="2919"/>
      <c r="X98" s="2919"/>
      <c r="Y98" s="2919"/>
      <c r="Z98" s="2919"/>
      <c r="AA98" s="2919"/>
      <c r="AB98" s="2919"/>
      <c r="AC98" s="2919"/>
    </row>
    <row r="99" spans="1:29" s="429" customFormat="1" ht="15" thickTop="1">
      <c r="A99" s="549"/>
      <c r="B99" s="494">
        <f>B35</f>
        <v>111</v>
      </c>
      <c r="C99" s="505"/>
      <c r="D99" s="505"/>
      <c r="E99" s="505"/>
      <c r="F99" s="505"/>
      <c r="G99" s="510"/>
      <c r="H99" s="511"/>
      <c r="I99" s="511"/>
      <c r="J99" s="511"/>
      <c r="K99" s="511"/>
      <c r="L99" s="512"/>
      <c r="M99" s="513"/>
      <c r="N99" s="2949"/>
      <c r="O99" s="2949"/>
      <c r="P99" s="2957"/>
      <c r="Q99" s="2940"/>
      <c r="R99" s="2941"/>
      <c r="S99" s="2941"/>
      <c r="T99" s="2941"/>
      <c r="U99" s="2941"/>
      <c r="V99" s="2941"/>
      <c r="W99" s="2941"/>
      <c r="X99" s="2941"/>
      <c r="Y99" s="2941"/>
      <c r="Z99" s="2941"/>
      <c r="AA99" s="2941"/>
      <c r="AB99" s="2941"/>
      <c r="AC99" s="2941"/>
    </row>
    <row r="100" spans="1:29" s="429" customFormat="1" ht="15.75" thickBot="1">
      <c r="A100" s="509"/>
      <c r="B100" s="491"/>
      <c r="C100" s="516"/>
      <c r="D100" s="492"/>
      <c r="E100" s="492"/>
      <c r="F100" s="492"/>
      <c r="G100" s="516"/>
      <c r="H100" s="518"/>
      <c r="I100" s="518"/>
      <c r="J100" s="518"/>
      <c r="K100" s="518"/>
      <c r="L100" s="518"/>
      <c r="M100" s="519"/>
      <c r="N100" s="2949"/>
      <c r="O100" s="2949"/>
      <c r="P100" s="2957"/>
      <c r="Q100" s="2940"/>
      <c r="R100" s="2941"/>
      <c r="S100" s="2941"/>
      <c r="T100" s="2941"/>
      <c r="U100" s="2941"/>
      <c r="V100" s="2941"/>
      <c r="W100" s="2941"/>
      <c r="X100" s="2941"/>
      <c r="Y100" s="2941"/>
      <c r="Z100" s="2941"/>
      <c r="AA100" s="2941"/>
      <c r="AB100" s="2941"/>
      <c r="AC100" s="2941"/>
    </row>
    <row r="101" spans="1:29" ht="15" thickTop="1">
      <c r="A101" s="555"/>
      <c r="B101" s="494">
        <f>B36</f>
        <v>111</v>
      </c>
      <c r="C101" s="510"/>
      <c r="D101" s="510"/>
      <c r="E101" s="510"/>
      <c r="F101" s="510"/>
      <c r="G101" s="510"/>
      <c r="H101" s="511"/>
      <c r="I101" s="511"/>
      <c r="J101" s="511"/>
      <c r="K101" s="511"/>
      <c r="L101" s="512"/>
      <c r="M101" s="513"/>
      <c r="N101" s="2947"/>
      <c r="O101" s="2947"/>
      <c r="P101" s="2956"/>
      <c r="Q101" s="2933"/>
      <c r="R101" s="2919"/>
      <c r="S101" s="2919"/>
      <c r="T101" s="2919"/>
      <c r="U101" s="2919"/>
      <c r="V101" s="2919"/>
      <c r="W101" s="2919"/>
      <c r="X101" s="2919"/>
      <c r="Y101" s="2919"/>
      <c r="Z101" s="2919"/>
      <c r="AA101" s="2919"/>
      <c r="AB101" s="2919"/>
      <c r="AC101" s="2919"/>
    </row>
    <row r="102" spans="1:29" ht="15.75" thickBot="1">
      <c r="A102" s="490"/>
      <c r="B102" s="499"/>
      <c r="C102" s="516"/>
      <c r="D102" s="516"/>
      <c r="E102" s="516"/>
      <c r="F102" s="516"/>
      <c r="G102" s="516"/>
      <c r="H102" s="518"/>
      <c r="I102" s="518"/>
      <c r="J102" s="518"/>
      <c r="K102" s="518"/>
      <c r="L102" s="518"/>
      <c r="M102" s="519"/>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2468</v>
      </c>
      <c r="B1" s="1359"/>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IF(C2="——",ROUND(C37*D3/10000,0),ROUND(C37*D3/10000,0)-D2)</f>
        <v>#DIV/0!</v>
      </c>
      <c r="C2" s="2033"/>
      <c r="D2" s="1036" t="e">
        <f ca="1">SUMIF(INDIRECT("'"&amp;F2&amp;"'"&amp;"!A:A"),"承租人权益价值",INDIRECT("'"&amp;F2&amp;"'"&amp;"!c:c"))</f>
        <v>#REF!</v>
      </c>
      <c r="E2" s="2034" t="s">
        <v>2089</v>
      </c>
      <c r="F2" s="2035"/>
      <c r="G2" s="1037"/>
      <c r="H2" s="1037"/>
      <c r="I2" s="1037"/>
      <c r="J2" s="1037"/>
      <c r="K2" s="1039"/>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8"/>
      <c r="M3" s="2929"/>
      <c r="N3" s="2929"/>
      <c r="O3" s="2929"/>
      <c r="P3" s="706"/>
      <c r="Q3" s="706"/>
      <c r="R3" s="706"/>
      <c r="S3" s="706"/>
      <c r="T3" s="706"/>
      <c r="U3" s="706"/>
      <c r="V3" s="706"/>
      <c r="W3" s="706"/>
      <c r="X3" s="706"/>
      <c r="Y3" s="706"/>
      <c r="Z3" s="706"/>
      <c r="AA3" s="706"/>
      <c r="AB3" s="723"/>
      <c r="AC3" s="720"/>
    </row>
    <row r="4" spans="1:29" ht="15">
      <c r="A4" s="360" t="s">
        <v>2406</v>
      </c>
      <c r="B4" s="361"/>
      <c r="C4" s="3562" t="s">
        <v>2407</v>
      </c>
      <c r="D4" s="3563"/>
      <c r="E4" s="3564" t="s">
        <v>2408</v>
      </c>
      <c r="F4" s="3565"/>
      <c r="G4" s="3562" t="s">
        <v>2409</v>
      </c>
      <c r="H4" s="3563"/>
      <c r="I4" s="3562" t="s">
        <v>2410</v>
      </c>
      <c r="J4" s="3563"/>
      <c r="K4" s="566" t="s">
        <v>2411</v>
      </c>
      <c r="L4" s="2909"/>
      <c r="M4" s="2910"/>
      <c r="N4" s="2910"/>
      <c r="O4" s="2910"/>
      <c r="P4" s="3566" t="s">
        <v>2412</v>
      </c>
      <c r="Q4" s="3567"/>
      <c r="R4" s="3572" t="s">
        <v>2408</v>
      </c>
      <c r="S4" s="3573"/>
      <c r="T4" s="3572" t="s">
        <v>2409</v>
      </c>
      <c r="U4" s="3573"/>
      <c r="V4" s="3578" t="s">
        <v>2410</v>
      </c>
      <c r="W4" s="3578"/>
      <c r="X4" s="1505"/>
      <c r="Y4" s="3572" t="s">
        <v>2412</v>
      </c>
      <c r="Z4" s="3573"/>
      <c r="AA4" s="3559" t="s">
        <v>2408</v>
      </c>
      <c r="AB4" s="3560" t="s">
        <v>2409</v>
      </c>
      <c r="AC4" s="3559" t="s">
        <v>2410</v>
      </c>
    </row>
    <row r="5" spans="1:29" ht="15">
      <c r="A5" s="363"/>
      <c r="B5" s="364"/>
      <c r="C5" s="3581" t="s">
        <v>2303</v>
      </c>
      <c r="D5" s="3582"/>
      <c r="E5" s="3588" t="s">
        <v>2304</v>
      </c>
      <c r="F5" s="3589"/>
      <c r="G5" s="3581" t="s">
        <v>2305</v>
      </c>
      <c r="H5" s="3582"/>
      <c r="I5" s="3581" t="s">
        <v>2306</v>
      </c>
      <c r="J5" s="3582"/>
      <c r="K5" s="566"/>
      <c r="L5" s="2909"/>
      <c r="M5" s="2910"/>
      <c r="N5" s="2910"/>
      <c r="O5" s="2910"/>
      <c r="P5" s="3568"/>
      <c r="Q5" s="3569"/>
      <c r="R5" s="3574"/>
      <c r="S5" s="3575"/>
      <c r="T5" s="3574"/>
      <c r="U5" s="3575"/>
      <c r="V5" s="3578"/>
      <c r="W5" s="3578"/>
      <c r="X5" s="1505"/>
      <c r="Y5" s="3574"/>
      <c r="Z5" s="3575"/>
      <c r="AA5" s="3560"/>
      <c r="AB5" s="3560"/>
      <c r="AC5" s="3560"/>
    </row>
    <row r="6" spans="1:29" ht="15.75" thickBot="1">
      <c r="A6" s="365"/>
      <c r="B6" s="366"/>
      <c r="C6" s="3579" t="s">
        <v>2307</v>
      </c>
      <c r="D6" s="3580"/>
      <c r="E6" s="3586" t="s">
        <v>2307</v>
      </c>
      <c r="F6" s="3587"/>
      <c r="G6" s="3579" t="s">
        <v>2307</v>
      </c>
      <c r="H6" s="3580"/>
      <c r="I6" s="3579" t="s">
        <v>2307</v>
      </c>
      <c r="J6" s="3580"/>
      <c r="K6" s="566" t="s">
        <v>2308</v>
      </c>
      <c r="L6" s="2909"/>
      <c r="M6" s="2910"/>
      <c r="N6" s="2910"/>
      <c r="O6" s="2910"/>
      <c r="P6" s="3570"/>
      <c r="Q6" s="3571"/>
      <c r="R6" s="3574"/>
      <c r="S6" s="3575"/>
      <c r="T6" s="3576"/>
      <c r="U6" s="3577"/>
      <c r="V6" s="3578"/>
      <c r="W6" s="3578"/>
      <c r="X6" s="1505"/>
      <c r="Y6" s="3576"/>
      <c r="Z6" s="3577"/>
      <c r="AA6" s="3561"/>
      <c r="AB6" s="3561"/>
      <c r="AC6" s="3561"/>
    </row>
    <row r="7" spans="1:29" s="112" customFormat="1" ht="15.75" thickBot="1">
      <c r="A7" s="367" t="s">
        <v>2309</v>
      </c>
      <c r="B7" s="368"/>
      <c r="C7" s="369">
        <f>'数据-取费表'!B2</f>
        <v>44617</v>
      </c>
      <c r="D7" s="370">
        <v>100</v>
      </c>
      <c r="E7" s="371"/>
      <c r="F7" s="372">
        <f>SUMIF(46:46,YEAR(E7)&amp;"-"&amp;MONTH(E7),47:47)</f>
        <v>0</v>
      </c>
      <c r="G7" s="2126"/>
      <c r="H7" s="370">
        <f>SUMIF(46:46,YEAR(G7)&amp;"-"&amp;MONTH(G7),47:47)</f>
        <v>0</v>
      </c>
      <c r="I7" s="371"/>
      <c r="J7" s="370">
        <f>SUMIF(46:46,YEAR(I7)&amp;"-"&amp;MONTH(I7),47:47)</f>
        <v>0</v>
      </c>
      <c r="K7" s="567"/>
      <c r="L7" s="2911"/>
      <c r="M7" s="2912"/>
      <c r="N7" s="2912"/>
      <c r="O7" s="2912"/>
      <c r="P7" s="3583" t="s">
        <v>2310</v>
      </c>
      <c r="Q7" s="3585"/>
      <c r="R7" s="708" t="s">
        <v>17</v>
      </c>
      <c r="S7" s="709">
        <f t="shared" ref="S7:S14" si="0">F7</f>
        <v>0</v>
      </c>
      <c r="T7" s="708" t="s">
        <v>17</v>
      </c>
      <c r="U7" s="709">
        <f t="shared" ref="U7:U14" si="1">H7</f>
        <v>0</v>
      </c>
      <c r="V7" s="708" t="s">
        <v>17</v>
      </c>
      <c r="W7" s="709">
        <f t="shared" ref="W7:W14" si="2">J7</f>
        <v>0</v>
      </c>
      <c r="X7" s="710"/>
      <c r="Y7" s="3583" t="s">
        <v>2310</v>
      </c>
      <c r="Z7" s="3584"/>
      <c r="AA7" s="711" t="e">
        <f>D7/F7</f>
        <v>#DIV/0!</v>
      </c>
      <c r="AB7" s="711" t="e">
        <f>D7/H7</f>
        <v>#DIV/0!</v>
      </c>
      <c r="AC7" s="711"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1"/>
      <c r="M8" s="2912"/>
      <c r="N8" s="2912"/>
      <c r="O8" s="2912"/>
      <c r="P8" s="3583" t="s">
        <v>2313</v>
      </c>
      <c r="Q8" s="3584"/>
      <c r="R8" s="708" t="s">
        <v>17</v>
      </c>
      <c r="S8" s="709">
        <f t="shared" si="0"/>
        <v>0</v>
      </c>
      <c r="T8" s="708" t="s">
        <v>17</v>
      </c>
      <c r="U8" s="709">
        <f t="shared" si="1"/>
        <v>0</v>
      </c>
      <c r="V8" s="708" t="s">
        <v>17</v>
      </c>
      <c r="W8" s="709">
        <f t="shared" si="2"/>
        <v>0</v>
      </c>
      <c r="X8" s="710"/>
      <c r="Y8" s="3583" t="s">
        <v>2313</v>
      </c>
      <c r="Z8" s="3584"/>
      <c r="AA8" s="711" t="e">
        <f t="shared" ref="AA8:AA34" si="3">D8/F8</f>
        <v>#DIV/0!</v>
      </c>
      <c r="AB8" s="711" t="e">
        <f t="shared" ref="AB8:AB34" si="4">D8/H8</f>
        <v>#DIV/0!</v>
      </c>
      <c r="AC8" s="711" t="e">
        <f t="shared" ref="AC8:AC34" si="5">D8/J8</f>
        <v>#DIV/0!</v>
      </c>
    </row>
    <row r="9" spans="1:29" s="112"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1"/>
      <c r="M9" s="2912"/>
      <c r="N9" s="2912"/>
      <c r="O9" s="2966"/>
      <c r="P9" s="3546" t="s">
        <v>2316</v>
      </c>
      <c r="Q9" s="1493" t="str">
        <f t="shared" ref="Q9:Q14" si="6">B9</f>
        <v>用途</v>
      </c>
      <c r="R9" s="708" t="s">
        <v>17</v>
      </c>
      <c r="S9" s="709">
        <f t="shared" si="0"/>
        <v>100</v>
      </c>
      <c r="T9" s="708" t="s">
        <v>17</v>
      </c>
      <c r="U9" s="709">
        <f t="shared" si="1"/>
        <v>100</v>
      </c>
      <c r="V9" s="708" t="s">
        <v>17</v>
      </c>
      <c r="W9" s="709">
        <f t="shared" si="2"/>
        <v>100</v>
      </c>
      <c r="X9" s="710"/>
      <c r="Y9" s="3558" t="s">
        <v>2317</v>
      </c>
      <c r="Z9" s="55" t="str">
        <f t="shared" ref="Z9:Z14" si="7">Q9</f>
        <v>用途</v>
      </c>
      <c r="AA9" s="711">
        <f t="shared" si="3"/>
        <v>1</v>
      </c>
      <c r="AB9" s="711">
        <f t="shared" si="4"/>
        <v>1</v>
      </c>
      <c r="AC9" s="711">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3"/>
      <c r="M10" s="2914"/>
      <c r="N10" s="2914"/>
      <c r="O10" s="2967"/>
      <c r="P10" s="3546"/>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386"/>
      <c r="B11" s="2045">
        <v>111</v>
      </c>
      <c r="C11" s="390"/>
      <c r="D11" s="131">
        <v>100</v>
      </c>
      <c r="E11" s="427"/>
      <c r="F11" s="383">
        <f>SUMIF(55:55,E11,56:56)-SUMIF(55:55,C11,56:56)+100</f>
        <v>100</v>
      </c>
      <c r="G11" s="427"/>
      <c r="H11" s="131">
        <f>SUMIF(55:55,G11,56:56)-SUMIF(55:55,C11,56:56)+100</f>
        <v>100</v>
      </c>
      <c r="I11" s="427"/>
      <c r="J11" s="131">
        <f>SUMIF(55:55,I11,56:56)-SUMIF(55:55,C11,56:56)+100</f>
        <v>100</v>
      </c>
      <c r="K11" s="569"/>
      <c r="L11" s="2915"/>
      <c r="M11" s="2910"/>
      <c r="N11" s="2910"/>
      <c r="O11" s="2968"/>
      <c r="P11" s="3546"/>
      <c r="Q11" s="1493">
        <f t="shared" si="6"/>
        <v>111</v>
      </c>
      <c r="R11" s="708" t="s">
        <v>17</v>
      </c>
      <c r="S11" s="709">
        <f t="shared" si="0"/>
        <v>100</v>
      </c>
      <c r="T11" s="708" t="s">
        <v>17</v>
      </c>
      <c r="U11" s="709">
        <f t="shared" si="1"/>
        <v>100</v>
      </c>
      <c r="V11" s="708" t="s">
        <v>17</v>
      </c>
      <c r="W11" s="709">
        <f t="shared" si="2"/>
        <v>100</v>
      </c>
      <c r="X11" s="710"/>
      <c r="Y11" s="3558"/>
      <c r="Z11" s="55">
        <f t="shared" si="7"/>
        <v>111</v>
      </c>
      <c r="AA11" s="711">
        <f t="shared" si="3"/>
        <v>1</v>
      </c>
      <c r="AB11" s="711">
        <f t="shared" si="4"/>
        <v>1</v>
      </c>
      <c r="AC11" s="711">
        <f t="shared" si="5"/>
        <v>1</v>
      </c>
    </row>
    <row r="12" spans="1:29" s="112" customFormat="1" ht="15">
      <c r="A12" s="389"/>
      <c r="B12" s="2045">
        <v>111</v>
      </c>
      <c r="C12" s="390"/>
      <c r="D12" s="391">
        <v>100</v>
      </c>
      <c r="E12" s="427"/>
      <c r="F12" s="383">
        <f>SUMIF(57:57,E12,58:58)-SUMIF(57:57,C12,58:58)+100</f>
        <v>100</v>
      </c>
      <c r="G12" s="427"/>
      <c r="H12" s="131">
        <f>SUMIF(57:57,G12,58:58)-SUMIF(57:57,C12,58:58)+100</f>
        <v>100</v>
      </c>
      <c r="I12" s="427"/>
      <c r="J12" s="131">
        <f>SUMIF(57:57,I12,58:58)-SUMIF(57:57,C12,58:58)+100</f>
        <v>100</v>
      </c>
      <c r="K12" s="569"/>
      <c r="L12" s="2911"/>
      <c r="M12" s="2912"/>
      <c r="N12" s="2912"/>
      <c r="O12" s="2966"/>
      <c r="P12" s="3546"/>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711">
        <f>D12/J12</f>
        <v>1</v>
      </c>
    </row>
    <row r="13" spans="1:29" ht="15.75" thickBot="1">
      <c r="A13" s="386"/>
      <c r="B13" s="2045">
        <v>111</v>
      </c>
      <c r="C13" s="392"/>
      <c r="D13" s="393">
        <v>100</v>
      </c>
      <c r="E13" s="427"/>
      <c r="F13" s="383">
        <f>SUMIF(59:59,E13,60:60)-SUMIF(59:59,C13,60:60)+100</f>
        <v>100</v>
      </c>
      <c r="G13" s="2127"/>
      <c r="H13" s="396">
        <f>SUMIF(59:59,G13,60:60)-SUMIF(59:59,C13,60:60)+100</f>
        <v>100</v>
      </c>
      <c r="I13" s="427"/>
      <c r="J13" s="393">
        <f>SUMIF(59:59,I13,60:60)-SUMIF(59:59,C13,60:60)+100</f>
        <v>100</v>
      </c>
      <c r="K13" s="569"/>
      <c r="L13" s="2916"/>
      <c r="M13" s="2910"/>
      <c r="N13" s="2910"/>
      <c r="O13" s="2968"/>
      <c r="P13" s="3546"/>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6"/>
      <c r="M14" s="2910"/>
      <c r="N14" s="2910"/>
      <c r="O14" s="2968"/>
      <c r="P14" s="3548" t="s">
        <v>2321</v>
      </c>
      <c r="Q14" s="1502" t="str">
        <f t="shared" si="6"/>
        <v>交通便捷度</v>
      </c>
      <c r="R14" s="712" t="s">
        <v>17</v>
      </c>
      <c r="S14" s="713">
        <f t="shared" si="0"/>
        <v>100</v>
      </c>
      <c r="T14" s="712" t="s">
        <v>17</v>
      </c>
      <c r="U14" s="713">
        <f t="shared" si="1"/>
        <v>100</v>
      </c>
      <c r="V14" s="712" t="s">
        <v>17</v>
      </c>
      <c r="W14" s="713">
        <f t="shared" si="2"/>
        <v>100</v>
      </c>
      <c r="X14" s="1505"/>
      <c r="Y14" s="3548" t="s">
        <v>2321</v>
      </c>
      <c r="Z14" s="1506" t="str">
        <f t="shared" si="7"/>
        <v>交通便捷度</v>
      </c>
      <c r="AA14" s="1503">
        <f t="shared" si="3"/>
        <v>1</v>
      </c>
      <c r="AB14" s="1503">
        <f t="shared" si="4"/>
        <v>1</v>
      </c>
      <c r="AC14" s="1503">
        <f t="shared" si="5"/>
        <v>1</v>
      </c>
    </row>
    <row r="15" spans="1:29" ht="15">
      <c r="A15" s="386"/>
      <c r="B15" s="404"/>
      <c r="C15" s="405"/>
      <c r="D15" s="406"/>
      <c r="E15" s="405"/>
      <c r="F15" s="407"/>
      <c r="G15" s="405"/>
      <c r="H15" s="408"/>
      <c r="I15" s="405"/>
      <c r="J15" s="406"/>
      <c r="K15" s="571"/>
      <c r="L15" s="2916"/>
      <c r="M15" s="2910"/>
      <c r="N15" s="2910"/>
      <c r="O15" s="2968"/>
      <c r="P15" s="3549"/>
      <c r="Q15" s="1502"/>
      <c r="R15" s="712"/>
      <c r="S15" s="713"/>
      <c r="T15" s="712"/>
      <c r="U15" s="713"/>
      <c r="V15" s="712"/>
      <c r="W15" s="713"/>
      <c r="X15" s="1505"/>
      <c r="Y15" s="3549"/>
      <c r="Z15" s="1506"/>
      <c r="AA15" s="1503">
        <v>1</v>
      </c>
      <c r="AB15" s="1503">
        <v>1</v>
      </c>
      <c r="AC15" s="1503">
        <v>1</v>
      </c>
    </row>
    <row r="16" spans="1:29" ht="42.75">
      <c r="A16" s="386"/>
      <c r="B16" s="409" t="s">
        <v>2449</v>
      </c>
      <c r="C16" s="205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6"/>
      <c r="M16" s="2910"/>
      <c r="N16" s="2910"/>
      <c r="O16" s="2968"/>
      <c r="P16" s="3549"/>
      <c r="Q16" s="1502" t="str">
        <f>B16</f>
        <v>公共配套设施</v>
      </c>
      <c r="R16" s="712" t="s">
        <v>17</v>
      </c>
      <c r="S16" s="713">
        <f>F16</f>
        <v>100</v>
      </c>
      <c r="T16" s="712" t="s">
        <v>17</v>
      </c>
      <c r="U16" s="713">
        <f>H16</f>
        <v>100</v>
      </c>
      <c r="V16" s="712" t="s">
        <v>17</v>
      </c>
      <c r="W16" s="713">
        <f>J16</f>
        <v>100</v>
      </c>
      <c r="X16" s="1505"/>
      <c r="Y16" s="3549"/>
      <c r="Z16" s="1506" t="str">
        <f>Q16</f>
        <v>公共配套设施</v>
      </c>
      <c r="AA16" s="1503">
        <f t="shared" si="3"/>
        <v>1</v>
      </c>
      <c r="AB16" s="1503">
        <f t="shared" si="4"/>
        <v>1</v>
      </c>
      <c r="AC16" s="1503">
        <f t="shared" si="5"/>
        <v>1</v>
      </c>
    </row>
    <row r="17" spans="1:29" ht="15">
      <c r="A17" s="386"/>
      <c r="B17" s="414"/>
      <c r="C17" s="2053"/>
      <c r="D17" s="406"/>
      <c r="E17" s="405"/>
      <c r="F17" s="407"/>
      <c r="G17" s="405"/>
      <c r="H17" s="406"/>
      <c r="I17" s="405"/>
      <c r="J17" s="406"/>
      <c r="K17" s="571"/>
      <c r="L17" s="2916"/>
      <c r="M17" s="2910"/>
      <c r="N17" s="2910"/>
      <c r="O17" s="2968"/>
      <c r="P17" s="3549"/>
      <c r="Q17" s="1502"/>
      <c r="R17" s="712"/>
      <c r="S17" s="713"/>
      <c r="T17" s="712"/>
      <c r="U17" s="713"/>
      <c r="V17" s="712"/>
      <c r="W17" s="713"/>
      <c r="X17" s="1505"/>
      <c r="Y17" s="3549"/>
      <c r="Z17" s="1506"/>
      <c r="AA17" s="1503">
        <v>1</v>
      </c>
      <c r="AB17" s="1503">
        <v>1</v>
      </c>
      <c r="AC17" s="1503">
        <v>1</v>
      </c>
    </row>
    <row r="18" spans="1:29" ht="28.5">
      <c r="A18" s="386"/>
      <c r="B18" s="1261" t="s">
        <v>2450</v>
      </c>
      <c r="C18" s="205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6"/>
      <c r="M18" s="2910"/>
      <c r="N18" s="2910"/>
      <c r="O18" s="2968"/>
      <c r="P18" s="3549"/>
      <c r="Q18" s="1502" t="str">
        <f>B18</f>
        <v>基础设施水平</v>
      </c>
      <c r="R18" s="712" t="s">
        <v>17</v>
      </c>
      <c r="S18" s="713">
        <f>F18</f>
        <v>100</v>
      </c>
      <c r="T18" s="712" t="s">
        <v>17</v>
      </c>
      <c r="U18" s="713">
        <f>H18</f>
        <v>100</v>
      </c>
      <c r="V18" s="712" t="s">
        <v>17</v>
      </c>
      <c r="W18" s="713">
        <f>J18</f>
        <v>100</v>
      </c>
      <c r="X18" s="1505"/>
      <c r="Y18" s="3549"/>
      <c r="Z18" s="1506" t="str">
        <f>Q18</f>
        <v>基础设施水平</v>
      </c>
      <c r="AA18" s="1503">
        <f t="shared" ref="AA18" si="8">D18/F18</f>
        <v>1</v>
      </c>
      <c r="AB18" s="1503">
        <f t="shared" ref="AB18" si="9">D18/H18</f>
        <v>1</v>
      </c>
      <c r="AC18" s="1503">
        <f t="shared" ref="AC18" si="10">D18/J18</f>
        <v>1</v>
      </c>
    </row>
    <row r="19" spans="1:29" ht="15">
      <c r="A19" s="386"/>
      <c r="B19" s="1261"/>
      <c r="C19" s="2053"/>
      <c r="D19" s="408"/>
      <c r="E19" s="2053"/>
      <c r="F19" s="411"/>
      <c r="G19" s="2053"/>
      <c r="H19" s="406"/>
      <c r="I19" s="405"/>
      <c r="J19" s="406"/>
      <c r="K19" s="1260"/>
      <c r="L19" s="2916"/>
      <c r="M19" s="2910"/>
      <c r="N19" s="2910"/>
      <c r="O19" s="2968"/>
      <c r="P19" s="3549"/>
      <c r="Q19" s="1502"/>
      <c r="R19" s="712"/>
      <c r="S19" s="713"/>
      <c r="T19" s="712"/>
      <c r="U19" s="713"/>
      <c r="V19" s="712"/>
      <c r="W19" s="713"/>
      <c r="X19" s="1505"/>
      <c r="Y19" s="3549"/>
      <c r="Z19" s="1506"/>
      <c r="AA19" s="1503">
        <v>1</v>
      </c>
      <c r="AB19" s="1503">
        <v>1</v>
      </c>
      <c r="AC19" s="1503">
        <v>1</v>
      </c>
    </row>
    <row r="20" spans="1:29" ht="57">
      <c r="A20" s="386"/>
      <c r="B20" s="409" t="s">
        <v>2471</v>
      </c>
      <c r="C20" s="205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6"/>
      <c r="M20" s="2910"/>
      <c r="N20" s="2910"/>
      <c r="O20" s="2968"/>
      <c r="P20" s="3549"/>
      <c r="Q20" s="1502" t="str">
        <f>B20</f>
        <v>自然及人文环境</v>
      </c>
      <c r="R20" s="712" t="s">
        <v>17</v>
      </c>
      <c r="S20" s="713">
        <f>F20</f>
        <v>100</v>
      </c>
      <c r="T20" s="712" t="s">
        <v>17</v>
      </c>
      <c r="U20" s="713">
        <f>H20</f>
        <v>100</v>
      </c>
      <c r="V20" s="712" t="s">
        <v>17</v>
      </c>
      <c r="W20" s="713">
        <f>J20</f>
        <v>100</v>
      </c>
      <c r="X20" s="1505"/>
      <c r="Y20" s="3549"/>
      <c r="Z20" s="1506" t="str">
        <f>Q20</f>
        <v>自然及人文环境</v>
      </c>
      <c r="AA20" s="1503">
        <f t="shared" si="3"/>
        <v>1</v>
      </c>
      <c r="AB20" s="1503">
        <f t="shared" si="4"/>
        <v>1</v>
      </c>
      <c r="AC20" s="1503">
        <f t="shared" si="5"/>
        <v>1</v>
      </c>
    </row>
    <row r="21" spans="1:29" ht="15">
      <c r="A21" s="386"/>
      <c r="B21" s="414"/>
      <c r="C21" s="405"/>
      <c r="D21" s="406"/>
      <c r="E21" s="405"/>
      <c r="F21" s="407"/>
      <c r="G21" s="405"/>
      <c r="H21" s="406"/>
      <c r="I21" s="405"/>
      <c r="J21" s="406"/>
      <c r="K21" s="571"/>
      <c r="L21" s="2916"/>
      <c r="M21" s="2910"/>
      <c r="N21" s="2910"/>
      <c r="O21" s="2968"/>
      <c r="P21" s="3549"/>
      <c r="Q21" s="1502"/>
      <c r="R21" s="712"/>
      <c r="S21" s="713"/>
      <c r="T21" s="712"/>
      <c r="U21" s="713"/>
      <c r="V21" s="712"/>
      <c r="W21" s="713"/>
      <c r="X21" s="1505"/>
      <c r="Y21" s="3549"/>
      <c r="Z21" s="1506"/>
      <c r="AA21" s="1503">
        <v>1</v>
      </c>
      <c r="AB21" s="1503">
        <v>1</v>
      </c>
      <c r="AC21" s="1503">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6"/>
      <c r="M22" s="2910"/>
      <c r="N22" s="2910"/>
      <c r="O22" s="2968"/>
      <c r="P22" s="3549"/>
      <c r="Q22" s="1502" t="str">
        <f>B22</f>
        <v>楼层</v>
      </c>
      <c r="R22" s="712" t="s">
        <v>17</v>
      </c>
      <c r="S22" s="713">
        <f>F22</f>
        <v>100</v>
      </c>
      <c r="T22" s="712" t="s">
        <v>17</v>
      </c>
      <c r="U22" s="713">
        <f>H22</f>
        <v>100</v>
      </c>
      <c r="V22" s="712" t="s">
        <v>17</v>
      </c>
      <c r="W22" s="713">
        <f>J22</f>
        <v>100</v>
      </c>
      <c r="X22" s="1505"/>
      <c r="Y22" s="3549"/>
      <c r="Z22" s="1506" t="str">
        <f>Q22</f>
        <v>楼层</v>
      </c>
      <c r="AA22" s="1503">
        <f t="shared" si="3"/>
        <v>1</v>
      </c>
      <c r="AB22" s="1503">
        <f t="shared" si="4"/>
        <v>1</v>
      </c>
      <c r="AC22" s="1503">
        <f t="shared" si="5"/>
        <v>1</v>
      </c>
    </row>
    <row r="23" spans="1:29" ht="15">
      <c r="A23" s="363"/>
      <c r="B23" s="2045">
        <v>111</v>
      </c>
      <c r="C23" s="390"/>
      <c r="D23" s="393">
        <v>100</v>
      </c>
      <c r="E23" s="392"/>
      <c r="F23" s="419">
        <f>SUMIF(71:71,E23,72:72)-SUMIF(71:71,C23,72:72)+100</f>
        <v>100</v>
      </c>
      <c r="G23" s="392"/>
      <c r="H23" s="393">
        <f>SUMIF(71:71,G23,72:72)-SUMIF(71:71,C23,72:72)+100</f>
        <v>100</v>
      </c>
      <c r="I23" s="392"/>
      <c r="J23" s="393">
        <f>SUMIF(71:71,I23,72:72)-SUMIF(71:71,C23,72:72)+100</f>
        <v>100</v>
      </c>
      <c r="K23" s="569"/>
      <c r="L23" s="2916"/>
      <c r="M23" s="2910"/>
      <c r="N23" s="2910"/>
      <c r="O23" s="2968"/>
      <c r="P23" s="3549"/>
      <c r="Q23" s="1502">
        <f>B23</f>
        <v>111</v>
      </c>
      <c r="R23" s="712" t="s">
        <v>17</v>
      </c>
      <c r="S23" s="713">
        <f>F23</f>
        <v>100</v>
      </c>
      <c r="T23" s="712" t="s">
        <v>17</v>
      </c>
      <c r="U23" s="713">
        <f>H23</f>
        <v>100</v>
      </c>
      <c r="V23" s="712" t="s">
        <v>17</v>
      </c>
      <c r="W23" s="713">
        <f>J23</f>
        <v>100</v>
      </c>
      <c r="X23" s="1505"/>
      <c r="Y23" s="3549"/>
      <c r="Z23" s="1506">
        <f>Q23</f>
        <v>111</v>
      </c>
      <c r="AA23" s="1503">
        <f t="shared" si="3"/>
        <v>1</v>
      </c>
      <c r="AB23" s="1503">
        <f t="shared" si="4"/>
        <v>1</v>
      </c>
      <c r="AC23" s="1503">
        <f t="shared" si="5"/>
        <v>1</v>
      </c>
    </row>
    <row r="24" spans="1:29" ht="15">
      <c r="A24" s="386"/>
      <c r="B24" s="2045">
        <v>111</v>
      </c>
      <c r="C24" s="390"/>
      <c r="D24" s="393">
        <v>100</v>
      </c>
      <c r="E24" s="392"/>
      <c r="F24" s="419">
        <f>SUMIF(73:73,E24,74:74)-SUMIF(73:73,C24,74:74)+100</f>
        <v>100</v>
      </c>
      <c r="G24" s="392"/>
      <c r="H24" s="393">
        <f>SUMIF(73:73,G24,74:74)-SUMIF(73:73,C24,74:74)+100</f>
        <v>100</v>
      </c>
      <c r="I24" s="392"/>
      <c r="J24" s="393">
        <f>SUMIF(73:73,I24,74:74)-SUMIF(73:73,C24,74:74)+100</f>
        <v>100</v>
      </c>
      <c r="K24" s="569"/>
      <c r="L24" s="2916"/>
      <c r="M24" s="2910"/>
      <c r="N24" s="2910"/>
      <c r="O24" s="2968"/>
      <c r="P24" s="3549"/>
      <c r="Q24" s="1502">
        <f t="shared" ref="Q24:Q34" si="11">B24</f>
        <v>111</v>
      </c>
      <c r="R24" s="712" t="s">
        <v>17</v>
      </c>
      <c r="S24" s="713">
        <f>F24</f>
        <v>100</v>
      </c>
      <c r="T24" s="712" t="s">
        <v>17</v>
      </c>
      <c r="U24" s="713">
        <f>H24</f>
        <v>100</v>
      </c>
      <c r="V24" s="712" t="s">
        <v>17</v>
      </c>
      <c r="W24" s="713">
        <f>J24</f>
        <v>100</v>
      </c>
      <c r="X24" s="1505"/>
      <c r="Y24" s="3549"/>
      <c r="Z24" s="1506">
        <f>Q24</f>
        <v>111</v>
      </c>
      <c r="AA24" s="1503">
        <f t="shared" si="3"/>
        <v>1</v>
      </c>
      <c r="AB24" s="1503">
        <f t="shared" si="4"/>
        <v>1</v>
      </c>
      <c r="AC24" s="1503">
        <f t="shared" si="5"/>
        <v>1</v>
      </c>
    </row>
    <row r="25" spans="1:29" s="112" customFormat="1" ht="15.75" thickBot="1">
      <c r="A25" s="389"/>
      <c r="B25" s="2045">
        <v>111</v>
      </c>
      <c r="C25" s="2128"/>
      <c r="D25" s="620">
        <v>100</v>
      </c>
      <c r="E25" s="2128"/>
      <c r="F25" s="621">
        <f>SUMIF(75:75,E25,76:76)-SUMIF(75:75,C25,76:76)+100</f>
        <v>100</v>
      </c>
      <c r="G25" s="2128"/>
      <c r="H25" s="620">
        <f>SUMIF(75:75,G25,76:76)-SUMIF(75:75,C25,76:76)+100</f>
        <v>100</v>
      </c>
      <c r="I25" s="2128"/>
      <c r="J25" s="620">
        <f>SUMIF(75:75,I25,76:76)-SUMIF(75:75,C25,76:76)+100</f>
        <v>100</v>
      </c>
      <c r="K25" s="569"/>
      <c r="L25" s="2911"/>
      <c r="M25" s="2912"/>
      <c r="N25" s="2912"/>
      <c r="O25" s="2966"/>
      <c r="P25" s="3549"/>
      <c r="Q25" s="1493">
        <f t="shared" si="11"/>
        <v>111</v>
      </c>
      <c r="R25" s="708" t="s">
        <v>17</v>
      </c>
      <c r="S25" s="709">
        <f>F25</f>
        <v>100</v>
      </c>
      <c r="T25" s="708" t="s">
        <v>17</v>
      </c>
      <c r="U25" s="709">
        <f>H25</f>
        <v>100</v>
      </c>
      <c r="V25" s="708" t="s">
        <v>17</v>
      </c>
      <c r="W25" s="709">
        <f>J25</f>
        <v>100</v>
      </c>
      <c r="X25" s="710"/>
      <c r="Y25" s="3549"/>
      <c r="Z25" s="55">
        <f>Q25</f>
        <v>111</v>
      </c>
      <c r="AA25" s="1503">
        <f>D25/F25</f>
        <v>1</v>
      </c>
      <c r="AB25" s="1503">
        <f>D25/H25</f>
        <v>1</v>
      </c>
      <c r="AC25" s="1503">
        <f>D25/J25</f>
        <v>1</v>
      </c>
    </row>
    <row r="26" spans="1:29" ht="28.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6"/>
      <c r="M26" s="2910"/>
      <c r="N26" s="2910"/>
      <c r="O26" s="2968"/>
      <c r="P26" s="3605" t="s">
        <v>2326</v>
      </c>
      <c r="Q26" s="1502" t="str">
        <f t="shared" si="11"/>
        <v>公共部分装修</v>
      </c>
      <c r="R26" s="712" t="s">
        <v>17</v>
      </c>
      <c r="S26" s="713">
        <f t="shared" ref="S26:S34" si="12">F26</f>
        <v>100</v>
      </c>
      <c r="T26" s="712" t="s">
        <v>17</v>
      </c>
      <c r="U26" s="713">
        <f t="shared" ref="U26:U34" si="13">H26</f>
        <v>100</v>
      </c>
      <c r="V26" s="712" t="s">
        <v>17</v>
      </c>
      <c r="W26" s="713">
        <f t="shared" ref="W26:W34" si="14">J26</f>
        <v>100</v>
      </c>
      <c r="X26" s="1505"/>
      <c r="Y26" s="3553" t="s">
        <v>2326</v>
      </c>
      <c r="Z26" s="1506" t="str">
        <f t="shared" ref="Z26:Z34" si="15">Q26</f>
        <v>公共部分装修</v>
      </c>
      <c r="AA26" s="1503">
        <f t="shared" si="3"/>
        <v>1</v>
      </c>
      <c r="AB26" s="1503">
        <f t="shared" si="4"/>
        <v>1</v>
      </c>
      <c r="AC26" s="1503">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5"/>
      <c r="M27" s="2917"/>
      <c r="N27" s="2917"/>
      <c r="O27" s="2969"/>
      <c r="P27" s="3553"/>
      <c r="Q27" s="714" t="str">
        <f t="shared" si="11"/>
        <v>成新率</v>
      </c>
      <c r="R27" s="715" t="s">
        <v>17</v>
      </c>
      <c r="S27" s="716" t="e">
        <f t="shared" si="12"/>
        <v>#N/A</v>
      </c>
      <c r="T27" s="715" t="s">
        <v>17</v>
      </c>
      <c r="U27" s="716" t="e">
        <f t="shared" si="13"/>
        <v>#N/A</v>
      </c>
      <c r="V27" s="715" t="s">
        <v>17</v>
      </c>
      <c r="W27" s="716" t="e">
        <f t="shared" si="14"/>
        <v>#N/A</v>
      </c>
      <c r="X27" s="717"/>
      <c r="Y27" s="3553"/>
      <c r="Z27" s="718" t="str">
        <f t="shared" si="15"/>
        <v>成新率</v>
      </c>
      <c r="AA27" s="1503" t="e">
        <f t="shared" si="3"/>
        <v>#N/A</v>
      </c>
      <c r="AB27" s="1503" t="e">
        <f t="shared" si="4"/>
        <v>#N/A</v>
      </c>
      <c r="AC27" s="1503"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6"/>
      <c r="M28" s="2910"/>
      <c r="N28" s="2910"/>
      <c r="O28" s="2968"/>
      <c r="P28" s="3553"/>
      <c r="Q28" s="1502" t="str">
        <f t="shared" si="11"/>
        <v>物业等级</v>
      </c>
      <c r="R28" s="712" t="s">
        <v>17</v>
      </c>
      <c r="S28" s="713">
        <f t="shared" si="12"/>
        <v>100</v>
      </c>
      <c r="T28" s="712" t="s">
        <v>17</v>
      </c>
      <c r="U28" s="713">
        <f t="shared" si="13"/>
        <v>100</v>
      </c>
      <c r="V28" s="712" t="s">
        <v>17</v>
      </c>
      <c r="W28" s="713">
        <f t="shared" si="14"/>
        <v>100</v>
      </c>
      <c r="X28" s="1505"/>
      <c r="Y28" s="3553"/>
      <c r="Z28" s="1506" t="str">
        <f t="shared" si="15"/>
        <v>物业等级</v>
      </c>
      <c r="AA28" s="1503">
        <f t="shared" si="3"/>
        <v>1</v>
      </c>
      <c r="AB28" s="1503">
        <f t="shared" si="4"/>
        <v>1</v>
      </c>
      <c r="AC28" s="1503">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6"/>
      <c r="M29" s="2910"/>
      <c r="N29" s="2910"/>
      <c r="O29" s="2968"/>
      <c r="P29" s="3553"/>
      <c r="Q29" s="1502" t="str">
        <f t="shared" si="11"/>
        <v>有无电梯</v>
      </c>
      <c r="R29" s="712" t="s">
        <v>17</v>
      </c>
      <c r="S29" s="713">
        <f t="shared" si="12"/>
        <v>100</v>
      </c>
      <c r="T29" s="712" t="s">
        <v>17</v>
      </c>
      <c r="U29" s="713">
        <f t="shared" si="13"/>
        <v>100</v>
      </c>
      <c r="V29" s="712" t="s">
        <v>17</v>
      </c>
      <c r="W29" s="713">
        <f t="shared" si="14"/>
        <v>100</v>
      </c>
      <c r="X29" s="1505"/>
      <c r="Y29" s="3553"/>
      <c r="Z29" s="1506" t="str">
        <f t="shared" si="15"/>
        <v>有无电梯</v>
      </c>
      <c r="AA29" s="1503">
        <f t="shared" si="3"/>
        <v>1</v>
      </c>
      <c r="AB29" s="1503">
        <f t="shared" si="4"/>
        <v>1</v>
      </c>
      <c r="AC29" s="1503">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6"/>
      <c r="M30" s="2910"/>
      <c r="N30" s="2910"/>
      <c r="O30" s="2968"/>
      <c r="P30" s="3553"/>
      <c r="Q30" s="1502" t="str">
        <f t="shared" si="11"/>
        <v>建筑面积</v>
      </c>
      <c r="R30" s="712" t="s">
        <v>17</v>
      </c>
      <c r="S30" s="713" t="e">
        <f t="shared" si="12"/>
        <v>#N/A</v>
      </c>
      <c r="T30" s="712" t="s">
        <v>17</v>
      </c>
      <c r="U30" s="713" t="e">
        <f t="shared" si="13"/>
        <v>#N/A</v>
      </c>
      <c r="V30" s="712" t="s">
        <v>17</v>
      </c>
      <c r="W30" s="713" t="e">
        <f t="shared" si="14"/>
        <v>#N/A</v>
      </c>
      <c r="X30" s="1505"/>
      <c r="Y30" s="3553"/>
      <c r="Z30" s="1506" t="str">
        <f t="shared" si="15"/>
        <v>建筑面积</v>
      </c>
      <c r="AA30" s="1503" t="e">
        <f t="shared" si="3"/>
        <v>#N/A</v>
      </c>
      <c r="AB30" s="1503" t="e">
        <f t="shared" si="4"/>
        <v>#N/A</v>
      </c>
      <c r="AC30" s="1503"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1"/>
      <c r="M31" s="2912"/>
      <c r="N31" s="2912"/>
      <c r="O31" s="2966"/>
      <c r="P31" s="3553"/>
      <c r="Q31" s="1493" t="str">
        <f t="shared" si="11"/>
        <v>是否封闭</v>
      </c>
      <c r="R31" s="708" t="s">
        <v>17</v>
      </c>
      <c r="S31" s="709">
        <f t="shared" si="12"/>
        <v>100</v>
      </c>
      <c r="T31" s="708" t="s">
        <v>17</v>
      </c>
      <c r="U31" s="709">
        <f t="shared" si="13"/>
        <v>100</v>
      </c>
      <c r="V31" s="708" t="s">
        <v>17</v>
      </c>
      <c r="W31" s="709">
        <f t="shared" si="14"/>
        <v>100</v>
      </c>
      <c r="X31" s="710"/>
      <c r="Y31" s="3553"/>
      <c r="Z31" s="55" t="str">
        <f t="shared" si="15"/>
        <v>是否封闭</v>
      </c>
      <c r="AA31" s="711">
        <f t="shared" si="3"/>
        <v>1</v>
      </c>
      <c r="AB31" s="711">
        <f t="shared" si="4"/>
        <v>1</v>
      </c>
      <c r="AC31" s="711">
        <f t="shared" si="5"/>
        <v>1</v>
      </c>
    </row>
    <row r="32" spans="1:29" ht="15">
      <c r="A32" s="430"/>
      <c r="B32" s="2045">
        <v>111</v>
      </c>
      <c r="C32" s="390"/>
      <c r="D32" s="393">
        <v>100</v>
      </c>
      <c r="E32" s="427"/>
      <c r="F32" s="419">
        <f>SUMIF(91:91,E32,92:92)-SUMIF(91:91,C32,92:92)+100</f>
        <v>100</v>
      </c>
      <c r="G32" s="427"/>
      <c r="H32" s="393">
        <f>SUMIF(91:91,G32,92:92)-SUMIF(91:91,C32,92:92)+100</f>
        <v>100</v>
      </c>
      <c r="I32" s="427"/>
      <c r="J32" s="393">
        <f>SUMIF(91:91,I32,92:92)-SUMIF(91:91,C32,92:92)+100</f>
        <v>100</v>
      </c>
      <c r="K32" s="569"/>
      <c r="L32" s="2916"/>
      <c r="M32" s="2910"/>
      <c r="N32" s="2910"/>
      <c r="O32" s="2968"/>
      <c r="P32" s="3553" t="s">
        <v>2326</v>
      </c>
      <c r="Q32" s="1502">
        <f t="shared" si="11"/>
        <v>111</v>
      </c>
      <c r="R32" s="712" t="s">
        <v>17</v>
      </c>
      <c r="S32" s="713">
        <f t="shared" si="12"/>
        <v>100</v>
      </c>
      <c r="T32" s="712" t="s">
        <v>17</v>
      </c>
      <c r="U32" s="713">
        <f t="shared" si="13"/>
        <v>100</v>
      </c>
      <c r="V32" s="712" t="s">
        <v>17</v>
      </c>
      <c r="W32" s="713">
        <f t="shared" si="14"/>
        <v>100</v>
      </c>
      <c r="X32" s="1505"/>
      <c r="Y32" s="3553" t="s">
        <v>2326</v>
      </c>
      <c r="Z32" s="1506">
        <f t="shared" si="15"/>
        <v>111</v>
      </c>
      <c r="AA32" s="1503">
        <f t="shared" si="3"/>
        <v>1</v>
      </c>
      <c r="AB32" s="1503">
        <f t="shared" si="4"/>
        <v>1</v>
      </c>
      <c r="AC32" s="1503">
        <f t="shared" si="5"/>
        <v>1</v>
      </c>
    </row>
    <row r="33" spans="1:30" ht="15">
      <c r="A33" s="430"/>
      <c r="B33" s="2045">
        <v>111</v>
      </c>
      <c r="C33" s="390"/>
      <c r="D33" s="393">
        <v>100</v>
      </c>
      <c r="E33" s="427"/>
      <c r="F33" s="419">
        <f>SUMIF(93:93,E33,94:94)-SUMIF(93:93,C33,94:94)+100</f>
        <v>100</v>
      </c>
      <c r="G33" s="427"/>
      <c r="H33" s="393">
        <f>SUMIF(93:93,G33,94:94)-SUMIF(93:93,C33,94:94)+100</f>
        <v>100</v>
      </c>
      <c r="I33" s="427"/>
      <c r="J33" s="393">
        <f>SUMIF(93:93,I33,94:94)-SUMIF(93:93,C33,94:94)+100</f>
        <v>100</v>
      </c>
      <c r="K33" s="569"/>
      <c r="L33" s="2916"/>
      <c r="M33" s="2910"/>
      <c r="N33" s="2910"/>
      <c r="O33" s="2968"/>
      <c r="P33" s="3553"/>
      <c r="Q33" s="1502">
        <f t="shared" si="11"/>
        <v>111</v>
      </c>
      <c r="R33" s="712" t="s">
        <v>17</v>
      </c>
      <c r="S33" s="713">
        <f t="shared" si="12"/>
        <v>100</v>
      </c>
      <c r="T33" s="712" t="s">
        <v>17</v>
      </c>
      <c r="U33" s="713">
        <f t="shared" si="13"/>
        <v>100</v>
      </c>
      <c r="V33" s="712" t="s">
        <v>17</v>
      </c>
      <c r="W33" s="713">
        <f t="shared" si="14"/>
        <v>100</v>
      </c>
      <c r="X33" s="1505"/>
      <c r="Y33" s="3553"/>
      <c r="Z33" s="1506">
        <f t="shared" si="15"/>
        <v>111</v>
      </c>
      <c r="AA33" s="1503">
        <f t="shared" si="3"/>
        <v>1</v>
      </c>
      <c r="AB33" s="1503">
        <f t="shared" si="4"/>
        <v>1</v>
      </c>
      <c r="AC33" s="1503">
        <f t="shared" si="5"/>
        <v>1</v>
      </c>
    </row>
    <row r="34" spans="1:30" ht="15.75" thickBot="1">
      <c r="A34" s="436"/>
      <c r="B34" s="2047">
        <v>111</v>
      </c>
      <c r="C34" s="395"/>
      <c r="D34" s="396">
        <v>100</v>
      </c>
      <c r="E34" s="2127"/>
      <c r="F34" s="397">
        <f>SUMIF(95:95,E34,96:96)-SUMIF(95:95,C34,96:96)+100</f>
        <v>100</v>
      </c>
      <c r="G34" s="2127"/>
      <c r="H34" s="396">
        <f>SUMIF(95:95,G34,96:96)-SUMIF(95:95,C34,96:96)+100</f>
        <v>100</v>
      </c>
      <c r="I34" s="2127"/>
      <c r="J34" s="396">
        <f>SUMIF(95:95,I34,96:96)-SUMIF(95:95,C34,96:96)+100</f>
        <v>100</v>
      </c>
      <c r="K34" s="569"/>
      <c r="L34" s="2916"/>
      <c r="M34" s="2910"/>
      <c r="N34" s="2910"/>
      <c r="O34" s="2968"/>
      <c r="P34" s="3553"/>
      <c r="Q34" s="1502">
        <f t="shared" si="11"/>
        <v>111</v>
      </c>
      <c r="R34" s="712" t="s">
        <v>17</v>
      </c>
      <c r="S34" s="713">
        <f t="shared" si="12"/>
        <v>100</v>
      </c>
      <c r="T34" s="712" t="s">
        <v>17</v>
      </c>
      <c r="U34" s="713">
        <f t="shared" si="13"/>
        <v>100</v>
      </c>
      <c r="V34" s="712" t="s">
        <v>17</v>
      </c>
      <c r="W34" s="713">
        <f t="shared" si="14"/>
        <v>100</v>
      </c>
      <c r="X34" s="1505"/>
      <c r="Y34" s="3553"/>
      <c r="Z34" s="1506">
        <f t="shared" si="15"/>
        <v>111</v>
      </c>
      <c r="AA34" s="1503">
        <f t="shared" si="3"/>
        <v>1</v>
      </c>
      <c r="AB34" s="1503">
        <f t="shared" si="4"/>
        <v>1</v>
      </c>
      <c r="AC34" s="1503">
        <f t="shared" si="5"/>
        <v>1</v>
      </c>
    </row>
    <row r="35" spans="1:30" ht="15">
      <c r="A35" s="437" t="s">
        <v>2338</v>
      </c>
      <c r="B35" s="438"/>
      <c r="C35" s="1284" t="s">
        <v>1</v>
      </c>
      <c r="D35" s="1285"/>
      <c r="E35" s="1286"/>
      <c r="F35" s="1287"/>
      <c r="G35" s="1288"/>
      <c r="H35" s="1289"/>
      <c r="I35" s="1286"/>
      <c r="J35" s="1289"/>
      <c r="K35" s="721"/>
      <c r="L35" s="2918"/>
      <c r="M35" s="2919"/>
      <c r="N35" s="2910"/>
      <c r="O35" s="2919"/>
      <c r="P35" s="3546" t="str">
        <f>A35</f>
        <v>成交单价（元/平方米）</v>
      </c>
      <c r="Q35" s="3546"/>
      <c r="R35" s="3547">
        <f>E35</f>
        <v>0</v>
      </c>
      <c r="S35" s="3547"/>
      <c r="T35" s="3547">
        <f>G35</f>
        <v>0</v>
      </c>
      <c r="U35" s="3547"/>
      <c r="V35" s="3547">
        <f>I35</f>
        <v>0</v>
      </c>
      <c r="W35" s="3547"/>
      <c r="X35" s="697"/>
      <c r="Y35" s="719"/>
      <c r="Z35" s="697"/>
      <c r="AA35" s="697"/>
      <c r="AB35" s="697"/>
      <c r="AC35" s="697"/>
    </row>
    <row r="36" spans="1:30" ht="15.75" thickBot="1">
      <c r="A36" s="444" t="s">
        <v>2430</v>
      </c>
      <c r="B36" s="445"/>
      <c r="C36" s="1290" t="e">
        <f>R37</f>
        <v>#DIV/0!</v>
      </c>
      <c r="D36" s="2504" t="s">
        <v>2819</v>
      </c>
      <c r="E36" s="1291" t="e">
        <f>R36</f>
        <v>#DIV/0!</v>
      </c>
      <c r="F36" s="2505"/>
      <c r="G36" s="1290" t="e">
        <f>T36</f>
        <v>#DIV/0!</v>
      </c>
      <c r="H36" s="2505"/>
      <c r="I36" s="1291" t="e">
        <f>V36</f>
        <v>#DIV/0!</v>
      </c>
      <c r="J36" s="2505"/>
      <c r="K36" s="2507">
        <f>F36+H36+J36</f>
        <v>0</v>
      </c>
      <c r="L36" s="2918"/>
      <c r="M36" s="2919"/>
      <c r="N36" s="2910"/>
      <c r="O36" s="2919"/>
      <c r="P36" s="3546" t="str">
        <f>A36</f>
        <v>比较价值（元/平方米）</v>
      </c>
      <c r="Q36" s="3546"/>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697"/>
      <c r="Y36" s="697"/>
      <c r="Z36" s="697"/>
      <c r="AA36" s="697"/>
      <c r="AB36" s="697"/>
      <c r="AC36" s="697"/>
    </row>
    <row r="37" spans="1:30" ht="15.75" thickBot="1">
      <c r="A37" s="448" t="s">
        <v>2431</v>
      </c>
      <c r="B37" s="449"/>
      <c r="C37" s="1293" t="e">
        <f>R37</f>
        <v>#DIV/0!</v>
      </c>
      <c r="D37" s="1293"/>
      <c r="E37" s="1293"/>
      <c r="F37" s="1293"/>
      <c r="G37" s="1293"/>
      <c r="H37" s="1293"/>
      <c r="I37" s="1293"/>
      <c r="J37" s="1293"/>
      <c r="K37" s="722"/>
      <c r="L37" s="2918"/>
      <c r="M37" s="2919"/>
      <c r="N37" s="2919"/>
      <c r="O37" s="2919"/>
      <c r="P37" s="3543" t="str">
        <f>A37</f>
        <v>估价对象XX用房的比较价值（楼面单价，元/平方米）</v>
      </c>
      <c r="Q37" s="3544"/>
      <c r="R37" s="3606" t="e">
        <f>IF(F1="售价",ROUND(IF(D36="简单平均",AVERAGE(R36:W36),R36*F36+T36*H36+V36*J36),0),ROUND(IF(D36="简单平均",AVERAGE(R36:V36),R36*F36+T36*H36+V36*J36),1))</f>
        <v>#DIV/0!</v>
      </c>
      <c r="S37" s="3606"/>
      <c r="T37" s="3606"/>
      <c r="U37" s="3606"/>
      <c r="V37" s="3606"/>
      <c r="W37" s="3606"/>
      <c r="X37" s="697"/>
      <c r="Y37" s="697"/>
      <c r="Z37" s="697"/>
      <c r="AA37" s="697"/>
      <c r="AB37" s="697"/>
      <c r="AC37" s="697"/>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8" customFormat="1" ht="13.5" customHeight="1">
      <c r="A42" s="2922"/>
      <c r="B42" s="2922"/>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8"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1" t="s">
        <v>2435</v>
      </c>
      <c r="B45" s="697"/>
      <c r="C45" s="702"/>
      <c r="D45" s="702"/>
      <c r="E45" s="702"/>
      <c r="F45" s="703"/>
      <c r="G45" s="703"/>
      <c r="H45" s="702"/>
      <c r="I45" s="702"/>
      <c r="J45" s="702"/>
      <c r="K45" s="704"/>
      <c r="L45" s="705"/>
      <c r="M45" s="702"/>
      <c r="N45" s="2963"/>
      <c r="O45" s="2963"/>
      <c r="P45" s="2963"/>
      <c r="Q45" s="2933"/>
      <c r="R45" s="2919"/>
      <c r="S45" s="2919"/>
      <c r="T45" s="2919"/>
      <c r="U45" s="2919"/>
      <c r="V45" s="2919"/>
      <c r="W45" s="2919"/>
      <c r="X45" s="2919"/>
      <c r="Y45" s="2919"/>
      <c r="Z45" s="2919"/>
      <c r="AA45" s="2919"/>
      <c r="AB45" s="2919"/>
      <c r="AC45" s="2919"/>
      <c r="AD45" s="2919"/>
    </row>
    <row r="46" spans="1:30" s="464" customFormat="1" ht="15">
      <c r="A46" s="461" t="s">
        <v>2309</v>
      </c>
      <c r="B46" s="462"/>
      <c r="C46" s="1314" t="str">
        <f>YEAR(C7)&amp;"-"&amp;MONTH(C7)</f>
        <v>2022-2</v>
      </c>
      <c r="D46" s="1315">
        <f>EDATE(C46,-1)</f>
        <v>44562</v>
      </c>
      <c r="E46" s="1315">
        <f t="shared" ref="E46:O46" si="16">EDATE(D46,-1)</f>
        <v>44531</v>
      </c>
      <c r="F46" s="1315">
        <f t="shared" si="16"/>
        <v>44501</v>
      </c>
      <c r="G46" s="1315">
        <f t="shared" si="16"/>
        <v>44470</v>
      </c>
      <c r="H46" s="1315">
        <f t="shared" si="16"/>
        <v>44440</v>
      </c>
      <c r="I46" s="1315">
        <f t="shared" si="16"/>
        <v>44409</v>
      </c>
      <c r="J46" s="1315">
        <f t="shared" si="16"/>
        <v>44378</v>
      </c>
      <c r="K46" s="1315">
        <f t="shared" si="16"/>
        <v>44348</v>
      </c>
      <c r="L46" s="1315">
        <f t="shared" si="16"/>
        <v>44317</v>
      </c>
      <c r="M46" s="1315">
        <f t="shared" si="16"/>
        <v>44287</v>
      </c>
      <c r="N46" s="1315">
        <f t="shared" si="16"/>
        <v>44256</v>
      </c>
      <c r="O46" s="1315">
        <f t="shared" si="16"/>
        <v>44228</v>
      </c>
      <c r="P46" s="2970"/>
      <c r="Q46" s="2935"/>
      <c r="R46" s="2935"/>
      <c r="S46" s="2935"/>
      <c r="T46" s="2935"/>
      <c r="U46" s="2935"/>
      <c r="V46" s="2935"/>
      <c r="W46" s="2935"/>
      <c r="X46" s="2935"/>
      <c r="Y46" s="2935"/>
      <c r="Z46" s="2935"/>
      <c r="AA46" s="2935"/>
      <c r="AB46" s="2935"/>
      <c r="AC46" s="2935"/>
      <c r="AD46" s="2935"/>
    </row>
    <row r="47" spans="1:30" s="112" customFormat="1" ht="15">
      <c r="A47" s="465"/>
      <c r="B47" s="466"/>
      <c r="C47" s="1313">
        <v>100</v>
      </c>
      <c r="D47" s="468"/>
      <c r="E47" s="468"/>
      <c r="F47" s="468"/>
      <c r="G47" s="468"/>
      <c r="H47" s="468"/>
      <c r="I47" s="468"/>
      <c r="J47" s="468"/>
      <c r="K47" s="468"/>
      <c r="L47" s="468"/>
      <c r="M47" s="469"/>
      <c r="N47" s="468"/>
      <c r="O47" s="470"/>
      <c r="P47" s="2933"/>
      <c r="Q47" s="2853"/>
      <c r="R47" s="2853"/>
      <c r="S47" s="2853"/>
      <c r="T47" s="2853"/>
      <c r="U47" s="2853"/>
      <c r="V47" s="2853"/>
      <c r="W47" s="2853"/>
      <c r="X47" s="2853"/>
      <c r="Y47" s="2853"/>
      <c r="Z47" s="2853"/>
      <c r="AA47" s="2853"/>
      <c r="AB47" s="2853"/>
      <c r="AC47" s="2853"/>
      <c r="AD47" s="2853"/>
    </row>
    <row r="48" spans="1:30" s="112" customFormat="1" ht="15.75" thickBot="1">
      <c r="A48" s="471" t="s">
        <v>2346</v>
      </c>
      <c r="B48" s="472"/>
      <c r="C48" s="473"/>
      <c r="D48" s="474"/>
      <c r="E48" s="474"/>
      <c r="F48" s="474"/>
      <c r="G48" s="474"/>
      <c r="H48" s="474"/>
      <c r="I48" s="474"/>
      <c r="J48" s="474"/>
      <c r="K48" s="474"/>
      <c r="L48" s="474"/>
      <c r="M48" s="475"/>
      <c r="N48" s="474"/>
      <c r="O48" s="476"/>
      <c r="P48" s="2933"/>
      <c r="Q48" s="2933"/>
      <c r="R48" s="2853"/>
      <c r="S48" s="2853"/>
      <c r="T48" s="2853"/>
      <c r="U48" s="2853"/>
      <c r="V48" s="2853"/>
      <c r="W48" s="2853"/>
      <c r="X48" s="2853"/>
      <c r="Y48" s="2853"/>
      <c r="Z48" s="2853"/>
      <c r="AA48" s="2853"/>
      <c r="AB48" s="2853"/>
      <c r="AC48" s="2853"/>
      <c r="AD48" s="2853"/>
    </row>
    <row r="49" spans="1:30" s="112" customFormat="1" ht="15">
      <c r="A49" s="477" t="s">
        <v>2311</v>
      </c>
      <c r="B49" s="466"/>
      <c r="C49" s="478" t="s">
        <v>2413</v>
      </c>
      <c r="D49" s="479"/>
      <c r="E49" s="479"/>
      <c r="F49" s="479"/>
      <c r="G49" s="479"/>
      <c r="H49" s="479"/>
      <c r="I49" s="479"/>
      <c r="J49" s="479"/>
      <c r="K49" s="479"/>
      <c r="L49" s="480"/>
      <c r="M49" s="481"/>
      <c r="N49" s="2946"/>
      <c r="O49" s="2946"/>
      <c r="P49" s="2971"/>
      <c r="Q49" s="2933"/>
      <c r="R49" s="2853"/>
      <c r="S49" s="2853"/>
      <c r="T49" s="2853"/>
      <c r="U49" s="2853"/>
      <c r="V49" s="2853"/>
      <c r="W49" s="2853"/>
      <c r="X49" s="2853"/>
      <c r="Y49" s="2853"/>
      <c r="Z49" s="2853"/>
      <c r="AA49" s="2853"/>
      <c r="AB49" s="2853"/>
      <c r="AC49" s="2853"/>
      <c r="AD49" s="2853"/>
    </row>
    <row r="50" spans="1:30" s="112" customFormat="1" ht="15.75" thickBot="1">
      <c r="A50" s="477"/>
      <c r="B50" s="466"/>
      <c r="C50" s="594">
        <v>100</v>
      </c>
      <c r="D50" s="468"/>
      <c r="E50" s="468"/>
      <c r="F50" s="468"/>
      <c r="G50" s="468"/>
      <c r="H50" s="468"/>
      <c r="I50" s="468"/>
      <c r="J50" s="468"/>
      <c r="K50" s="468"/>
      <c r="L50" s="468"/>
      <c r="M50" s="470"/>
      <c r="N50" s="2946"/>
      <c r="O50" s="2946"/>
      <c r="P50" s="2933"/>
      <c r="Q50" s="2933"/>
      <c r="R50" s="2853"/>
      <c r="S50" s="2853"/>
      <c r="T50" s="2853"/>
      <c r="U50" s="2853"/>
      <c r="V50" s="2853"/>
      <c r="W50" s="2853"/>
      <c r="X50" s="2853"/>
      <c r="Y50" s="2853"/>
      <c r="Z50" s="2853"/>
      <c r="AA50" s="2853"/>
      <c r="AB50" s="2853"/>
      <c r="AC50" s="2853"/>
      <c r="AD50" s="2853"/>
    </row>
    <row r="51" spans="1:30">
      <c r="A51" s="483" t="s">
        <v>2349</v>
      </c>
      <c r="B51" s="484" t="s">
        <v>2315</v>
      </c>
      <c r="C51" s="485">
        <f>C9</f>
        <v>0</v>
      </c>
      <c r="D51" s="486"/>
      <c r="E51" s="486"/>
      <c r="F51" s="486"/>
      <c r="G51" s="486"/>
      <c r="H51" s="486"/>
      <c r="I51" s="486"/>
      <c r="J51" s="486"/>
      <c r="K51" s="487"/>
      <c r="L51" s="488"/>
      <c r="M51" s="489"/>
      <c r="N51" s="2947"/>
      <c r="O51" s="2947"/>
      <c r="P51" s="2972"/>
      <c r="Q51" s="2933"/>
      <c r="R51" s="2919"/>
      <c r="S51" s="2919"/>
      <c r="T51" s="2919"/>
      <c r="U51" s="2919"/>
      <c r="V51" s="2919"/>
      <c r="W51" s="2919"/>
      <c r="X51" s="2919"/>
      <c r="Y51" s="2919"/>
      <c r="Z51" s="2919"/>
      <c r="AA51" s="2919"/>
      <c r="AB51" s="2919"/>
      <c r="AC51" s="2919"/>
      <c r="AD51" s="2919"/>
    </row>
    <row r="52" spans="1:30" ht="15.75" thickBot="1">
      <c r="A52" s="490"/>
      <c r="B52" s="491"/>
      <c r="C52" s="492">
        <v>100</v>
      </c>
      <c r="D52" s="492"/>
      <c r="E52" s="492"/>
      <c r="F52" s="492"/>
      <c r="G52" s="492"/>
      <c r="H52" s="492"/>
      <c r="I52" s="492"/>
      <c r="J52" s="492"/>
      <c r="K52" s="492"/>
      <c r="L52" s="492"/>
      <c r="M52" s="493"/>
      <c r="N52" s="2948"/>
      <c r="O52" s="2948"/>
      <c r="P52" s="2972"/>
      <c r="Q52" s="2933"/>
      <c r="R52" s="2919"/>
      <c r="S52" s="2919"/>
      <c r="T52" s="2919"/>
      <c r="U52" s="2919"/>
      <c r="V52" s="2919"/>
      <c r="W52" s="2919"/>
      <c r="X52" s="2919"/>
      <c r="Y52" s="2919"/>
      <c r="Z52" s="2919"/>
      <c r="AA52" s="2919"/>
      <c r="AB52" s="2919"/>
      <c r="AC52" s="2919"/>
      <c r="AD52" s="2919"/>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7"/>
      <c r="O53" s="2947"/>
      <c r="P53" s="2972"/>
      <c r="Q53" s="2933"/>
      <c r="R53" s="2919"/>
      <c r="S53" s="2919"/>
      <c r="T53" s="2919"/>
      <c r="U53" s="2919"/>
      <c r="V53" s="2919"/>
      <c r="W53" s="2919"/>
      <c r="X53" s="2919"/>
      <c r="Y53" s="2919"/>
      <c r="Z53" s="2919"/>
      <c r="AA53" s="2919"/>
      <c r="AB53" s="2919"/>
      <c r="AC53" s="2919"/>
      <c r="AD53" s="291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8"/>
      <c r="O54" s="2948"/>
      <c r="P54" s="2972"/>
      <c r="Q54" s="2933"/>
      <c r="R54" s="2919"/>
      <c r="S54" s="2919"/>
      <c r="T54" s="2919"/>
      <c r="U54" s="2919"/>
      <c r="V54" s="2919"/>
      <c r="W54" s="2919"/>
      <c r="X54" s="2919"/>
      <c r="Y54" s="2919"/>
      <c r="Z54" s="2919"/>
      <c r="AA54" s="2919"/>
      <c r="AB54" s="2919"/>
      <c r="AC54" s="2919"/>
      <c r="AD54" s="2919"/>
    </row>
    <row r="55" spans="1:30" ht="15.75" thickTop="1">
      <c r="A55" s="490"/>
      <c r="B55" s="615">
        <f>B11</f>
        <v>111</v>
      </c>
      <c r="C55" s="505"/>
      <c r="D55" s="505"/>
      <c r="E55" s="505"/>
      <c r="F55" s="505"/>
      <c r="G55" s="505"/>
      <c r="H55" s="505"/>
      <c r="I55" s="505"/>
      <c r="J55" s="505"/>
      <c r="K55" s="506"/>
      <c r="L55" s="507"/>
      <c r="M55" s="508"/>
      <c r="N55" s="2947"/>
      <c r="O55" s="2947"/>
      <c r="P55" s="2972"/>
      <c r="Q55" s="2933"/>
      <c r="R55" s="2919"/>
      <c r="S55" s="2919"/>
      <c r="T55" s="2919"/>
      <c r="U55" s="2919"/>
      <c r="V55" s="2919"/>
      <c r="W55" s="2919"/>
      <c r="X55" s="2919"/>
      <c r="Y55" s="2919"/>
      <c r="Z55" s="2919"/>
      <c r="AA55" s="2919"/>
      <c r="AB55" s="2919"/>
      <c r="AC55" s="2919"/>
      <c r="AD55" s="2919"/>
    </row>
    <row r="56" spans="1:30" ht="15.75" thickBot="1">
      <c r="A56" s="490"/>
      <c r="B56" s="491"/>
      <c r="C56" s="516"/>
      <c r="D56" s="492"/>
      <c r="E56" s="492"/>
      <c r="F56" s="492"/>
      <c r="G56" s="492"/>
      <c r="H56" s="492"/>
      <c r="I56" s="492"/>
      <c r="J56" s="492"/>
      <c r="K56" s="492"/>
      <c r="L56" s="492"/>
      <c r="M56" s="493"/>
      <c r="N56" s="2948"/>
      <c r="O56" s="2948"/>
      <c r="P56" s="2972"/>
      <c r="Q56" s="2933"/>
      <c r="R56" s="2919"/>
      <c r="S56" s="2919"/>
      <c r="T56" s="2919"/>
      <c r="U56" s="2919"/>
      <c r="V56" s="2919"/>
      <c r="W56" s="2919"/>
      <c r="X56" s="2919"/>
      <c r="Y56" s="2919"/>
      <c r="Z56" s="2919"/>
      <c r="AA56" s="2919"/>
      <c r="AB56" s="2919"/>
      <c r="AC56" s="2919"/>
      <c r="AD56" s="2919"/>
    </row>
    <row r="57" spans="1:30" s="429" customFormat="1" ht="15.75" thickTop="1">
      <c r="A57" s="509"/>
      <c r="B57" s="494">
        <f>B12</f>
        <v>111</v>
      </c>
      <c r="C57" s="505"/>
      <c r="D57" s="505"/>
      <c r="E57" s="505"/>
      <c r="F57" s="505"/>
      <c r="G57" s="510"/>
      <c r="H57" s="511"/>
      <c r="I57" s="511"/>
      <c r="J57" s="511"/>
      <c r="K57" s="511"/>
      <c r="L57" s="512"/>
      <c r="M57" s="513"/>
      <c r="N57" s="2949"/>
      <c r="O57" s="2949"/>
      <c r="P57" s="2973"/>
      <c r="Q57" s="2940"/>
      <c r="R57" s="2941"/>
      <c r="S57" s="2941"/>
      <c r="T57" s="2941"/>
      <c r="U57" s="2941"/>
      <c r="V57" s="2941"/>
      <c r="W57" s="2941"/>
      <c r="X57" s="2941"/>
      <c r="Y57" s="2941"/>
      <c r="Z57" s="2941"/>
      <c r="AA57" s="2941"/>
      <c r="AB57" s="2941"/>
      <c r="AC57" s="2941"/>
      <c r="AD57" s="2941"/>
    </row>
    <row r="58" spans="1:30" s="429" customFormat="1" ht="15.75" thickBot="1">
      <c r="A58" s="509"/>
      <c r="B58" s="499"/>
      <c r="C58" s="516"/>
      <c r="D58" s="492"/>
      <c r="E58" s="492"/>
      <c r="F58" s="492"/>
      <c r="G58" s="492"/>
      <c r="H58" s="492"/>
      <c r="I58" s="492"/>
      <c r="J58" s="492"/>
      <c r="K58" s="492"/>
      <c r="L58" s="492"/>
      <c r="M58" s="493"/>
      <c r="N58" s="2948"/>
      <c r="O58" s="2948"/>
      <c r="P58" s="2973"/>
      <c r="Q58" s="2940"/>
      <c r="R58" s="2941"/>
      <c r="S58" s="2941"/>
      <c r="T58" s="2941"/>
      <c r="U58" s="2941"/>
      <c r="V58" s="2941"/>
      <c r="W58" s="2941"/>
      <c r="X58" s="2941"/>
      <c r="Y58" s="2941"/>
      <c r="Z58" s="2941"/>
      <c r="AA58" s="2941"/>
      <c r="AB58" s="2941"/>
      <c r="AC58" s="2941"/>
      <c r="AD58" s="2941"/>
    </row>
    <row r="59" spans="1:30" s="429" customFormat="1" ht="15.75" thickTop="1">
      <c r="A59" s="509"/>
      <c r="B59" s="494">
        <f>B13</f>
        <v>111</v>
      </c>
      <c r="C59" s="505"/>
      <c r="D59" s="505"/>
      <c r="E59" s="505"/>
      <c r="F59" s="505"/>
      <c r="G59" s="510"/>
      <c r="H59" s="511"/>
      <c r="I59" s="511"/>
      <c r="J59" s="511"/>
      <c r="K59" s="511"/>
      <c r="L59" s="512"/>
      <c r="M59" s="513"/>
      <c r="N59" s="2949"/>
      <c r="O59" s="2949"/>
      <c r="P59" s="2917"/>
      <c r="Q59" s="2943"/>
      <c r="R59" s="2941"/>
      <c r="S59" s="2941"/>
      <c r="T59" s="2941"/>
      <c r="U59" s="2941"/>
      <c r="V59" s="2941"/>
      <c r="W59" s="2941"/>
      <c r="X59" s="2941"/>
      <c r="Y59" s="2941"/>
      <c r="Z59" s="2941"/>
      <c r="AA59" s="2941"/>
      <c r="AB59" s="2941"/>
      <c r="AC59" s="2941"/>
      <c r="AD59" s="2941"/>
    </row>
    <row r="60" spans="1:30" s="429" customFormat="1" ht="15.75" thickBot="1">
      <c r="A60" s="509"/>
      <c r="B60" s="499"/>
      <c r="C60" s="516"/>
      <c r="D60" s="516"/>
      <c r="E60" s="516"/>
      <c r="F60" s="516"/>
      <c r="G60" s="516"/>
      <c r="H60" s="518"/>
      <c r="I60" s="518"/>
      <c r="J60" s="518"/>
      <c r="K60" s="518"/>
      <c r="L60" s="518"/>
      <c r="M60" s="519"/>
      <c r="N60" s="2949"/>
      <c r="O60" s="2949"/>
      <c r="P60" s="2973"/>
      <c r="Q60" s="2940"/>
      <c r="R60" s="2941"/>
      <c r="S60" s="2941"/>
      <c r="T60" s="2941"/>
      <c r="U60" s="2941"/>
      <c r="V60" s="2941"/>
      <c r="W60" s="2941"/>
      <c r="X60" s="2941"/>
      <c r="Y60" s="2941"/>
      <c r="Z60" s="2941"/>
      <c r="AA60" s="2941"/>
      <c r="AB60" s="2941"/>
      <c r="AC60" s="2941"/>
      <c r="AD60" s="2941"/>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7"/>
      <c r="O61" s="2947"/>
      <c r="P61" s="2974"/>
      <c r="Q61" s="2933"/>
      <c r="R61" s="2919"/>
      <c r="S61" s="2919"/>
      <c r="T61" s="2919"/>
      <c r="U61" s="2919"/>
      <c r="V61" s="2919"/>
      <c r="W61" s="2919"/>
      <c r="X61" s="2919"/>
      <c r="Y61" s="2919"/>
      <c r="Z61" s="2919"/>
      <c r="AA61" s="2919"/>
      <c r="AB61" s="2919"/>
      <c r="AC61" s="2919"/>
      <c r="AD61" s="291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8"/>
      <c r="O62" s="2948"/>
      <c r="P62" s="2972"/>
      <c r="Q62" s="2933"/>
      <c r="R62" s="2919"/>
      <c r="S62" s="2919"/>
      <c r="T62" s="2919"/>
      <c r="U62" s="2919"/>
      <c r="V62" s="2919"/>
      <c r="W62" s="2919"/>
      <c r="X62" s="2919"/>
      <c r="Y62" s="2919"/>
      <c r="Z62" s="2919"/>
      <c r="AA62" s="2919"/>
      <c r="AB62" s="2919"/>
      <c r="AC62" s="2919"/>
      <c r="AD62" s="2919"/>
    </row>
    <row r="63" spans="1:30" ht="27.75" thickTop="1">
      <c r="A63" s="490"/>
      <c r="B63" s="494" t="s">
        <v>2501</v>
      </c>
      <c r="C63" s="534" t="s">
        <v>2358</v>
      </c>
      <c r="D63" s="534" t="s">
        <v>2359</v>
      </c>
      <c r="E63" s="534" t="s">
        <v>2360</v>
      </c>
      <c r="F63" s="534" t="s">
        <v>2361</v>
      </c>
      <c r="G63" s="534" t="s">
        <v>2362</v>
      </c>
      <c r="H63" s="495"/>
      <c r="I63" s="495"/>
      <c r="J63" s="495"/>
      <c r="K63" s="496"/>
      <c r="L63" s="497"/>
      <c r="M63" s="498"/>
      <c r="N63" s="2947"/>
      <c r="O63" s="2947"/>
      <c r="P63" s="2972"/>
      <c r="Q63" s="2933"/>
      <c r="R63" s="2919"/>
      <c r="S63" s="2919"/>
      <c r="T63" s="2919"/>
      <c r="U63" s="2919"/>
      <c r="V63" s="2919"/>
      <c r="W63" s="2919"/>
      <c r="X63" s="2919"/>
      <c r="Y63" s="2919"/>
      <c r="Z63" s="2919"/>
      <c r="AA63" s="2919"/>
      <c r="AB63" s="2919"/>
      <c r="AC63" s="2919"/>
      <c r="AD63" s="291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8"/>
      <c r="O64" s="2948"/>
      <c r="P64" s="2972"/>
      <c r="Q64" s="2933"/>
      <c r="R64" s="2919"/>
      <c r="S64" s="2919"/>
      <c r="T64" s="2919"/>
      <c r="U64" s="2919"/>
      <c r="V64" s="2919"/>
      <c r="W64" s="2919"/>
      <c r="X64" s="2919"/>
      <c r="Y64" s="2919"/>
      <c r="Z64" s="2919"/>
      <c r="AA64" s="2919"/>
      <c r="AB64" s="2919"/>
      <c r="AC64" s="2919"/>
      <c r="AD64" s="2919"/>
    </row>
    <row r="65" spans="1:30" ht="15.75" thickTop="1">
      <c r="A65" s="490"/>
      <c r="B65" s="502" t="s">
        <v>2450</v>
      </c>
      <c r="C65" s="615" t="s">
        <v>2436</v>
      </c>
      <c r="D65" s="615" t="s">
        <v>2437</v>
      </c>
      <c r="E65" s="615" t="s">
        <v>2438</v>
      </c>
      <c r="F65" s="615" t="s">
        <v>2439</v>
      </c>
      <c r="G65" s="615" t="s">
        <v>2440</v>
      </c>
      <c r="H65" s="495"/>
      <c r="I65" s="495"/>
      <c r="J65" s="495"/>
      <c r="K65" s="495"/>
      <c r="L65" s="495"/>
      <c r="M65" s="1259"/>
      <c r="N65" s="2948"/>
      <c r="O65" s="2948"/>
      <c r="P65" s="2972"/>
      <c r="Q65" s="2933"/>
      <c r="R65" s="2919"/>
      <c r="S65" s="2919"/>
      <c r="T65" s="2919"/>
      <c r="U65" s="2919"/>
      <c r="V65" s="2919"/>
      <c r="W65" s="2919"/>
      <c r="X65" s="2919"/>
      <c r="Y65" s="2919"/>
      <c r="Z65" s="2919"/>
      <c r="AA65" s="2919"/>
      <c r="AB65" s="2919"/>
      <c r="AC65" s="2919"/>
      <c r="AD65" s="291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8"/>
      <c r="O66" s="2948"/>
      <c r="P66" s="2972"/>
      <c r="Q66" s="2933"/>
      <c r="R66" s="2919"/>
      <c r="S66" s="2919"/>
      <c r="T66" s="2919"/>
      <c r="U66" s="2919"/>
      <c r="V66" s="2919"/>
      <c r="W66" s="2919"/>
      <c r="X66" s="2919"/>
      <c r="Y66" s="2919"/>
      <c r="Z66" s="2919"/>
      <c r="AA66" s="2919"/>
      <c r="AB66" s="2919"/>
      <c r="AC66" s="2919"/>
      <c r="AD66" s="2919"/>
    </row>
    <row r="67" spans="1:30" ht="15.75" thickTop="1">
      <c r="A67" s="490"/>
      <c r="B67" s="494" t="s">
        <v>2370</v>
      </c>
      <c r="C67" s="534" t="s">
        <v>2358</v>
      </c>
      <c r="D67" s="534" t="s">
        <v>2359</v>
      </c>
      <c r="E67" s="534" t="s">
        <v>2360</v>
      </c>
      <c r="F67" s="534" t="s">
        <v>2361</v>
      </c>
      <c r="G67" s="534" t="s">
        <v>2362</v>
      </c>
      <c r="H67" s="495"/>
      <c r="I67" s="495"/>
      <c r="J67" s="495"/>
      <c r="K67" s="496"/>
      <c r="L67" s="497"/>
      <c r="M67" s="498"/>
      <c r="N67" s="2947"/>
      <c r="O67" s="2947"/>
      <c r="P67" s="2972"/>
      <c r="Q67" s="2933"/>
      <c r="R67" s="2919"/>
      <c r="S67" s="2919"/>
      <c r="T67" s="2919"/>
      <c r="U67" s="2919"/>
      <c r="V67" s="2919"/>
      <c r="W67" s="2919"/>
      <c r="X67" s="2919"/>
      <c r="Y67" s="2919"/>
      <c r="Z67" s="2919"/>
      <c r="AA67" s="2919"/>
      <c r="AB67" s="2919"/>
      <c r="AC67" s="2919"/>
      <c r="AD67" s="291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8"/>
      <c r="O68" s="2948"/>
      <c r="P68" s="2972"/>
      <c r="Q68" s="2933"/>
      <c r="R68" s="2919"/>
      <c r="S68" s="2919"/>
      <c r="T68" s="2919"/>
      <c r="U68" s="2919"/>
      <c r="V68" s="2919"/>
      <c r="W68" s="2919"/>
      <c r="X68" s="2919"/>
      <c r="Y68" s="2919"/>
      <c r="Z68" s="2919"/>
      <c r="AA68" s="2919"/>
      <c r="AB68" s="2919"/>
      <c r="AC68" s="2919"/>
      <c r="AD68" s="2919"/>
    </row>
    <row r="69" spans="1:30" ht="15.75" thickTop="1">
      <c r="A69" s="490"/>
      <c r="B69" s="494" t="s">
        <v>2490</v>
      </c>
      <c r="C69" s="510"/>
      <c r="D69" s="510"/>
      <c r="E69" s="510"/>
      <c r="F69" s="510"/>
      <c r="G69" s="510"/>
      <c r="H69" s="539"/>
      <c r="I69" s="539"/>
      <c r="J69" s="539"/>
      <c r="K69" s="540"/>
      <c r="L69" s="541"/>
      <c r="M69" s="542"/>
      <c r="N69" s="2947"/>
      <c r="O69" s="2947"/>
      <c r="P69" s="2972"/>
      <c r="Q69" s="2933"/>
      <c r="R69" s="2919"/>
      <c r="S69" s="2919"/>
      <c r="T69" s="2919"/>
      <c r="U69" s="2919"/>
      <c r="V69" s="2919"/>
      <c r="W69" s="2919"/>
      <c r="X69" s="2919"/>
      <c r="Y69" s="2919"/>
      <c r="Z69" s="2919"/>
      <c r="AA69" s="2919"/>
      <c r="AB69" s="2919"/>
      <c r="AC69" s="2919"/>
      <c r="AD69" s="2919"/>
    </row>
    <row r="70" spans="1:30" ht="15.75" thickBot="1">
      <c r="A70" s="490"/>
      <c r="B70" s="499"/>
      <c r="C70" s="500">
        <v>100</v>
      </c>
      <c r="D70" s="500">
        <f>C70-$K22</f>
        <v>100</v>
      </c>
      <c r="E70" s="500"/>
      <c r="F70" s="500"/>
      <c r="G70" s="500"/>
      <c r="H70" s="500"/>
      <c r="I70" s="500"/>
      <c r="J70" s="500"/>
      <c r="K70" s="500"/>
      <c r="L70" s="500"/>
      <c r="M70" s="501"/>
      <c r="N70" s="2948"/>
      <c r="O70" s="2948"/>
      <c r="P70" s="2972"/>
      <c r="Q70" s="2933"/>
      <c r="R70" s="2919"/>
      <c r="S70" s="2919"/>
      <c r="T70" s="2919"/>
      <c r="U70" s="2919"/>
      <c r="V70" s="2919"/>
      <c r="W70" s="2919"/>
      <c r="X70" s="2919"/>
      <c r="Y70" s="2919"/>
      <c r="Z70" s="2919"/>
      <c r="AA70" s="2919"/>
      <c r="AB70" s="2919"/>
      <c r="AC70" s="2919"/>
      <c r="AD70" s="2919"/>
    </row>
    <row r="71" spans="1:30" s="112" customFormat="1" ht="15.75" thickTop="1">
      <c r="A71" s="535"/>
      <c r="B71" s="494">
        <f>B23</f>
        <v>111</v>
      </c>
      <c r="C71" s="505"/>
      <c r="D71" s="505"/>
      <c r="E71" s="505"/>
      <c r="F71" s="505"/>
      <c r="G71" s="510"/>
      <c r="H71" s="510"/>
      <c r="I71" s="510"/>
      <c r="J71" s="510"/>
      <c r="K71" s="510"/>
      <c r="L71" s="536"/>
      <c r="M71" s="537"/>
      <c r="N71" s="2946"/>
      <c r="O71" s="2946"/>
      <c r="P71" s="2972"/>
      <c r="Q71" s="2933"/>
      <c r="R71" s="2853"/>
      <c r="S71" s="2853"/>
      <c r="T71" s="2853"/>
      <c r="U71" s="2853"/>
      <c r="V71" s="2853"/>
      <c r="W71" s="2853"/>
      <c r="X71" s="2853"/>
      <c r="Y71" s="2853"/>
      <c r="Z71" s="2853"/>
      <c r="AA71" s="2853"/>
      <c r="AB71" s="2853"/>
      <c r="AC71" s="2853"/>
      <c r="AD71" s="2853"/>
    </row>
    <row r="72" spans="1:30" s="112" customFormat="1" ht="15.75" thickBot="1">
      <c r="A72" s="535"/>
      <c r="B72" s="499"/>
      <c r="C72" s="516"/>
      <c r="D72" s="492"/>
      <c r="E72" s="492"/>
      <c r="F72" s="492"/>
      <c r="G72" s="492"/>
      <c r="H72" s="492"/>
      <c r="I72" s="492"/>
      <c r="J72" s="492"/>
      <c r="K72" s="492"/>
      <c r="L72" s="492"/>
      <c r="M72" s="493"/>
      <c r="N72" s="2948"/>
      <c r="O72" s="2948"/>
      <c r="P72" s="2972"/>
      <c r="Q72" s="2933"/>
      <c r="R72" s="2853"/>
      <c r="S72" s="2853"/>
      <c r="T72" s="2853"/>
      <c r="U72" s="2853"/>
      <c r="V72" s="2853"/>
      <c r="W72" s="2853"/>
      <c r="X72" s="2853"/>
      <c r="Y72" s="2853"/>
      <c r="Z72" s="2853"/>
      <c r="AA72" s="2853"/>
      <c r="AB72" s="2853"/>
      <c r="AC72" s="2853"/>
      <c r="AD72" s="2853"/>
    </row>
    <row r="73" spans="1:30" s="112" customFormat="1" ht="15.75" thickTop="1">
      <c r="A73" s="535"/>
      <c r="B73" s="494">
        <f>B24</f>
        <v>111</v>
      </c>
      <c r="C73" s="505"/>
      <c r="D73" s="505"/>
      <c r="E73" s="505"/>
      <c r="F73" s="505"/>
      <c r="G73" s="510"/>
      <c r="H73" s="510"/>
      <c r="I73" s="510"/>
      <c r="J73" s="510"/>
      <c r="K73" s="510"/>
      <c r="L73" s="510"/>
      <c r="M73" s="537"/>
      <c r="N73" s="2946"/>
      <c r="O73" s="2946"/>
      <c r="P73" s="2972"/>
      <c r="Q73" s="2933"/>
      <c r="R73" s="2853"/>
      <c r="S73" s="2853"/>
      <c r="T73" s="2853"/>
      <c r="U73" s="2853"/>
      <c r="V73" s="2853"/>
      <c r="W73" s="2853"/>
      <c r="X73" s="2853"/>
      <c r="Y73" s="2853"/>
      <c r="Z73" s="2853"/>
      <c r="AA73" s="2853"/>
      <c r="AB73" s="2853"/>
      <c r="AC73" s="2853"/>
      <c r="AD73" s="2853"/>
    </row>
    <row r="74" spans="1:30" s="112" customFormat="1" ht="15.75" thickBot="1">
      <c r="A74" s="535"/>
      <c r="B74" s="499"/>
      <c r="C74" s="516"/>
      <c r="D74" s="492"/>
      <c r="E74" s="492"/>
      <c r="F74" s="492"/>
      <c r="G74" s="492"/>
      <c r="H74" s="492"/>
      <c r="I74" s="492"/>
      <c r="J74" s="492"/>
      <c r="K74" s="492"/>
      <c r="L74" s="492"/>
      <c r="M74" s="493"/>
      <c r="N74" s="2948"/>
      <c r="O74" s="2948"/>
      <c r="P74" s="2972"/>
      <c r="Q74" s="2933"/>
      <c r="R74" s="2853"/>
      <c r="S74" s="2853"/>
      <c r="T74" s="2853"/>
      <c r="U74" s="2853"/>
      <c r="V74" s="2853"/>
      <c r="W74" s="2853"/>
      <c r="X74" s="2853"/>
      <c r="Y74" s="2853"/>
      <c r="Z74" s="2853"/>
      <c r="AA74" s="2853"/>
      <c r="AB74" s="2853"/>
      <c r="AC74" s="2853"/>
      <c r="AD74" s="2853"/>
    </row>
    <row r="75" spans="1:30" s="429" customFormat="1" ht="15.75" thickTop="1">
      <c r="A75" s="509"/>
      <c r="B75" s="494">
        <f>B25</f>
        <v>111</v>
      </c>
      <c r="C75" s="505"/>
      <c r="D75" s="505"/>
      <c r="E75" s="505"/>
      <c r="F75" s="505"/>
      <c r="G75" s="510"/>
      <c r="H75" s="511"/>
      <c r="I75" s="511"/>
      <c r="J75" s="511"/>
      <c r="K75" s="511"/>
      <c r="L75" s="512"/>
      <c r="M75" s="513"/>
      <c r="N75" s="2949"/>
      <c r="O75" s="2949"/>
      <c r="P75" s="2973"/>
      <c r="Q75" s="2940"/>
      <c r="R75" s="2941"/>
      <c r="S75" s="2941"/>
      <c r="T75" s="2941"/>
      <c r="U75" s="2941"/>
      <c r="V75" s="2941"/>
      <c r="W75" s="2941"/>
      <c r="X75" s="2941"/>
      <c r="Y75" s="2941"/>
      <c r="Z75" s="2941"/>
      <c r="AA75" s="2941"/>
      <c r="AB75" s="2941"/>
      <c r="AC75" s="2941"/>
      <c r="AD75" s="2941"/>
    </row>
    <row r="76" spans="1:30" s="429" customFormat="1" ht="15.75" thickBot="1">
      <c r="A76" s="509"/>
      <c r="B76" s="499"/>
      <c r="C76" s="516"/>
      <c r="D76" s="516"/>
      <c r="E76" s="516"/>
      <c r="F76" s="516"/>
      <c r="G76" s="492"/>
      <c r="H76" s="492"/>
      <c r="I76" s="492"/>
      <c r="J76" s="492"/>
      <c r="K76" s="492"/>
      <c r="L76" s="492"/>
      <c r="M76" s="493"/>
      <c r="N76" s="2949"/>
      <c r="O76" s="2949"/>
      <c r="P76" s="2973"/>
      <c r="Q76" s="2940"/>
      <c r="R76" s="2941"/>
      <c r="S76" s="2941"/>
      <c r="T76" s="2941"/>
      <c r="U76" s="2941"/>
      <c r="V76" s="2941"/>
      <c r="W76" s="2941"/>
      <c r="X76" s="2941"/>
      <c r="Y76" s="2941"/>
      <c r="Z76" s="2941"/>
      <c r="AA76" s="2941"/>
      <c r="AB76" s="2941"/>
      <c r="AC76" s="2941"/>
      <c r="AD76" s="2941"/>
    </row>
    <row r="77" spans="1:30" ht="15" thickTop="1">
      <c r="A77" s="483" t="s">
        <v>2324</v>
      </c>
      <c r="B77" s="484" t="s">
        <v>2377</v>
      </c>
      <c r="C77" s="510"/>
      <c r="D77" s="510"/>
      <c r="E77" s="486"/>
      <c r="F77" s="486"/>
      <c r="G77" s="486"/>
      <c r="H77" s="486"/>
      <c r="I77" s="486"/>
      <c r="J77" s="486"/>
      <c r="K77" s="487"/>
      <c r="L77" s="488"/>
      <c r="M77" s="489"/>
      <c r="N77" s="2947"/>
      <c r="O77" s="2947"/>
      <c r="P77" s="2972"/>
      <c r="Q77" s="2933"/>
      <c r="R77" s="2919"/>
      <c r="S77" s="2919"/>
      <c r="T77" s="2919"/>
      <c r="U77" s="2919"/>
      <c r="V77" s="2919"/>
      <c r="W77" s="2919"/>
      <c r="X77" s="2919"/>
      <c r="Y77" s="2919"/>
      <c r="Z77" s="2919"/>
      <c r="AA77" s="2919"/>
      <c r="AB77" s="2919"/>
      <c r="AC77" s="2919"/>
      <c r="AD77" s="291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6"/>
      <c r="O79" s="2946"/>
      <c r="P79" s="2972"/>
      <c r="Q79" s="2933"/>
      <c r="R79" s="2919"/>
      <c r="S79" s="2919"/>
      <c r="T79" s="2919"/>
      <c r="U79" s="2919"/>
      <c r="V79" s="2919"/>
      <c r="W79" s="2919"/>
      <c r="X79" s="2919"/>
      <c r="Y79" s="2919"/>
      <c r="Z79" s="2919"/>
      <c r="AA79" s="2919"/>
      <c r="AB79" s="2919"/>
      <c r="AC79" s="2919"/>
      <c r="AD79" s="2919"/>
    </row>
    <row r="80" spans="1:30" ht="15">
      <c r="A80" s="490"/>
      <c r="B80" s="502"/>
      <c r="C80" s="559">
        <v>0.5</v>
      </c>
      <c r="D80" s="559">
        <v>0.6</v>
      </c>
      <c r="E80" s="559">
        <v>0.7</v>
      </c>
      <c r="F80" s="559">
        <v>0.8</v>
      </c>
      <c r="G80" s="559">
        <v>0.9</v>
      </c>
      <c r="H80" s="559">
        <v>1.0001</v>
      </c>
      <c r="I80" s="615"/>
      <c r="J80" s="615"/>
      <c r="K80" s="623"/>
      <c r="L80" s="624"/>
      <c r="M80" s="625"/>
      <c r="N80" s="2946"/>
      <c r="O80" s="2946"/>
      <c r="P80" s="2972"/>
      <c r="Q80" s="2933"/>
      <c r="R80" s="2919"/>
      <c r="S80" s="2919"/>
      <c r="T80" s="2919"/>
      <c r="U80" s="2919"/>
      <c r="V80" s="2919"/>
      <c r="W80" s="2919"/>
      <c r="X80" s="2919"/>
      <c r="Y80" s="2919"/>
      <c r="Z80" s="2919"/>
      <c r="AA80" s="2919"/>
      <c r="AB80" s="2919"/>
      <c r="AC80" s="2919"/>
      <c r="AD80" s="291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5"/>
      <c r="B82" s="502" t="s">
        <v>2494</v>
      </c>
      <c r="C82" s="510"/>
      <c r="D82" s="510"/>
      <c r="E82" s="539"/>
      <c r="F82" s="539"/>
      <c r="G82" s="539"/>
      <c r="H82" s="539"/>
      <c r="I82" s="539"/>
      <c r="J82" s="539"/>
      <c r="K82" s="540"/>
      <c r="L82" s="541"/>
      <c r="M82" s="542"/>
      <c r="N82" s="2947"/>
      <c r="O82" s="2947"/>
      <c r="P82" s="2972"/>
      <c r="Q82" s="2933"/>
      <c r="R82" s="2919"/>
      <c r="S82" s="2919"/>
      <c r="T82" s="2919"/>
      <c r="U82" s="2919"/>
      <c r="V82" s="2919"/>
      <c r="W82" s="2919"/>
      <c r="X82" s="2919"/>
      <c r="Y82" s="2919"/>
      <c r="Z82" s="2919"/>
      <c r="AA82" s="2919"/>
      <c r="AB82" s="2919"/>
      <c r="AC82" s="2919"/>
      <c r="AD82" s="291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5"/>
      <c r="B84" s="494" t="s">
        <v>2502</v>
      </c>
      <c r="C84" s="510"/>
      <c r="D84" s="510"/>
      <c r="E84" s="510"/>
      <c r="F84" s="510"/>
      <c r="G84" s="510"/>
      <c r="H84" s="510"/>
      <c r="I84" s="539"/>
      <c r="J84" s="539"/>
      <c r="K84" s="540"/>
      <c r="L84" s="541"/>
      <c r="M84" s="542"/>
      <c r="N84" s="2947"/>
      <c r="O84" s="2947"/>
      <c r="P84" s="2972"/>
      <c r="Q84" s="2933"/>
      <c r="R84" s="2919"/>
      <c r="S84" s="2919"/>
      <c r="T84" s="2919"/>
      <c r="U84" s="2919"/>
      <c r="V84" s="2919"/>
      <c r="W84" s="2919"/>
      <c r="X84" s="2919"/>
      <c r="Y84" s="2919"/>
      <c r="Z84" s="2919"/>
      <c r="AA84" s="2919"/>
      <c r="AB84" s="2919"/>
      <c r="AC84" s="2919"/>
      <c r="AD84" s="291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5"/>
      <c r="B87" s="502"/>
      <c r="C87" s="551"/>
      <c r="D87" s="551"/>
      <c r="E87" s="551"/>
      <c r="F87" s="551"/>
      <c r="G87" s="551"/>
      <c r="H87" s="551"/>
      <c r="I87" s="551"/>
      <c r="J87" s="552"/>
      <c r="K87" s="552"/>
      <c r="L87" s="553"/>
      <c r="M87" s="554"/>
      <c r="N87" s="2947"/>
      <c r="O87" s="2947"/>
      <c r="P87" s="2972"/>
      <c r="Q87" s="2933"/>
      <c r="R87" s="2919"/>
      <c r="S87" s="2919"/>
      <c r="T87" s="2919"/>
      <c r="U87" s="2919"/>
      <c r="V87" s="2919"/>
      <c r="W87" s="2919"/>
      <c r="X87" s="2919"/>
      <c r="Y87" s="2919"/>
      <c r="Z87" s="2919"/>
      <c r="AA87" s="2919"/>
      <c r="AB87" s="2919"/>
      <c r="AC87" s="2919"/>
      <c r="AD87" s="2919"/>
    </row>
    <row r="88" spans="1:30" ht="15.75" thickBot="1">
      <c r="A88" s="490"/>
      <c r="B88" s="499"/>
      <c r="C88" s="516"/>
      <c r="D88" s="492"/>
      <c r="E88" s="492"/>
      <c r="F88" s="492"/>
      <c r="G88" s="492"/>
      <c r="H88" s="492"/>
      <c r="I88" s="492"/>
      <c r="J88" s="492"/>
      <c r="K88" s="492"/>
      <c r="L88" s="492"/>
      <c r="M88" s="492"/>
      <c r="N88" s="2948"/>
      <c r="O88" s="2948"/>
      <c r="P88" s="2972"/>
      <c r="Q88" s="2933"/>
      <c r="R88" s="2919"/>
      <c r="S88" s="2919"/>
      <c r="T88" s="2919"/>
      <c r="U88" s="2919"/>
      <c r="V88" s="2919"/>
      <c r="W88" s="2919"/>
      <c r="X88" s="2919"/>
      <c r="Y88" s="2919"/>
      <c r="Z88" s="2919"/>
      <c r="AA88" s="2919"/>
      <c r="AB88" s="2919"/>
      <c r="AC88" s="2919"/>
      <c r="AD88" s="2919"/>
    </row>
    <row r="89" spans="1:30" s="429" customFormat="1" ht="15" thickTop="1">
      <c r="A89" s="549"/>
      <c r="B89" s="494" t="s">
        <v>2504</v>
      </c>
      <c r="C89" s="510"/>
      <c r="D89" s="510"/>
      <c r="E89" s="510"/>
      <c r="F89" s="510"/>
      <c r="G89" s="510"/>
      <c r="H89" s="510"/>
      <c r="I89" s="510"/>
      <c r="J89" s="510"/>
      <c r="K89" s="510"/>
      <c r="L89" s="510"/>
      <c r="M89" s="537"/>
      <c r="N89" s="2949"/>
      <c r="O89" s="2949"/>
      <c r="P89" s="2973"/>
      <c r="Q89" s="2940"/>
      <c r="R89" s="2941"/>
      <c r="S89" s="2941"/>
      <c r="T89" s="2941"/>
      <c r="U89" s="2941"/>
      <c r="V89" s="2941"/>
      <c r="W89" s="2941"/>
      <c r="X89" s="2941"/>
      <c r="Y89" s="2941"/>
      <c r="Z89" s="2941"/>
      <c r="AA89" s="2941"/>
      <c r="AB89" s="2941"/>
      <c r="AC89" s="2941"/>
      <c r="AD89" s="2941"/>
    </row>
    <row r="90" spans="1:30" s="429" customFormat="1" ht="15.75" thickBot="1">
      <c r="A90" s="509"/>
      <c r="B90" s="499"/>
      <c r="C90" s="516"/>
      <c r="D90" s="492"/>
      <c r="E90" s="492"/>
      <c r="F90" s="492"/>
      <c r="G90" s="492"/>
      <c r="H90" s="492"/>
      <c r="I90" s="492"/>
      <c r="J90" s="492"/>
      <c r="K90" s="492"/>
      <c r="L90" s="492"/>
      <c r="M90" s="493"/>
      <c r="N90" s="2949"/>
      <c r="O90" s="2949"/>
      <c r="P90" s="2973"/>
      <c r="Q90" s="2940"/>
      <c r="R90" s="2941"/>
      <c r="S90" s="2941"/>
      <c r="T90" s="2941"/>
      <c r="U90" s="2941"/>
      <c r="V90" s="2941"/>
      <c r="W90" s="2941"/>
      <c r="X90" s="2941"/>
      <c r="Y90" s="2941"/>
      <c r="Z90" s="2941"/>
      <c r="AA90" s="2941"/>
      <c r="AB90" s="2941"/>
      <c r="AC90" s="2941"/>
      <c r="AD90" s="2941"/>
    </row>
    <row r="91" spans="1:30" ht="15" thickTop="1">
      <c r="A91" s="555"/>
      <c r="B91" s="494">
        <f>B32</f>
        <v>111</v>
      </c>
      <c r="C91" s="505"/>
      <c r="D91" s="505"/>
      <c r="E91" s="505"/>
      <c r="F91" s="505"/>
      <c r="G91" s="510"/>
      <c r="H91" s="511"/>
      <c r="I91" s="511"/>
      <c r="J91" s="511"/>
      <c r="K91" s="511"/>
      <c r="L91" s="512"/>
      <c r="M91" s="513"/>
      <c r="N91" s="2947"/>
      <c r="O91" s="2947"/>
      <c r="P91" s="2972"/>
      <c r="Q91" s="2933"/>
      <c r="R91" s="2919"/>
      <c r="S91" s="2919"/>
      <c r="T91" s="2919"/>
      <c r="U91" s="2919"/>
      <c r="V91" s="2919"/>
      <c r="W91" s="2919"/>
      <c r="X91" s="2919"/>
      <c r="Y91" s="2919"/>
      <c r="Z91" s="2919"/>
      <c r="AA91" s="2919"/>
      <c r="AB91" s="2919"/>
      <c r="AC91" s="2919"/>
      <c r="AD91" s="2919"/>
    </row>
    <row r="92" spans="1:30" ht="15.75" thickBot="1">
      <c r="A92" s="490"/>
      <c r="B92" s="499"/>
      <c r="C92" s="516"/>
      <c r="D92" s="492"/>
      <c r="E92" s="492"/>
      <c r="F92" s="492"/>
      <c r="G92" s="516"/>
      <c r="H92" s="518"/>
      <c r="I92" s="518"/>
      <c r="J92" s="518"/>
      <c r="K92" s="518"/>
      <c r="L92" s="518"/>
      <c r="M92" s="519"/>
      <c r="N92" s="2948"/>
      <c r="O92" s="2948"/>
      <c r="P92" s="2972"/>
      <c r="Q92" s="2933"/>
      <c r="R92" s="2919"/>
      <c r="S92" s="2919"/>
      <c r="T92" s="2919"/>
      <c r="U92" s="2919"/>
      <c r="V92" s="2919"/>
      <c r="W92" s="2919"/>
      <c r="X92" s="2919"/>
      <c r="Y92" s="2919"/>
      <c r="Z92" s="2919"/>
      <c r="AA92" s="2919"/>
      <c r="AB92" s="2919"/>
      <c r="AC92" s="2919"/>
      <c r="AD92" s="2919"/>
    </row>
    <row r="93" spans="1:30" ht="15" thickTop="1">
      <c r="A93" s="555"/>
      <c r="B93" s="494">
        <f>B33</f>
        <v>111</v>
      </c>
      <c r="C93" s="505"/>
      <c r="D93" s="505"/>
      <c r="E93" s="505"/>
      <c r="F93" s="505"/>
      <c r="G93" s="510"/>
      <c r="H93" s="511"/>
      <c r="I93" s="511"/>
      <c r="J93" s="511"/>
      <c r="K93" s="511"/>
      <c r="L93" s="512"/>
      <c r="M93" s="513"/>
      <c r="N93" s="2947"/>
      <c r="O93" s="2947"/>
      <c r="P93" s="2972"/>
      <c r="Q93" s="2933"/>
      <c r="R93" s="2919"/>
      <c r="S93" s="2919"/>
      <c r="T93" s="2919"/>
      <c r="U93" s="2919"/>
      <c r="V93" s="2919"/>
      <c r="W93" s="2919"/>
      <c r="X93" s="2919"/>
      <c r="Y93" s="2919"/>
      <c r="Z93" s="2919"/>
      <c r="AA93" s="2919"/>
      <c r="AB93" s="2919"/>
      <c r="AC93" s="2919"/>
      <c r="AD93" s="2919"/>
    </row>
    <row r="94" spans="1:30" ht="15.75" thickBot="1">
      <c r="A94" s="490"/>
      <c r="B94" s="499"/>
      <c r="C94" s="516"/>
      <c r="D94" s="492"/>
      <c r="E94" s="492"/>
      <c r="F94" s="492"/>
      <c r="G94" s="516"/>
      <c r="H94" s="518"/>
      <c r="I94" s="518"/>
      <c r="J94" s="518"/>
      <c r="K94" s="518"/>
      <c r="L94" s="518"/>
      <c r="M94" s="519"/>
      <c r="N94" s="2948"/>
      <c r="O94" s="2948"/>
      <c r="P94" s="2972"/>
      <c r="Q94" s="2933"/>
      <c r="R94" s="2919"/>
      <c r="S94" s="2919"/>
      <c r="T94" s="2919"/>
      <c r="U94" s="2919"/>
      <c r="V94" s="2919"/>
      <c r="W94" s="2919"/>
      <c r="X94" s="2919"/>
      <c r="Y94" s="2919"/>
      <c r="Z94" s="2919"/>
      <c r="AA94" s="2919"/>
      <c r="AB94" s="2919"/>
      <c r="AC94" s="2919"/>
      <c r="AD94" s="2919"/>
    </row>
    <row r="95" spans="1:30" ht="15" thickTop="1">
      <c r="A95" s="555"/>
      <c r="B95" s="591">
        <f>B34</f>
        <v>111</v>
      </c>
      <c r="C95" s="505"/>
      <c r="D95" s="505"/>
      <c r="E95" s="505"/>
      <c r="F95" s="505"/>
      <c r="G95" s="510"/>
      <c r="H95" s="511"/>
      <c r="I95" s="511"/>
      <c r="J95" s="511"/>
      <c r="K95" s="511"/>
      <c r="L95" s="512"/>
      <c r="M95" s="513"/>
      <c r="N95" s="2948"/>
      <c r="O95" s="2948"/>
      <c r="P95" s="2975"/>
      <c r="Q95" s="2962"/>
      <c r="R95" s="2919"/>
      <c r="S95" s="2919"/>
      <c r="T95" s="2919"/>
      <c r="U95" s="2919"/>
      <c r="V95" s="2919"/>
      <c r="W95" s="2919"/>
      <c r="X95" s="2919"/>
      <c r="Y95" s="2919"/>
      <c r="Z95" s="2919"/>
      <c r="AA95" s="2919"/>
      <c r="AB95" s="2919"/>
      <c r="AC95" s="2919"/>
      <c r="AD95" s="2919"/>
    </row>
    <row r="96" spans="1:30" ht="15.75" thickBot="1">
      <c r="A96" s="490"/>
      <c r="B96" s="499"/>
      <c r="C96" s="516"/>
      <c r="D96" s="516"/>
      <c r="E96" s="516"/>
      <c r="F96" s="516"/>
      <c r="G96" s="516"/>
      <c r="H96" s="518"/>
      <c r="I96" s="518"/>
      <c r="J96" s="518"/>
      <c r="K96" s="518"/>
      <c r="L96" s="518"/>
      <c r="M96" s="519"/>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5"/>
      <c r="B98" s="1065"/>
      <c r="C98" s="1065"/>
      <c r="D98" s="1065"/>
      <c r="E98" s="1065"/>
      <c r="F98" s="1065"/>
      <c r="G98" s="1065"/>
      <c r="H98" s="1065"/>
      <c r="I98" s="1065"/>
      <c r="J98" s="1065"/>
      <c r="K98" s="1066"/>
      <c r="L98" s="1067"/>
      <c r="M98" s="1065"/>
      <c r="N98" s="2919"/>
      <c r="O98" s="2919"/>
      <c r="P98" s="2919"/>
      <c r="Q98" s="2919"/>
      <c r="R98" s="2919"/>
      <c r="S98" s="2919"/>
      <c r="T98" s="2919"/>
      <c r="U98" s="2919"/>
      <c r="V98" s="2919"/>
      <c r="W98" s="2919"/>
      <c r="X98" s="2919"/>
      <c r="Y98" s="2919"/>
      <c r="Z98" s="2919"/>
      <c r="AA98" s="2919"/>
      <c r="AB98" s="2919"/>
      <c r="AC98" s="2919"/>
      <c r="AD98" s="2919"/>
    </row>
    <row r="99" spans="1:30">
      <c r="A99" s="1065"/>
      <c r="B99" s="1065"/>
      <c r="C99" s="1065"/>
      <c r="D99" s="1065"/>
      <c r="E99" s="1065"/>
      <c r="F99" s="1065"/>
      <c r="G99" s="1065"/>
      <c r="H99" s="1065"/>
      <c r="I99" s="1065"/>
      <c r="J99" s="1065"/>
      <c r="K99" s="1066"/>
      <c r="L99" s="1067"/>
      <c r="M99" s="1065"/>
      <c r="N99" s="2919"/>
      <c r="O99" s="2919"/>
      <c r="P99" s="2919"/>
      <c r="Q99" s="2919"/>
      <c r="R99" s="2919"/>
      <c r="S99" s="2919"/>
      <c r="T99" s="2919"/>
      <c r="U99" s="2919"/>
      <c r="V99" s="2919"/>
      <c r="W99" s="2919"/>
      <c r="X99" s="2919"/>
      <c r="Y99" s="2919"/>
      <c r="Z99" s="2919"/>
      <c r="AA99" s="2919"/>
      <c r="AB99" s="2919"/>
      <c r="AC99" s="2919"/>
      <c r="AD99" s="2919"/>
    </row>
    <row r="100" spans="1:30">
      <c r="A100" s="1065"/>
      <c r="B100" s="1065"/>
      <c r="C100" s="1065"/>
      <c r="D100" s="1065"/>
      <c r="E100" s="1065"/>
      <c r="F100" s="1065"/>
      <c r="G100" s="1065"/>
      <c r="H100" s="1065"/>
      <c r="I100" s="1065"/>
      <c r="J100" s="1065"/>
      <c r="K100" s="1066"/>
      <c r="L100" s="1067"/>
      <c r="M100" s="1065"/>
      <c r="N100" s="2919"/>
      <c r="O100" s="2919"/>
      <c r="P100" s="2919"/>
      <c r="Q100" s="2919"/>
      <c r="R100" s="2919"/>
      <c r="S100" s="2919"/>
      <c r="T100" s="2919"/>
      <c r="U100" s="2919"/>
      <c r="V100" s="2919"/>
      <c r="W100" s="2919"/>
      <c r="X100" s="2919"/>
      <c r="Y100" s="2919"/>
      <c r="Z100" s="2919"/>
      <c r="AA100" s="2919"/>
      <c r="AB100" s="2919"/>
      <c r="AC100" s="2919"/>
      <c r="AD100" s="2919"/>
    </row>
    <row r="101" spans="1:30">
      <c r="A101" s="1065"/>
      <c r="B101" s="1065"/>
      <c r="C101" s="1065"/>
      <c r="D101" s="1065"/>
      <c r="E101" s="1065"/>
      <c r="F101" s="1065"/>
      <c r="G101" s="1065"/>
      <c r="H101" s="1065"/>
      <c r="I101" s="1065"/>
      <c r="J101" s="1065"/>
      <c r="K101" s="1066"/>
      <c r="L101" s="1067"/>
      <c r="M101" s="1065"/>
      <c r="N101" s="2919"/>
      <c r="O101" s="2919"/>
      <c r="P101" s="2919"/>
      <c r="Q101" s="2919"/>
      <c r="R101" s="2919"/>
      <c r="S101" s="2919"/>
      <c r="T101" s="2919"/>
      <c r="U101" s="2919"/>
      <c r="V101" s="2919"/>
      <c r="W101" s="2919"/>
      <c r="X101" s="2919"/>
      <c r="Y101" s="2919"/>
      <c r="Z101" s="2919"/>
      <c r="AA101" s="2919"/>
      <c r="AB101" s="2919"/>
      <c r="AC101" s="2919"/>
      <c r="AD101" s="2919"/>
    </row>
    <row r="102" spans="1:30">
      <c r="A102" s="1065"/>
      <c r="B102" s="1065"/>
      <c r="C102" s="1065"/>
      <c r="D102" s="1065"/>
      <c r="E102" s="1065"/>
      <c r="F102" s="1065"/>
      <c r="G102" s="1065"/>
      <c r="H102" s="1065"/>
      <c r="I102" s="1065"/>
      <c r="J102" s="1065"/>
      <c r="K102" s="1066"/>
      <c r="L102" s="1067"/>
      <c r="M102" s="1065"/>
      <c r="N102" s="2919"/>
      <c r="O102" s="2919"/>
      <c r="P102" s="2919"/>
      <c r="Q102" s="2919"/>
      <c r="R102" s="2919"/>
      <c r="S102" s="2919"/>
      <c r="T102" s="2919"/>
      <c r="U102" s="2919"/>
      <c r="V102" s="2919"/>
      <c r="W102" s="2919"/>
      <c r="X102" s="2919"/>
      <c r="Y102" s="2919"/>
      <c r="Z102" s="2919"/>
      <c r="AA102" s="2919"/>
      <c r="AB102" s="2919"/>
      <c r="AC102" s="2919"/>
      <c r="AD102" s="2919"/>
    </row>
    <row r="103" spans="1:30">
      <c r="A103" s="1065"/>
      <c r="B103" s="1065"/>
      <c r="C103" s="1065"/>
      <c r="D103" s="1065"/>
      <c r="E103" s="1065"/>
      <c r="F103" s="1065"/>
      <c r="G103" s="1065"/>
      <c r="H103" s="1065"/>
      <c r="I103" s="1065"/>
      <c r="J103" s="1065"/>
      <c r="K103" s="1066"/>
      <c r="L103" s="1067"/>
      <c r="M103" s="1065"/>
      <c r="N103" s="1065"/>
      <c r="O103" s="1065"/>
      <c r="P103" s="2919"/>
      <c r="Q103" s="2919"/>
      <c r="R103" s="2919"/>
      <c r="S103" s="2919"/>
      <c r="T103" s="2919"/>
      <c r="U103" s="2919"/>
      <c r="V103" s="2919"/>
      <c r="W103" s="2919"/>
      <c r="X103" s="2919"/>
      <c r="Y103" s="2919"/>
      <c r="Z103" s="2919"/>
      <c r="AA103" s="2919"/>
      <c r="AB103" s="2919"/>
      <c r="AC103" s="2919"/>
      <c r="AD103" s="291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24" zoomScale="80" zoomScaleNormal="60" zoomScaleSheetLayoutView="80" workbookViewId="0">
      <selection activeCell="C5" sqref="C5:D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3" style="362" customWidth="1"/>
    <col min="7" max="7" width="17.5" style="362" customWidth="1"/>
    <col min="8" max="8" width="14.125" style="362" customWidth="1"/>
    <col min="9" max="9" width="14.5" style="362" customWidth="1"/>
    <col min="10" max="10" width="12.25" style="362" customWidth="1"/>
    <col min="11" max="11" width="17" style="451" customWidth="1"/>
    <col min="12" max="12" width="12.25" style="452" customWidth="1"/>
    <col min="13" max="13" width="7.125" style="362" customWidth="1"/>
    <col min="14" max="14" width="8.75" style="362" customWidth="1"/>
    <col min="15" max="15" width="7.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0.25" customHeight="1">
      <c r="A2" s="206" t="s">
        <v>2088</v>
      </c>
      <c r="B2" s="626">
        <f>F66</f>
        <v>12438</v>
      </c>
      <c r="C2" s="1036"/>
      <c r="D2" s="1036"/>
      <c r="E2" s="1037"/>
      <c r="F2" s="1038"/>
      <c r="G2" s="1037"/>
      <c r="H2" s="1037"/>
      <c r="I2" s="1037"/>
      <c r="J2" s="1037"/>
      <c r="K2" s="1039"/>
      <c r="L2" s="3293" t="s">
        <v>3393</v>
      </c>
      <c r="M2" s="2929"/>
      <c r="N2" s="2929"/>
      <c r="O2" s="2929"/>
      <c r="P2" s="706"/>
      <c r="Q2" s="706"/>
      <c r="R2" s="706"/>
      <c r="S2" s="706"/>
      <c r="T2" s="706"/>
      <c r="U2" s="706"/>
      <c r="V2" s="706"/>
      <c r="W2" s="706"/>
      <c r="X2" s="706"/>
      <c r="Y2" s="706"/>
      <c r="Z2" s="706"/>
      <c r="AA2" s="706"/>
      <c r="AB2" s="706"/>
      <c r="AC2" s="707"/>
      <c r="AD2" s="356"/>
    </row>
    <row r="3" spans="1:30" s="357" customFormat="1" ht="22.5" customHeight="1" thickBot="1">
      <c r="A3" s="208" t="s">
        <v>2090</v>
      </c>
      <c r="B3" s="565">
        <f>ROUND(IF(D3="",B2*10000/'数据-汇总表'!E3,B2*10000/D3),0)</f>
        <v>1951</v>
      </c>
      <c r="C3" s="208" t="s">
        <v>2507</v>
      </c>
      <c r="D3" s="1323"/>
      <c r="E3" s="1037"/>
      <c r="F3" s="1038"/>
      <c r="G3" s="1037"/>
      <c r="H3" s="1037"/>
      <c r="I3" s="1037"/>
      <c r="J3" s="1037"/>
      <c r="K3" s="1039"/>
      <c r="L3" s="3257" t="s">
        <v>3343</v>
      </c>
      <c r="M3" s="3295">
        <f>地价!P5</f>
        <v>0</v>
      </c>
      <c r="N3" s="3296">
        <f t="shared" ref="N3:N19" si="0">1+M3</f>
        <v>1</v>
      </c>
      <c r="O3" s="3297">
        <f t="shared" ref="O3:O19" si="1">ROUND(100/N3,1)</f>
        <v>100</v>
      </c>
      <c r="P3" s="706"/>
      <c r="Q3" s="706"/>
      <c r="R3" s="706"/>
      <c r="S3" s="706"/>
      <c r="T3" s="706"/>
      <c r="U3" s="706"/>
      <c r="V3" s="706"/>
      <c r="W3" s="706"/>
      <c r="X3" s="706"/>
      <c r="Y3" s="706"/>
      <c r="Z3" s="706"/>
      <c r="AA3" s="706"/>
      <c r="AB3" s="723"/>
      <c r="AC3" s="720"/>
    </row>
    <row r="4" spans="1:30" ht="15">
      <c r="A4" s="360" t="s">
        <v>2406</v>
      </c>
      <c r="B4" s="361"/>
      <c r="C4" s="3562" t="s">
        <v>2407</v>
      </c>
      <c r="D4" s="3563"/>
      <c r="E4" s="3564" t="s">
        <v>2408</v>
      </c>
      <c r="F4" s="3565"/>
      <c r="G4" s="3562" t="s">
        <v>2409</v>
      </c>
      <c r="H4" s="3563"/>
      <c r="I4" s="3562" t="s">
        <v>2410</v>
      </c>
      <c r="J4" s="3563"/>
      <c r="K4" s="566" t="s">
        <v>2411</v>
      </c>
      <c r="L4" s="3257" t="s">
        <v>3126</v>
      </c>
      <c r="M4" s="3298">
        <f>地价!P6</f>
        <v>0</v>
      </c>
      <c r="N4" s="3296">
        <f t="shared" si="0"/>
        <v>1</v>
      </c>
      <c r="O4" s="3297">
        <f t="shared" si="1"/>
        <v>100</v>
      </c>
      <c r="P4" s="3611" t="s">
        <v>2412</v>
      </c>
      <c r="Q4" s="3567"/>
      <c r="R4" s="3572" t="s">
        <v>2408</v>
      </c>
      <c r="S4" s="3573"/>
      <c r="T4" s="3572" t="s">
        <v>2409</v>
      </c>
      <c r="U4" s="3573"/>
      <c r="V4" s="3578" t="s">
        <v>2410</v>
      </c>
      <c r="W4" s="3578"/>
      <c r="X4" s="1505"/>
      <c r="Y4" s="3572" t="s">
        <v>2412</v>
      </c>
      <c r="Z4" s="3573"/>
      <c r="AA4" s="3559" t="s">
        <v>2408</v>
      </c>
      <c r="AB4" s="3560" t="s">
        <v>2409</v>
      </c>
      <c r="AC4" s="3559" t="s">
        <v>2410</v>
      </c>
    </row>
    <row r="5" spans="1:30" ht="54.75" customHeight="1" thickBot="1">
      <c r="A5" s="363"/>
      <c r="B5" s="364"/>
      <c r="C5" s="3581" t="s">
        <v>2303</v>
      </c>
      <c r="D5" s="3582"/>
      <c r="E5" s="3588" t="str">
        <f>土地一级开发成本案例!G22</f>
        <v>大兴区瀛海镇西区C1-C5土地一级开发项目YZ00-0803-6024、6025、6027、6028等地块</v>
      </c>
      <c r="F5" s="3589"/>
      <c r="G5" s="3581" t="str">
        <f>土地一级开发成本案例!G24</f>
        <v>大兴区黄村镇三合庄改造区土地一级开发项目DX00-0202-6008、6009
地块</v>
      </c>
      <c r="H5" s="3582"/>
      <c r="I5" s="3581" t="str">
        <f>土地一级开发成本案例!G30</f>
        <v>大兴区庞各庄镇镇区改造土地一级开发项目（DX06-0103-6001、6002、6003）地块</v>
      </c>
      <c r="J5" s="3582"/>
      <c r="K5" s="566"/>
      <c r="L5" s="3257" t="s">
        <v>3003</v>
      </c>
      <c r="M5" s="3295">
        <f>地价!P7</f>
        <v>4.7999999999999996E-3</v>
      </c>
      <c r="N5" s="3296">
        <f t="shared" si="0"/>
        <v>1.0047999999999999</v>
      </c>
      <c r="O5" s="3297">
        <f t="shared" si="1"/>
        <v>99.5</v>
      </c>
      <c r="P5" s="3612"/>
      <c r="Q5" s="3569"/>
      <c r="R5" s="3574"/>
      <c r="S5" s="3575"/>
      <c r="T5" s="3574"/>
      <c r="U5" s="3575"/>
      <c r="V5" s="3578"/>
      <c r="W5" s="3578"/>
      <c r="X5" s="1505"/>
      <c r="Y5" s="3574"/>
      <c r="Z5" s="3575"/>
      <c r="AA5" s="3560"/>
      <c r="AB5" s="3560"/>
      <c r="AC5" s="3560"/>
    </row>
    <row r="6" spans="1:30" ht="13.5" hidden="1" customHeight="1" thickBot="1">
      <c r="A6" s="365"/>
      <c r="B6" s="366"/>
      <c r="C6" s="3579" t="s">
        <v>2307</v>
      </c>
      <c r="D6" s="3580"/>
      <c r="E6" s="3586" t="s">
        <v>2307</v>
      </c>
      <c r="F6" s="3587"/>
      <c r="G6" s="3579" t="s">
        <v>2307</v>
      </c>
      <c r="H6" s="3580"/>
      <c r="I6" s="3579" t="s">
        <v>2307</v>
      </c>
      <c r="J6" s="3580"/>
      <c r="K6" s="566" t="s">
        <v>2308</v>
      </c>
      <c r="L6" s="3257" t="s">
        <v>3002</v>
      </c>
      <c r="M6" s="3298">
        <f>地价!P8</f>
        <v>9.4999999999999998E-3</v>
      </c>
      <c r="N6" s="3296">
        <f t="shared" si="0"/>
        <v>1.0095000000000001</v>
      </c>
      <c r="O6" s="3297">
        <f t="shared" si="1"/>
        <v>99.1</v>
      </c>
      <c r="P6" s="3613"/>
      <c r="Q6" s="3571"/>
      <c r="R6" s="3574"/>
      <c r="S6" s="3575"/>
      <c r="T6" s="3576"/>
      <c r="U6" s="3577"/>
      <c r="V6" s="3578"/>
      <c r="W6" s="3578"/>
      <c r="X6" s="1505"/>
      <c r="Y6" s="3576"/>
      <c r="Z6" s="3577"/>
      <c r="AA6" s="3561"/>
      <c r="AB6" s="3561"/>
      <c r="AC6" s="3561"/>
    </row>
    <row r="7" spans="1:30" s="112" customFormat="1" ht="15.75" thickBot="1">
      <c r="A7" s="367" t="s">
        <v>2309</v>
      </c>
      <c r="B7" s="368"/>
      <c r="C7" s="369">
        <f>'数据-取费表'!B2</f>
        <v>44617</v>
      </c>
      <c r="D7" s="370">
        <v>100</v>
      </c>
      <c r="E7" s="371">
        <v>43221</v>
      </c>
      <c r="F7" s="372">
        <f>O18</f>
        <v>98.4</v>
      </c>
      <c r="G7" s="2126">
        <f>E7</f>
        <v>43221</v>
      </c>
      <c r="H7" s="370">
        <f>O18</f>
        <v>98.4</v>
      </c>
      <c r="I7" s="2126">
        <v>43435</v>
      </c>
      <c r="J7" s="370">
        <f>O16</f>
        <v>99.1</v>
      </c>
      <c r="K7" s="567"/>
      <c r="L7" s="3257" t="s">
        <v>3001</v>
      </c>
      <c r="M7" s="3295">
        <f>地价!P9</f>
        <v>1.11E-2</v>
      </c>
      <c r="N7" s="3296">
        <f t="shared" si="0"/>
        <v>1.0111000000000001</v>
      </c>
      <c r="O7" s="3297">
        <f t="shared" si="1"/>
        <v>98.9</v>
      </c>
      <c r="P7" s="3585" t="s">
        <v>2310</v>
      </c>
      <c r="Q7" s="3585"/>
      <c r="R7" s="708" t="s">
        <v>17</v>
      </c>
      <c r="S7" s="709">
        <f t="shared" ref="S7:S15" si="2">F7</f>
        <v>98.4</v>
      </c>
      <c r="T7" s="708" t="s">
        <v>17</v>
      </c>
      <c r="U7" s="709">
        <f t="shared" ref="U7:U15" si="3">H7</f>
        <v>98.4</v>
      </c>
      <c r="V7" s="708" t="s">
        <v>17</v>
      </c>
      <c r="W7" s="709">
        <f t="shared" ref="W7:W15" si="4">J7</f>
        <v>99.1</v>
      </c>
      <c r="X7" s="710"/>
      <c r="Y7" s="3583" t="s">
        <v>2310</v>
      </c>
      <c r="Z7" s="3584"/>
      <c r="AA7" s="711">
        <f>D7/F7</f>
        <v>1.0162601626016259</v>
      </c>
      <c r="AB7" s="711">
        <f>D7/H7</f>
        <v>1.0162601626016259</v>
      </c>
      <c r="AC7" s="711">
        <f>D7/J7</f>
        <v>1.0090817356205852</v>
      </c>
    </row>
    <row r="8" spans="1:30" s="112" customFormat="1" ht="15.75" thickBot="1">
      <c r="A8" s="367" t="s">
        <v>2311</v>
      </c>
      <c r="B8" s="368"/>
      <c r="C8" s="373" t="s">
        <v>2312</v>
      </c>
      <c r="D8" s="370">
        <v>100</v>
      </c>
      <c r="E8" s="373" t="s">
        <v>3391</v>
      </c>
      <c r="F8" s="372">
        <f>SUMIF(73:73,E8,74:74)-SUMIF(73:73,C8,74:74)+100</f>
        <v>100</v>
      </c>
      <c r="G8" s="373" t="s">
        <v>3391</v>
      </c>
      <c r="H8" s="370">
        <f>SUMIF(73:73,G8,74:74)-SUMIF(73:73,C8,74:74)+100</f>
        <v>100</v>
      </c>
      <c r="I8" s="373" t="s">
        <v>3391</v>
      </c>
      <c r="J8" s="370">
        <f>SUMIF(73:73,I8,74:74)-SUMIF(73:73,C8,74:74)+100</f>
        <v>100</v>
      </c>
      <c r="K8" s="567"/>
      <c r="L8" s="3257" t="s">
        <v>2998</v>
      </c>
      <c r="M8" s="3298">
        <f>地价!P10</f>
        <v>2.35E-2</v>
      </c>
      <c r="N8" s="3296">
        <f t="shared" si="0"/>
        <v>1.0235000000000001</v>
      </c>
      <c r="O8" s="3297">
        <f t="shared" si="1"/>
        <v>97.7</v>
      </c>
      <c r="P8" s="3585" t="s">
        <v>2313</v>
      </c>
      <c r="Q8" s="3584"/>
      <c r="R8" s="708" t="s">
        <v>17</v>
      </c>
      <c r="S8" s="709">
        <f t="shared" si="2"/>
        <v>100</v>
      </c>
      <c r="T8" s="708" t="s">
        <v>17</v>
      </c>
      <c r="U8" s="709">
        <f t="shared" si="3"/>
        <v>100</v>
      </c>
      <c r="V8" s="708" t="s">
        <v>17</v>
      </c>
      <c r="W8" s="709">
        <f t="shared" si="4"/>
        <v>100</v>
      </c>
      <c r="X8" s="710"/>
      <c r="Y8" s="3583" t="s">
        <v>2313</v>
      </c>
      <c r="Z8" s="3584"/>
      <c r="AA8" s="711">
        <f t="shared" ref="AA8:AA45" si="5">D8/F8</f>
        <v>1</v>
      </c>
      <c r="AB8" s="711">
        <f t="shared" ref="AB8:AB45" si="6">D8/H8</f>
        <v>1</v>
      </c>
      <c r="AC8" s="711">
        <f t="shared" ref="AC8:AC45" si="7">D8/J8</f>
        <v>1</v>
      </c>
    </row>
    <row r="9" spans="1:30" s="112" customFormat="1" hidden="1">
      <c r="A9" s="374" t="s">
        <v>2314</v>
      </c>
      <c r="B9" s="67" t="s">
        <v>2315</v>
      </c>
      <c r="C9" s="2129" t="s">
        <v>3131</v>
      </c>
      <c r="D9" s="130">
        <v>100</v>
      </c>
      <c r="E9" s="2129" t="s">
        <v>3131</v>
      </c>
      <c r="F9" s="130">
        <f>SUMIF(75:75,E9,76:76)-SUMIF(75:75,C9,76:76)+100</f>
        <v>100</v>
      </c>
      <c r="G9" s="2129" t="s">
        <v>3131</v>
      </c>
      <c r="H9" s="130">
        <f>SUMIF(75:75,G9,76:76)-SUMIF(75:75,C9,76:76)+100</f>
        <v>100</v>
      </c>
      <c r="I9" s="2129" t="s">
        <v>3131</v>
      </c>
      <c r="J9" s="130">
        <f>SUMIF(75:75,I9,76:76)-SUMIF(75:75,C9,76:76)+100</f>
        <v>100</v>
      </c>
      <c r="K9" s="567"/>
      <c r="L9" s="3257" t="s">
        <v>2997</v>
      </c>
      <c r="M9" s="3295">
        <f>地价!P11</f>
        <v>4.8999999999999998E-3</v>
      </c>
      <c r="N9" s="3296">
        <f t="shared" si="0"/>
        <v>1.0048999999999999</v>
      </c>
      <c r="O9" s="3297">
        <f t="shared" si="1"/>
        <v>99.5</v>
      </c>
      <c r="P9" s="3544" t="s">
        <v>2316</v>
      </c>
      <c r="Q9" s="1493" t="str">
        <f t="shared" ref="Q9:Q15" si="8">B9</f>
        <v>用途</v>
      </c>
      <c r="R9" s="708" t="s">
        <v>17</v>
      </c>
      <c r="S9" s="709">
        <f t="shared" si="2"/>
        <v>100</v>
      </c>
      <c r="T9" s="708" t="s">
        <v>17</v>
      </c>
      <c r="U9" s="709">
        <f t="shared" si="3"/>
        <v>100</v>
      </c>
      <c r="V9" s="708" t="s">
        <v>17</v>
      </c>
      <c r="W9" s="709">
        <f t="shared" si="4"/>
        <v>100</v>
      </c>
      <c r="X9" s="710"/>
      <c r="Y9" s="3558" t="s">
        <v>2317</v>
      </c>
      <c r="Z9" s="55" t="str">
        <f t="shared" ref="Z9:Z15" si="9">Q9</f>
        <v>用途</v>
      </c>
      <c r="AA9" s="711">
        <f t="shared" si="5"/>
        <v>1</v>
      </c>
      <c r="AB9" s="711">
        <f t="shared" si="6"/>
        <v>1</v>
      </c>
      <c r="AC9" s="711">
        <f t="shared" si="7"/>
        <v>1</v>
      </c>
    </row>
    <row r="10" spans="1:30" s="385" customFormat="1" ht="27" hidden="1">
      <c r="A10" s="379"/>
      <c r="B10" s="380" t="s">
        <v>2318</v>
      </c>
      <c r="C10" s="390">
        <v>70</v>
      </c>
      <c r="D10" s="131">
        <v>100</v>
      </c>
      <c r="E10" s="423" t="s">
        <v>3394</v>
      </c>
      <c r="F10" s="131">
        <f>ROUND(100/'数据-取费表'!G16,0)</f>
        <v>100</v>
      </c>
      <c r="G10" s="421" t="s">
        <v>3394</v>
      </c>
      <c r="H10" s="131">
        <f>ROUND(100/'数据-取费表'!G16,0)</f>
        <v>100</v>
      </c>
      <c r="I10" s="421" t="s">
        <v>3394</v>
      </c>
      <c r="J10" s="131">
        <f>ROUND(100/'数据-取费表'!G16,0)</f>
        <v>100</v>
      </c>
      <c r="K10" s="627"/>
      <c r="L10" s="3257" t="s">
        <v>2811</v>
      </c>
      <c r="M10" s="3298">
        <f>地价!P12</f>
        <v>5.0000000000000001E-3</v>
      </c>
      <c r="N10" s="3296">
        <f t="shared" si="0"/>
        <v>1.0049999999999999</v>
      </c>
      <c r="O10" s="3297">
        <f t="shared" si="1"/>
        <v>99.5</v>
      </c>
      <c r="P10" s="3544"/>
      <c r="Q10" s="1493" t="str">
        <f t="shared" si="8"/>
        <v>土地使用年限（年）</v>
      </c>
      <c r="R10" s="708" t="s">
        <v>17</v>
      </c>
      <c r="S10" s="709">
        <f t="shared" si="2"/>
        <v>100</v>
      </c>
      <c r="T10" s="708" t="s">
        <v>17</v>
      </c>
      <c r="U10" s="709">
        <f t="shared" si="3"/>
        <v>100</v>
      </c>
      <c r="V10" s="708" t="s">
        <v>17</v>
      </c>
      <c r="W10" s="709">
        <f t="shared" si="4"/>
        <v>100</v>
      </c>
      <c r="X10" s="710"/>
      <c r="Y10" s="3558"/>
      <c r="Z10" s="55" t="str">
        <f t="shared" si="9"/>
        <v>土地使用年限（年）</v>
      </c>
      <c r="AA10" s="711">
        <f t="shared" si="5"/>
        <v>1</v>
      </c>
      <c r="AB10" s="711">
        <f t="shared" si="6"/>
        <v>1</v>
      </c>
      <c r="AC10" s="711">
        <f t="shared" si="7"/>
        <v>1</v>
      </c>
    </row>
    <row r="11" spans="1:30" ht="15" hidden="1">
      <c r="A11" s="386"/>
      <c r="B11" s="380" t="s">
        <v>2319</v>
      </c>
      <c r="C11" s="387">
        <f>'数据-汇总表'!I6</f>
        <v>1.91</v>
      </c>
      <c r="D11" s="131">
        <v>100</v>
      </c>
      <c r="E11" s="387">
        <f>C11</f>
        <v>1.91</v>
      </c>
      <c r="F11" s="131">
        <f>LOOKUP(E11,80:80,81:81)-LOOKUP(C11,80:80,81:81)+100</f>
        <v>100</v>
      </c>
      <c r="G11" s="388">
        <f>C11</f>
        <v>1.91</v>
      </c>
      <c r="H11" s="131">
        <f>LOOKUP(G11,80:80,81:81)-LOOKUP(C11,80:80,81:81)+100</f>
        <v>100</v>
      </c>
      <c r="I11" s="387">
        <f>C11</f>
        <v>1.91</v>
      </c>
      <c r="J11" s="131">
        <f>LOOKUP(I11,80:80,81:81)-LOOKUP(C11,80:80,81:81)+100</f>
        <v>100</v>
      </c>
      <c r="K11" s="628"/>
      <c r="L11" s="3257" t="s">
        <v>2809</v>
      </c>
      <c r="M11" s="3295">
        <f>地价!P13</f>
        <v>2.0999999999999999E-3</v>
      </c>
      <c r="N11" s="3296">
        <f t="shared" si="0"/>
        <v>1.0021</v>
      </c>
      <c r="O11" s="3297">
        <f t="shared" si="1"/>
        <v>99.8</v>
      </c>
      <c r="P11" s="3544"/>
      <c r="Q11" s="1493" t="str">
        <f t="shared" si="8"/>
        <v>容积率</v>
      </c>
      <c r="R11" s="708" t="s">
        <v>17</v>
      </c>
      <c r="S11" s="709">
        <f t="shared" si="2"/>
        <v>100</v>
      </c>
      <c r="T11" s="708" t="s">
        <v>17</v>
      </c>
      <c r="U11" s="709">
        <f t="shared" si="3"/>
        <v>100</v>
      </c>
      <c r="V11" s="708" t="s">
        <v>17</v>
      </c>
      <c r="W11" s="709">
        <f t="shared" si="4"/>
        <v>100</v>
      </c>
      <c r="X11" s="710"/>
      <c r="Y11" s="3558"/>
      <c r="Z11" s="55" t="str">
        <f t="shared" si="9"/>
        <v>容积率</v>
      </c>
      <c r="AA11" s="711">
        <f t="shared" si="5"/>
        <v>1</v>
      </c>
      <c r="AB11" s="711">
        <f t="shared" si="6"/>
        <v>1</v>
      </c>
      <c r="AC11" s="711">
        <f t="shared" si="7"/>
        <v>1</v>
      </c>
    </row>
    <row r="12" spans="1:30" s="112" customFormat="1" ht="15" hidden="1">
      <c r="A12" s="389"/>
      <c r="B12" s="2045" t="s">
        <v>2508</v>
      </c>
      <c r="C12" s="390"/>
      <c r="D12" s="391">
        <v>100</v>
      </c>
      <c r="E12" s="423"/>
      <c r="F12" s="131">
        <f>SUMIF(82:82,E12,83:83)-SUMIF(82:82,C12,83:83)+100</f>
        <v>100</v>
      </c>
      <c r="G12" s="421"/>
      <c r="H12" s="131">
        <f>SUMIF(82:82,G12,83:83)-SUMIF(82:82,C12,83:83)+100</f>
        <v>100</v>
      </c>
      <c r="I12" s="423"/>
      <c r="J12" s="131">
        <f>SUMIF(82:82,I12,83:83)-SUMIF(82:82,C12,83:83)+100</f>
        <v>100</v>
      </c>
      <c r="K12" s="627"/>
      <c r="L12" s="3257" t="s">
        <v>2808</v>
      </c>
      <c r="M12" s="3298">
        <f>地价!P14</f>
        <v>5.4000000000000003E-3</v>
      </c>
      <c r="N12" s="3296">
        <f t="shared" si="0"/>
        <v>1.0054000000000001</v>
      </c>
      <c r="O12" s="3297">
        <f t="shared" si="1"/>
        <v>99.5</v>
      </c>
      <c r="P12" s="3544"/>
      <c r="Q12" s="1493" t="str">
        <f t="shared" si="8"/>
        <v>配建</v>
      </c>
      <c r="R12" s="708" t="s">
        <v>17</v>
      </c>
      <c r="S12" s="709">
        <f t="shared" si="2"/>
        <v>100</v>
      </c>
      <c r="T12" s="708" t="s">
        <v>17</v>
      </c>
      <c r="U12" s="709">
        <f t="shared" si="3"/>
        <v>100</v>
      </c>
      <c r="V12" s="708" t="s">
        <v>17</v>
      </c>
      <c r="W12" s="709">
        <f t="shared" si="4"/>
        <v>100</v>
      </c>
      <c r="X12" s="710"/>
      <c r="Y12" s="3558"/>
      <c r="Z12" s="55" t="str">
        <f t="shared" si="9"/>
        <v>配建</v>
      </c>
      <c r="AA12" s="711">
        <f>D12/F12</f>
        <v>1</v>
      </c>
      <c r="AB12" s="711">
        <f>D12/H12</f>
        <v>1</v>
      </c>
      <c r="AC12" s="711">
        <f>D12/J12</f>
        <v>1</v>
      </c>
    </row>
    <row r="13" spans="1:30" ht="15" hidden="1">
      <c r="A13" s="386"/>
      <c r="B13" s="2045">
        <v>111</v>
      </c>
      <c r="C13" s="392"/>
      <c r="D13" s="393">
        <v>100</v>
      </c>
      <c r="E13" s="505"/>
      <c r="F13" s="131">
        <f>SUMIF(84:84,E13,85:85)-SUMIF(84:84,C13,85:85)+100</f>
        <v>100</v>
      </c>
      <c r="G13" s="629"/>
      <c r="H13" s="393">
        <f>SUMIF(84:84,G13,85:85)-SUMIF(84:84,C13,85:85)+100</f>
        <v>100</v>
      </c>
      <c r="I13" s="629"/>
      <c r="J13" s="393">
        <f>SUMIF(84:84,I13,85:85)-SUMIF(84:84,C13,85:85)+100</f>
        <v>100</v>
      </c>
      <c r="K13" s="627"/>
      <c r="L13" s="3257" t="s">
        <v>2807</v>
      </c>
      <c r="M13" s="3295">
        <f>地价!P15</f>
        <v>6.0000000000000001E-3</v>
      </c>
      <c r="N13" s="3296">
        <f t="shared" si="0"/>
        <v>1.006</v>
      </c>
      <c r="O13" s="3297">
        <f t="shared" si="1"/>
        <v>99.4</v>
      </c>
      <c r="P13" s="3544"/>
      <c r="Q13" s="1493">
        <f t="shared" si="8"/>
        <v>111</v>
      </c>
      <c r="R13" s="708" t="s">
        <v>17</v>
      </c>
      <c r="S13" s="709">
        <f t="shared" si="2"/>
        <v>100</v>
      </c>
      <c r="T13" s="708" t="s">
        <v>17</v>
      </c>
      <c r="U13" s="709">
        <f t="shared" si="3"/>
        <v>100</v>
      </c>
      <c r="V13" s="708" t="s">
        <v>17</v>
      </c>
      <c r="W13" s="709">
        <f t="shared" si="4"/>
        <v>100</v>
      </c>
      <c r="X13" s="710"/>
      <c r="Y13" s="3558"/>
      <c r="Z13" s="55">
        <f t="shared" si="9"/>
        <v>111</v>
      </c>
      <c r="AA13" s="711">
        <f>D13/F13</f>
        <v>1</v>
      </c>
      <c r="AB13" s="711">
        <f>D13/H13</f>
        <v>1</v>
      </c>
      <c r="AC13" s="711">
        <f>D13/J13</f>
        <v>1</v>
      </c>
    </row>
    <row r="14" spans="1:30" ht="15.75" hidden="1" thickBot="1">
      <c r="A14" s="394"/>
      <c r="B14" s="2047">
        <v>111</v>
      </c>
      <c r="C14" s="395"/>
      <c r="D14" s="396">
        <v>100</v>
      </c>
      <c r="E14" s="505"/>
      <c r="F14" s="396">
        <f>SUMIF(86:86,E14,87:87)-SUMIF(86:86,C14,87:87)+100</f>
        <v>100</v>
      </c>
      <c r="G14" s="629"/>
      <c r="H14" s="396">
        <f>SUMIF(86:86,G14,87:87)-SUMIF(86:86,C14,87:87)+100</f>
        <v>100</v>
      </c>
      <c r="I14" s="629"/>
      <c r="J14" s="396">
        <f>SUMIF(86:86,I14,87:87)-SUMIF(86:86,C14,87:87)+100</f>
        <v>100</v>
      </c>
      <c r="K14" s="627"/>
      <c r="L14" s="3257" t="s">
        <v>2805</v>
      </c>
      <c r="M14" s="3298">
        <f>地价!P16</f>
        <v>1.6200000000000003E-2</v>
      </c>
      <c r="N14" s="3296">
        <f t="shared" si="0"/>
        <v>1.0162</v>
      </c>
      <c r="O14" s="3297">
        <f t="shared" si="1"/>
        <v>98.4</v>
      </c>
      <c r="P14" s="3544"/>
      <c r="Q14" s="1493">
        <f t="shared" si="8"/>
        <v>111</v>
      </c>
      <c r="R14" s="708" t="s">
        <v>17</v>
      </c>
      <c r="S14" s="709">
        <f t="shared" si="2"/>
        <v>100</v>
      </c>
      <c r="T14" s="708" t="s">
        <v>17</v>
      </c>
      <c r="U14" s="709">
        <f t="shared" si="3"/>
        <v>100</v>
      </c>
      <c r="V14" s="708" t="s">
        <v>17</v>
      </c>
      <c r="W14" s="709">
        <f t="shared" si="4"/>
        <v>100</v>
      </c>
      <c r="X14" s="710"/>
      <c r="Y14" s="3558"/>
      <c r="Z14" s="55">
        <f t="shared" si="9"/>
        <v>111</v>
      </c>
      <c r="AA14" s="711">
        <f>D14/F14</f>
        <v>1</v>
      </c>
      <c r="AB14" s="711">
        <f>D14/H14</f>
        <v>1</v>
      </c>
      <c r="AC14" s="711">
        <f>D14/J14</f>
        <v>1</v>
      </c>
    </row>
    <row r="15" spans="1:30" ht="25.5" customHeight="1">
      <c r="A15" s="398" t="s">
        <v>2320</v>
      </c>
      <c r="B15" s="65" t="s">
        <v>1883</v>
      </c>
      <c r="C15" s="204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3257" t="s">
        <v>2803</v>
      </c>
      <c r="M15" s="3295">
        <f>地价!P17</f>
        <v>6.3E-3</v>
      </c>
      <c r="N15" s="3296">
        <f t="shared" si="0"/>
        <v>1.0063</v>
      </c>
      <c r="O15" s="3297">
        <f t="shared" si="1"/>
        <v>99.4</v>
      </c>
      <c r="P15" s="3567" t="s">
        <v>2321</v>
      </c>
      <c r="Q15" s="1502" t="str">
        <f t="shared" si="8"/>
        <v>居住社区成熟度</v>
      </c>
      <c r="R15" s="712" t="s">
        <v>17</v>
      </c>
      <c r="S15" s="713">
        <f t="shared" si="2"/>
        <v>100</v>
      </c>
      <c r="T15" s="712" t="s">
        <v>17</v>
      </c>
      <c r="U15" s="713">
        <f t="shared" si="3"/>
        <v>100</v>
      </c>
      <c r="V15" s="712" t="s">
        <v>17</v>
      </c>
      <c r="W15" s="713">
        <f t="shared" si="4"/>
        <v>100</v>
      </c>
      <c r="X15" s="1505"/>
      <c r="Y15" s="3548" t="s">
        <v>2321</v>
      </c>
      <c r="Z15" s="1506" t="str">
        <f t="shared" si="9"/>
        <v>居住社区成熟度</v>
      </c>
      <c r="AA15" s="1503">
        <f t="shared" si="5"/>
        <v>1</v>
      </c>
      <c r="AB15" s="1503">
        <f t="shared" si="6"/>
        <v>1</v>
      </c>
      <c r="AC15" s="1503">
        <f t="shared" si="7"/>
        <v>1</v>
      </c>
    </row>
    <row r="16" spans="1:30" ht="15">
      <c r="A16" s="386"/>
      <c r="B16" s="404"/>
      <c r="C16" s="405" t="s">
        <v>3403</v>
      </c>
      <c r="D16" s="406"/>
      <c r="E16" s="405" t="s">
        <v>3403</v>
      </c>
      <c r="F16" s="406"/>
      <c r="G16" s="405" t="s">
        <v>3403</v>
      </c>
      <c r="H16" s="408"/>
      <c r="I16" s="405" t="s">
        <v>3403</v>
      </c>
      <c r="J16" s="406"/>
      <c r="K16" s="627"/>
      <c r="L16" s="3294" t="s">
        <v>2806</v>
      </c>
      <c r="M16" s="3299">
        <f>地价!P18</f>
        <v>9.1999999999999998E-3</v>
      </c>
      <c r="N16" s="3300">
        <f t="shared" si="0"/>
        <v>1.0092000000000001</v>
      </c>
      <c r="O16" s="3301">
        <f t="shared" si="1"/>
        <v>99.1</v>
      </c>
      <c r="P16" s="3569"/>
      <c r="Q16" s="1502"/>
      <c r="R16" s="712"/>
      <c r="S16" s="713"/>
      <c r="T16" s="712"/>
      <c r="U16" s="713"/>
      <c r="V16" s="712"/>
      <c r="W16" s="713"/>
      <c r="X16" s="1505"/>
      <c r="Y16" s="3549"/>
      <c r="Z16" s="1506"/>
      <c r="AA16" s="1503">
        <v>1</v>
      </c>
      <c r="AB16" s="1503">
        <v>1</v>
      </c>
      <c r="AC16" s="1503">
        <v>1</v>
      </c>
    </row>
    <row r="17" spans="1:29" ht="22.5" customHeight="1">
      <c r="A17" s="386"/>
      <c r="B17" s="409" t="s">
        <v>2414</v>
      </c>
      <c r="C17" s="2107" t="str">
        <f>估价对象房地状况!C16</f>
        <v>估价对象位于XX商圈，周边商业氛围成熟，人流量大，商业繁华度好</v>
      </c>
      <c r="D17" s="408">
        <v>100</v>
      </c>
      <c r="E17" s="410"/>
      <c r="F17" s="408">
        <f>SUMIF(90:90,E18,91:91)-SUMIF(90:90,C18,91:91)+100</f>
        <v>97</v>
      </c>
      <c r="G17" s="410"/>
      <c r="H17" s="413">
        <f>SUMIF(90:90,G18,91:91)-SUMIF(90:90,C18,91:91)+100</f>
        <v>97</v>
      </c>
      <c r="I17" s="412"/>
      <c r="J17" s="413">
        <f>SUMIF(90:90,I18,91:91)-SUMIF(90:90,C18,91:91)+100</f>
        <v>97</v>
      </c>
      <c r="K17" s="628">
        <v>3</v>
      </c>
      <c r="L17" s="3257" t="s">
        <v>2801</v>
      </c>
      <c r="M17" s="3295">
        <f>地价!P19</f>
        <v>1.52E-2</v>
      </c>
      <c r="N17" s="3296">
        <f t="shared" si="0"/>
        <v>1.0152000000000001</v>
      </c>
      <c r="O17" s="3297">
        <f t="shared" si="1"/>
        <v>98.5</v>
      </c>
      <c r="P17" s="3569"/>
      <c r="Q17" s="1502" t="str">
        <f>B17</f>
        <v>商业繁华度</v>
      </c>
      <c r="R17" s="712" t="s">
        <v>17</v>
      </c>
      <c r="S17" s="713">
        <f>F17</f>
        <v>97</v>
      </c>
      <c r="T17" s="712" t="s">
        <v>17</v>
      </c>
      <c r="U17" s="713">
        <f>H17</f>
        <v>97</v>
      </c>
      <c r="V17" s="712" t="s">
        <v>17</v>
      </c>
      <c r="W17" s="713">
        <f>J17</f>
        <v>97</v>
      </c>
      <c r="X17" s="1505"/>
      <c r="Y17" s="3549"/>
      <c r="Z17" s="1506" t="str">
        <f>Q17</f>
        <v>商业繁华度</v>
      </c>
      <c r="AA17" s="1503">
        <f t="shared" si="5"/>
        <v>1.0309278350515463</v>
      </c>
      <c r="AB17" s="1503">
        <f t="shared" si="6"/>
        <v>1.0309278350515463</v>
      </c>
      <c r="AC17" s="1503">
        <f t="shared" si="7"/>
        <v>1.0309278350515463</v>
      </c>
    </row>
    <row r="18" spans="1:29" ht="15">
      <c r="A18" s="386"/>
      <c r="B18" s="414"/>
      <c r="C18" s="405" t="s">
        <v>3403</v>
      </c>
      <c r="D18" s="408"/>
      <c r="E18" s="405" t="s">
        <v>3395</v>
      </c>
      <c r="F18" s="408"/>
      <c r="G18" s="405" t="s">
        <v>3395</v>
      </c>
      <c r="H18" s="406"/>
      <c r="I18" s="405" t="s">
        <v>3395</v>
      </c>
      <c r="J18" s="406"/>
      <c r="K18" s="627"/>
      <c r="L18" s="3294" t="s">
        <v>2800</v>
      </c>
      <c r="M18" s="3299">
        <f>地价!P20</f>
        <v>1.5800000000000002E-2</v>
      </c>
      <c r="N18" s="3300">
        <f t="shared" si="0"/>
        <v>1.0158</v>
      </c>
      <c r="O18" s="3301">
        <f t="shared" si="1"/>
        <v>98.4</v>
      </c>
      <c r="P18" s="3569"/>
      <c r="Q18" s="1502"/>
      <c r="R18" s="712"/>
      <c r="S18" s="713"/>
      <c r="T18" s="712"/>
      <c r="U18" s="713"/>
      <c r="V18" s="712"/>
      <c r="W18" s="713"/>
      <c r="X18" s="1505"/>
      <c r="Y18" s="3549"/>
      <c r="Z18" s="1506"/>
      <c r="AA18" s="1503">
        <v>1</v>
      </c>
      <c r="AB18" s="1503">
        <v>1</v>
      </c>
      <c r="AC18" s="1503">
        <v>1</v>
      </c>
    </row>
    <row r="19" spans="1:29" ht="27" customHeight="1">
      <c r="A19" s="386"/>
      <c r="B19" s="409" t="s">
        <v>2448</v>
      </c>
      <c r="C19" s="210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v>2</v>
      </c>
      <c r="L19" s="3257" t="s">
        <v>2793</v>
      </c>
      <c r="M19" s="3295">
        <f>地价!P21</f>
        <v>1.6399999999999998E-2</v>
      </c>
      <c r="N19" s="3296">
        <f t="shared" si="0"/>
        <v>1.0164</v>
      </c>
      <c r="O19" s="3297">
        <f t="shared" si="1"/>
        <v>98.4</v>
      </c>
      <c r="P19" s="3569"/>
      <c r="Q19" s="1502" t="str">
        <f>B19</f>
        <v>办公集聚程度</v>
      </c>
      <c r="R19" s="712" t="s">
        <v>17</v>
      </c>
      <c r="S19" s="713">
        <f>F19</f>
        <v>100</v>
      </c>
      <c r="T19" s="712" t="s">
        <v>17</v>
      </c>
      <c r="U19" s="713">
        <f>H19</f>
        <v>100</v>
      </c>
      <c r="V19" s="712" t="s">
        <v>17</v>
      </c>
      <c r="W19" s="713">
        <f>J19</f>
        <v>100</v>
      </c>
      <c r="X19" s="1505"/>
      <c r="Y19" s="3549"/>
      <c r="Z19" s="1506" t="str">
        <f>Q19</f>
        <v>办公集聚程度</v>
      </c>
      <c r="AA19" s="1503">
        <f t="shared" si="5"/>
        <v>1</v>
      </c>
      <c r="AB19" s="1503">
        <f t="shared" si="6"/>
        <v>1</v>
      </c>
      <c r="AC19" s="1503">
        <f t="shared" si="7"/>
        <v>1</v>
      </c>
    </row>
    <row r="20" spans="1:29" ht="15">
      <c r="A20" s="386"/>
      <c r="B20" s="414"/>
      <c r="C20" s="405" t="s">
        <v>3395</v>
      </c>
      <c r="D20" s="406"/>
      <c r="E20" s="405" t="s">
        <v>3395</v>
      </c>
      <c r="F20" s="406"/>
      <c r="G20" s="405" t="s">
        <v>3395</v>
      </c>
      <c r="H20" s="406"/>
      <c r="I20" s="405" t="s">
        <v>3395</v>
      </c>
      <c r="J20" s="406"/>
      <c r="K20" s="627"/>
      <c r="L20" s="2916"/>
      <c r="M20" s="2910"/>
      <c r="N20" s="2910"/>
      <c r="O20" s="2968"/>
      <c r="P20" s="3549"/>
      <c r="Q20" s="1502"/>
      <c r="R20" s="712"/>
      <c r="S20" s="713"/>
      <c r="T20" s="712"/>
      <c r="U20" s="713"/>
      <c r="V20" s="712"/>
      <c r="W20" s="713"/>
      <c r="X20" s="1505"/>
      <c r="Y20" s="3549"/>
      <c r="Z20" s="1506"/>
      <c r="AA20" s="1503">
        <v>1</v>
      </c>
      <c r="AB20" s="1503">
        <v>1</v>
      </c>
      <c r="AC20" s="1503">
        <v>1</v>
      </c>
    </row>
    <row r="21" spans="1:29" ht="25.5" customHeight="1">
      <c r="A21" s="386"/>
      <c r="B21" s="409" t="s">
        <v>2470</v>
      </c>
      <c r="C21" s="205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98</v>
      </c>
      <c r="K21" s="628">
        <v>2</v>
      </c>
      <c r="L21" s="2916"/>
      <c r="M21" s="2910"/>
      <c r="N21" s="2910"/>
      <c r="O21" s="2968"/>
      <c r="P21" s="3549"/>
      <c r="Q21" s="1502" t="str">
        <f>B21</f>
        <v>交通便捷度</v>
      </c>
      <c r="R21" s="712" t="s">
        <v>17</v>
      </c>
      <c r="S21" s="713">
        <f>F21</f>
        <v>100</v>
      </c>
      <c r="T21" s="712" t="s">
        <v>17</v>
      </c>
      <c r="U21" s="713">
        <f>H21</f>
        <v>100</v>
      </c>
      <c r="V21" s="712" t="s">
        <v>17</v>
      </c>
      <c r="W21" s="713">
        <f>J21</f>
        <v>98</v>
      </c>
      <c r="X21" s="1505"/>
      <c r="Y21" s="3549"/>
      <c r="Z21" s="1506" t="str">
        <f>Q21</f>
        <v>交通便捷度</v>
      </c>
      <c r="AA21" s="1503">
        <f t="shared" si="5"/>
        <v>1</v>
      </c>
      <c r="AB21" s="1503">
        <f t="shared" si="6"/>
        <v>1</v>
      </c>
      <c r="AC21" s="1503">
        <f t="shared" si="7"/>
        <v>1.0204081632653061</v>
      </c>
    </row>
    <row r="22" spans="1:29" ht="15">
      <c r="A22" s="386"/>
      <c r="B22" s="1261"/>
      <c r="C22" s="405" t="s">
        <v>3403</v>
      </c>
      <c r="D22" s="408"/>
      <c r="E22" s="405" t="s">
        <v>3403</v>
      </c>
      <c r="F22" s="406"/>
      <c r="G22" s="405" t="s">
        <v>3403</v>
      </c>
      <c r="H22" s="406"/>
      <c r="I22" s="405" t="s">
        <v>3395</v>
      </c>
      <c r="J22" s="406"/>
      <c r="K22" s="627"/>
      <c r="L22" s="2916"/>
      <c r="M22" s="2910"/>
      <c r="N22" s="2910"/>
      <c r="O22" s="2968"/>
      <c r="P22" s="3549"/>
      <c r="Q22" s="1502"/>
      <c r="R22" s="712"/>
      <c r="S22" s="713"/>
      <c r="T22" s="712"/>
      <c r="U22" s="713"/>
      <c r="V22" s="712"/>
      <c r="W22" s="713"/>
      <c r="X22" s="1505"/>
      <c r="Y22" s="3549"/>
      <c r="Z22" s="1506"/>
      <c r="AA22" s="1503">
        <v>1</v>
      </c>
      <c r="AB22" s="1503">
        <v>1</v>
      </c>
      <c r="AC22" s="1503">
        <v>1</v>
      </c>
    </row>
    <row r="23" spans="1:29" ht="15">
      <c r="A23" s="363"/>
      <c r="B23" s="409" t="s">
        <v>2509</v>
      </c>
      <c r="C23" s="126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16"/>
      <c r="M23" s="2910"/>
      <c r="N23" s="2910"/>
      <c r="O23" s="2968"/>
      <c r="P23" s="3549"/>
      <c r="Q23" s="1502" t="str">
        <f t="shared" ref="Q23:Q37" si="10">B23</f>
        <v>区域土地利用方向</v>
      </c>
      <c r="R23" s="712" t="s">
        <v>17</v>
      </c>
      <c r="S23" s="713">
        <f>F23</f>
        <v>100</v>
      </c>
      <c r="T23" s="712" t="s">
        <v>17</v>
      </c>
      <c r="U23" s="713">
        <f>H23</f>
        <v>100</v>
      </c>
      <c r="V23" s="712" t="s">
        <v>17</v>
      </c>
      <c r="W23" s="713">
        <f>J23</f>
        <v>100</v>
      </c>
      <c r="X23" s="1505"/>
      <c r="Y23" s="3549"/>
      <c r="Z23" s="1506" t="str">
        <f>Q23</f>
        <v>区域土地利用方向</v>
      </c>
      <c r="AA23" s="1503">
        <f t="shared" si="5"/>
        <v>1</v>
      </c>
      <c r="AB23" s="1503">
        <f t="shared" si="6"/>
        <v>1</v>
      </c>
      <c r="AC23" s="1503">
        <f t="shared" si="7"/>
        <v>1</v>
      </c>
    </row>
    <row r="24" spans="1:29" ht="15">
      <c r="A24" s="363"/>
      <c r="B24" s="414"/>
      <c r="C24" s="572" t="s">
        <v>3403</v>
      </c>
      <c r="D24" s="406"/>
      <c r="E24" s="572" t="s">
        <v>3403</v>
      </c>
      <c r="F24" s="406"/>
      <c r="G24" s="572" t="s">
        <v>3403</v>
      </c>
      <c r="H24" s="406"/>
      <c r="I24" s="572" t="s">
        <v>3403</v>
      </c>
      <c r="J24" s="406"/>
      <c r="K24" s="749"/>
      <c r="L24" s="2916"/>
      <c r="M24" s="2910"/>
      <c r="N24" s="2910"/>
      <c r="O24" s="2968"/>
      <c r="P24" s="3549"/>
      <c r="Q24" s="1502"/>
      <c r="R24" s="712"/>
      <c r="S24" s="713"/>
      <c r="T24" s="712"/>
      <c r="U24" s="713"/>
      <c r="V24" s="712"/>
      <c r="W24" s="713"/>
      <c r="X24" s="1505"/>
      <c r="Y24" s="3549"/>
      <c r="Z24" s="1506"/>
      <c r="AA24" s="1503"/>
      <c r="AB24" s="1503"/>
      <c r="AC24" s="1503"/>
    </row>
    <row r="25" spans="1:29" ht="27" customHeight="1">
      <c r="A25" s="363"/>
      <c r="B25" s="1261" t="s">
        <v>2510</v>
      </c>
      <c r="C25" s="210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2</v>
      </c>
      <c r="L25" s="2916"/>
      <c r="M25" s="2910"/>
      <c r="N25" s="2910"/>
      <c r="O25" s="2968"/>
      <c r="P25" s="3549"/>
      <c r="Q25" s="1502" t="str">
        <f t="shared" si="10"/>
        <v>自然及人文环境状况</v>
      </c>
      <c r="R25" s="712" t="s">
        <v>17</v>
      </c>
      <c r="S25" s="713">
        <f>F25</f>
        <v>100</v>
      </c>
      <c r="T25" s="712" t="s">
        <v>17</v>
      </c>
      <c r="U25" s="713">
        <f>H25</f>
        <v>100</v>
      </c>
      <c r="V25" s="712" t="s">
        <v>17</v>
      </c>
      <c r="W25" s="713">
        <f>J25</f>
        <v>100</v>
      </c>
      <c r="X25" s="1505"/>
      <c r="Y25" s="3549"/>
      <c r="Z25" s="1506" t="str">
        <f>Q25</f>
        <v>自然及人文环境状况</v>
      </c>
      <c r="AA25" s="1503">
        <f t="shared" si="5"/>
        <v>1</v>
      </c>
      <c r="AB25" s="1503">
        <f t="shared" si="6"/>
        <v>1</v>
      </c>
      <c r="AC25" s="1503">
        <f t="shared" si="7"/>
        <v>1</v>
      </c>
    </row>
    <row r="26" spans="1:29" ht="15">
      <c r="A26" s="363"/>
      <c r="B26" s="414"/>
      <c r="C26" s="572" t="s">
        <v>3403</v>
      </c>
      <c r="D26" s="406"/>
      <c r="E26" s="572" t="s">
        <v>3403</v>
      </c>
      <c r="F26" s="406"/>
      <c r="G26" s="572" t="s">
        <v>3403</v>
      </c>
      <c r="H26" s="406"/>
      <c r="I26" s="572" t="s">
        <v>3403</v>
      </c>
      <c r="J26" s="406"/>
      <c r="K26" s="627"/>
      <c r="L26" s="2916"/>
      <c r="M26" s="2910"/>
      <c r="N26" s="2910"/>
      <c r="O26" s="2968"/>
      <c r="P26" s="3549"/>
      <c r="Q26" s="1502"/>
      <c r="R26" s="712"/>
      <c r="S26" s="713"/>
      <c r="T26" s="712"/>
      <c r="U26" s="713"/>
      <c r="V26" s="712"/>
      <c r="W26" s="713"/>
      <c r="X26" s="1505"/>
      <c r="Y26" s="3549"/>
      <c r="Z26" s="1506"/>
      <c r="AA26" s="1503">
        <v>1</v>
      </c>
      <c r="AB26" s="1503">
        <v>1</v>
      </c>
      <c r="AC26" s="1503">
        <v>1</v>
      </c>
    </row>
    <row r="27" spans="1:29" s="112" customFormat="1" ht="23.25" customHeight="1">
      <c r="A27" s="604"/>
      <c r="B27" s="1261" t="s">
        <v>2415</v>
      </c>
      <c r="C27" s="2052" t="str">
        <f>估价对象房地状况!C21</f>
        <v>估价对象所在区域公共配套设施齐备情况</v>
      </c>
      <c r="D27" s="408">
        <v>100</v>
      </c>
      <c r="E27" s="410"/>
      <c r="F27" s="408">
        <f>SUMIF(100:100,E28,101:101)-SUMIF(100:100,C28,101:101)+100</f>
        <v>98</v>
      </c>
      <c r="G27" s="410"/>
      <c r="H27" s="408">
        <f>SUMIF(100:100,G28,101:101)-SUMIF(100:100,C28,101:101)+100</f>
        <v>98</v>
      </c>
      <c r="I27" s="412"/>
      <c r="J27" s="408">
        <f>SUMIF(100:100,I28,101:101)-SUMIF(100:100,C28,101:101)+100</f>
        <v>96</v>
      </c>
      <c r="K27" s="628">
        <v>2</v>
      </c>
      <c r="L27" s="2911"/>
      <c r="M27" s="2912"/>
      <c r="N27" s="2912"/>
      <c r="O27" s="2966"/>
      <c r="P27" s="3549"/>
      <c r="Q27" s="1493" t="str">
        <f t="shared" si="10"/>
        <v>公共配套设施</v>
      </c>
      <c r="R27" s="708" t="s">
        <v>17</v>
      </c>
      <c r="S27" s="709">
        <f>F27</f>
        <v>98</v>
      </c>
      <c r="T27" s="708" t="s">
        <v>17</v>
      </c>
      <c r="U27" s="709">
        <f>H27</f>
        <v>98</v>
      </c>
      <c r="V27" s="708" t="s">
        <v>17</v>
      </c>
      <c r="W27" s="709">
        <f>J27</f>
        <v>96</v>
      </c>
      <c r="X27" s="710"/>
      <c r="Y27" s="3549"/>
      <c r="Z27" s="55" t="str">
        <f>Q27</f>
        <v>公共配套设施</v>
      </c>
      <c r="AA27" s="1503">
        <f>D27/F27</f>
        <v>1.0204081632653061</v>
      </c>
      <c r="AB27" s="1503">
        <f>D27/H27</f>
        <v>1.0204081632653061</v>
      </c>
      <c r="AC27" s="1503">
        <f>D27/J27</f>
        <v>1.0416666666666667</v>
      </c>
    </row>
    <row r="28" spans="1:29" s="112" customFormat="1" ht="15">
      <c r="A28" s="604"/>
      <c r="B28" s="414"/>
      <c r="C28" s="405" t="s">
        <v>3403</v>
      </c>
      <c r="D28" s="406"/>
      <c r="E28" s="405" t="s">
        <v>3395</v>
      </c>
      <c r="F28" s="406"/>
      <c r="G28" s="405" t="s">
        <v>3395</v>
      </c>
      <c r="H28" s="406"/>
      <c r="I28" s="405" t="s">
        <v>3420</v>
      </c>
      <c r="J28" s="406"/>
      <c r="K28" s="627"/>
      <c r="L28" s="2911"/>
      <c r="M28" s="2912"/>
      <c r="N28" s="2912"/>
      <c r="O28" s="2966"/>
      <c r="P28" s="3549"/>
      <c r="Q28" s="1493"/>
      <c r="R28" s="708"/>
      <c r="S28" s="709"/>
      <c r="T28" s="708"/>
      <c r="U28" s="709"/>
      <c r="V28" s="708"/>
      <c r="W28" s="709"/>
      <c r="X28" s="710"/>
      <c r="Y28" s="3549"/>
      <c r="Z28" s="55"/>
      <c r="AA28" s="1503">
        <v>1</v>
      </c>
      <c r="AB28" s="1503">
        <v>1</v>
      </c>
      <c r="AC28" s="1503">
        <v>1</v>
      </c>
    </row>
    <row r="29" spans="1:29" s="112" customFormat="1" ht="24" customHeight="1">
      <c r="A29" s="604"/>
      <c r="B29" s="1261" t="s">
        <v>2416</v>
      </c>
      <c r="C29" s="205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11"/>
      <c r="M29" s="2912"/>
      <c r="N29" s="2912"/>
      <c r="O29" s="2966"/>
      <c r="P29" s="3549"/>
      <c r="Q29" s="1493" t="str">
        <f t="shared" ref="Q29" si="11">B29</f>
        <v>基础设施水平</v>
      </c>
      <c r="R29" s="708" t="s">
        <v>17</v>
      </c>
      <c r="S29" s="709">
        <f>F29</f>
        <v>100</v>
      </c>
      <c r="T29" s="708" t="s">
        <v>17</v>
      </c>
      <c r="U29" s="709">
        <f>H29</f>
        <v>100</v>
      </c>
      <c r="V29" s="708" t="s">
        <v>17</v>
      </c>
      <c r="W29" s="709">
        <f>J29</f>
        <v>100</v>
      </c>
      <c r="X29" s="710"/>
      <c r="Y29" s="3549"/>
      <c r="Z29" s="55" t="str">
        <f>Q29</f>
        <v>基础设施水平</v>
      </c>
      <c r="AA29" s="1503">
        <f>D29/F29</f>
        <v>1</v>
      </c>
      <c r="AB29" s="1503">
        <f>D29/H29</f>
        <v>1</v>
      </c>
      <c r="AC29" s="1503">
        <f>D29/J29</f>
        <v>1</v>
      </c>
    </row>
    <row r="30" spans="1:29" s="112" customFormat="1" ht="15">
      <c r="A30" s="604"/>
      <c r="B30" s="414"/>
      <c r="C30" s="2130" t="s">
        <v>3404</v>
      </c>
      <c r="D30" s="406"/>
      <c r="E30" s="2131" t="s">
        <v>3404</v>
      </c>
      <c r="F30" s="406"/>
      <c r="G30" s="2131" t="s">
        <v>3404</v>
      </c>
      <c r="H30" s="406"/>
      <c r="I30" s="2131" t="s">
        <v>3404</v>
      </c>
      <c r="J30" s="406"/>
      <c r="K30" s="627"/>
      <c r="L30" s="2911"/>
      <c r="M30" s="2912"/>
      <c r="N30" s="2912"/>
      <c r="O30" s="2966"/>
      <c r="P30" s="3549"/>
      <c r="Q30" s="1493"/>
      <c r="R30" s="708"/>
      <c r="S30" s="709"/>
      <c r="T30" s="708"/>
      <c r="U30" s="709"/>
      <c r="V30" s="708"/>
      <c r="W30" s="709"/>
      <c r="X30" s="710"/>
      <c r="Y30" s="3549"/>
      <c r="Z30" s="55"/>
      <c r="AA30" s="1503">
        <v>1</v>
      </c>
      <c r="AB30" s="1503">
        <v>1</v>
      </c>
      <c r="AC30" s="1503">
        <v>1</v>
      </c>
    </row>
    <row r="31" spans="1:29" ht="15" hidden="1">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6"/>
      <c r="M31" s="2910"/>
      <c r="N31" s="2910"/>
      <c r="O31" s="2968"/>
      <c r="P31" s="3549"/>
      <c r="Q31" s="1502" t="str">
        <f t="shared" si="10"/>
        <v>临街状况</v>
      </c>
      <c r="R31" s="712" t="s">
        <v>17</v>
      </c>
      <c r="S31" s="713">
        <f t="shared" ref="S31:S45" si="12">F31</f>
        <v>100</v>
      </c>
      <c r="T31" s="712" t="s">
        <v>17</v>
      </c>
      <c r="U31" s="713">
        <f t="shared" ref="U31:U45" si="13">H31</f>
        <v>100</v>
      </c>
      <c r="V31" s="712" t="s">
        <v>17</v>
      </c>
      <c r="W31" s="713">
        <f t="shared" ref="W31:W45" si="14">J31</f>
        <v>100</v>
      </c>
      <c r="X31" s="1505"/>
      <c r="Y31" s="3549"/>
      <c r="Z31" s="1506" t="str">
        <f t="shared" ref="Z31:Z45" si="15">Q31</f>
        <v>临街状况</v>
      </c>
      <c r="AA31" s="1503">
        <f t="shared" si="5"/>
        <v>1</v>
      </c>
      <c r="AB31" s="1503">
        <f t="shared" si="6"/>
        <v>1</v>
      </c>
      <c r="AC31" s="1503">
        <f t="shared" si="7"/>
        <v>1</v>
      </c>
    </row>
    <row r="32" spans="1:29" ht="27" hidden="1">
      <c r="A32" s="386"/>
      <c r="B32" s="1261"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6"/>
      <c r="M32" s="2910"/>
      <c r="N32" s="2910"/>
      <c r="O32" s="2968"/>
      <c r="P32" s="3549"/>
      <c r="Q32" s="1502" t="str">
        <f t="shared" si="10"/>
        <v>毗邻道路的类型与等级</v>
      </c>
      <c r="R32" s="712" t="s">
        <v>17</v>
      </c>
      <c r="S32" s="713">
        <f t="shared" si="12"/>
        <v>100</v>
      </c>
      <c r="T32" s="712" t="s">
        <v>17</v>
      </c>
      <c r="U32" s="713">
        <f t="shared" si="13"/>
        <v>100</v>
      </c>
      <c r="V32" s="712" t="s">
        <v>17</v>
      </c>
      <c r="W32" s="713">
        <f t="shared" si="14"/>
        <v>100</v>
      </c>
      <c r="X32" s="1505"/>
      <c r="Y32" s="3549"/>
      <c r="Z32" s="1506" t="str">
        <f t="shared" si="15"/>
        <v>毗邻道路的类型与等级</v>
      </c>
      <c r="AA32" s="1503">
        <f t="shared" si="5"/>
        <v>1</v>
      </c>
      <c r="AB32" s="1503">
        <f t="shared" si="6"/>
        <v>1</v>
      </c>
      <c r="AC32" s="1503">
        <f t="shared" si="7"/>
        <v>1</v>
      </c>
    </row>
    <row r="33" spans="1:29" ht="15" hidden="1">
      <c r="A33" s="386"/>
      <c r="B33" s="414"/>
      <c r="C33" s="405"/>
      <c r="D33" s="406"/>
      <c r="E33" s="2056"/>
      <c r="F33" s="406"/>
      <c r="G33" s="2056"/>
      <c r="H33" s="406"/>
      <c r="I33" s="405"/>
      <c r="J33" s="406"/>
      <c r="K33" s="569"/>
      <c r="L33" s="2916"/>
      <c r="M33" s="2910"/>
      <c r="N33" s="2910"/>
      <c r="O33" s="2968"/>
      <c r="P33" s="3549"/>
      <c r="Q33" s="1502"/>
      <c r="R33" s="712"/>
      <c r="S33" s="713"/>
      <c r="T33" s="712"/>
      <c r="U33" s="713"/>
      <c r="V33" s="712"/>
      <c r="W33" s="713"/>
      <c r="X33" s="1505"/>
      <c r="Y33" s="3549"/>
      <c r="Z33" s="1506"/>
      <c r="AA33" s="1503">
        <v>1</v>
      </c>
      <c r="AB33" s="1503">
        <v>1</v>
      </c>
      <c r="AC33" s="1503">
        <v>1</v>
      </c>
    </row>
    <row r="34" spans="1:29" ht="15.75" thickBot="1">
      <c r="A34" s="386"/>
      <c r="B34" s="380" t="s">
        <v>2511</v>
      </c>
      <c r="C34" s="572" t="s">
        <v>526</v>
      </c>
      <c r="D34" s="393">
        <v>100</v>
      </c>
      <c r="E34" s="589" t="s">
        <v>528</v>
      </c>
      <c r="F34" s="393">
        <f>SUMIF(108:108,E34,109:109)-SUMIF(108:108,C34,109:109)+100</f>
        <v>96.5</v>
      </c>
      <c r="G34" s="589" t="s">
        <v>526</v>
      </c>
      <c r="H34" s="393">
        <f>SUMIF(108:108,G34,109:109)-SUMIF(108:108,C34,109:109)+100</f>
        <v>100</v>
      </c>
      <c r="I34" s="572" t="s">
        <v>530</v>
      </c>
      <c r="J34" s="393">
        <f>SUMIF(108:108,I34,109:109)-SUMIF(108:108,C34,109:109)+100</f>
        <v>93</v>
      </c>
      <c r="K34" s="568">
        <v>3.5</v>
      </c>
      <c r="L34" s="2916"/>
      <c r="M34" s="2910"/>
      <c r="N34" s="2910"/>
      <c r="O34" s="2968"/>
      <c r="P34" s="3549"/>
      <c r="Q34" s="1502" t="str">
        <f t="shared" si="10"/>
        <v>土地级别</v>
      </c>
      <c r="R34" s="712" t="s">
        <v>17</v>
      </c>
      <c r="S34" s="713">
        <f t="shared" si="12"/>
        <v>96.5</v>
      </c>
      <c r="T34" s="712" t="s">
        <v>17</v>
      </c>
      <c r="U34" s="713">
        <f t="shared" si="13"/>
        <v>100</v>
      </c>
      <c r="V34" s="712" t="s">
        <v>17</v>
      </c>
      <c r="W34" s="713">
        <f t="shared" si="14"/>
        <v>93</v>
      </c>
      <c r="X34" s="1505"/>
      <c r="Y34" s="3549"/>
      <c r="Z34" s="1506" t="str">
        <f t="shared" si="15"/>
        <v>土地级别</v>
      </c>
      <c r="AA34" s="1503">
        <f t="shared" si="5"/>
        <v>1.0362694300518134</v>
      </c>
      <c r="AB34" s="1503">
        <f t="shared" si="6"/>
        <v>1</v>
      </c>
      <c r="AC34" s="1503">
        <f t="shared" si="7"/>
        <v>1.075268817204301</v>
      </c>
    </row>
    <row r="35" spans="1:29" ht="15" hidden="1">
      <c r="A35" s="363"/>
      <c r="B35" s="126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6"/>
      <c r="M35" s="2910"/>
      <c r="N35" s="2910"/>
      <c r="O35" s="2968"/>
      <c r="P35" s="3549"/>
      <c r="Q35" s="1502">
        <f t="shared" si="10"/>
        <v>111</v>
      </c>
      <c r="R35" s="712" t="s">
        <v>17</v>
      </c>
      <c r="S35" s="713">
        <f t="shared" si="12"/>
        <v>100</v>
      </c>
      <c r="T35" s="712" t="s">
        <v>17</v>
      </c>
      <c r="U35" s="713">
        <f t="shared" si="13"/>
        <v>100</v>
      </c>
      <c r="V35" s="712" t="s">
        <v>17</v>
      </c>
      <c r="W35" s="713">
        <f t="shared" si="14"/>
        <v>100</v>
      </c>
      <c r="X35" s="1505"/>
      <c r="Y35" s="3549"/>
      <c r="Z35" s="1506">
        <f t="shared" si="15"/>
        <v>111</v>
      </c>
      <c r="AA35" s="1503">
        <f t="shared" si="5"/>
        <v>1</v>
      </c>
      <c r="AB35" s="1503">
        <f t="shared" si="6"/>
        <v>1</v>
      </c>
      <c r="AC35" s="1503">
        <f t="shared" si="7"/>
        <v>1</v>
      </c>
    </row>
    <row r="36" spans="1:29" ht="15" hidden="1">
      <c r="A36" s="630"/>
      <c r="B36" s="126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6"/>
      <c r="M36" s="2910"/>
      <c r="N36" s="2910"/>
      <c r="O36" s="2968"/>
      <c r="P36" s="3605" t="s">
        <v>2326</v>
      </c>
      <c r="Q36" s="1502">
        <f t="shared" si="10"/>
        <v>111</v>
      </c>
      <c r="R36" s="712" t="s">
        <v>17</v>
      </c>
      <c r="S36" s="713">
        <f t="shared" si="12"/>
        <v>100</v>
      </c>
      <c r="T36" s="712" t="s">
        <v>17</v>
      </c>
      <c r="U36" s="713">
        <f t="shared" si="13"/>
        <v>100</v>
      </c>
      <c r="V36" s="712" t="s">
        <v>17</v>
      </c>
      <c r="W36" s="713">
        <f t="shared" si="14"/>
        <v>100</v>
      </c>
      <c r="X36" s="1505"/>
      <c r="Y36" s="3553" t="s">
        <v>2326</v>
      </c>
      <c r="Z36" s="1506">
        <f t="shared" si="15"/>
        <v>111</v>
      </c>
      <c r="AA36" s="1503">
        <f t="shared" si="5"/>
        <v>1</v>
      </c>
      <c r="AB36" s="1503">
        <f t="shared" si="6"/>
        <v>1</v>
      </c>
      <c r="AC36" s="1503">
        <f t="shared" si="7"/>
        <v>1</v>
      </c>
    </row>
    <row r="37" spans="1:29" s="429" customFormat="1" ht="15.75" hidden="1" thickBot="1">
      <c r="A37" s="631"/>
      <c r="B37" s="126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5"/>
      <c r="M37" s="2917"/>
      <c r="N37" s="2917"/>
      <c r="O37" s="2969"/>
      <c r="P37" s="3553"/>
      <c r="Q37" s="1502">
        <f t="shared" si="10"/>
        <v>111</v>
      </c>
      <c r="R37" s="715" t="s">
        <v>17</v>
      </c>
      <c r="S37" s="716">
        <f t="shared" si="12"/>
        <v>100</v>
      </c>
      <c r="T37" s="715" t="s">
        <v>17</v>
      </c>
      <c r="U37" s="716">
        <f t="shared" si="13"/>
        <v>100</v>
      </c>
      <c r="V37" s="715" t="s">
        <v>17</v>
      </c>
      <c r="W37" s="716">
        <f t="shared" si="14"/>
        <v>100</v>
      </c>
      <c r="X37" s="717"/>
      <c r="Y37" s="3553"/>
      <c r="Z37" s="718">
        <f t="shared" si="15"/>
        <v>111</v>
      </c>
      <c r="AA37" s="1503">
        <f t="shared" si="5"/>
        <v>1</v>
      </c>
      <c r="AB37" s="1503">
        <f t="shared" si="6"/>
        <v>1</v>
      </c>
      <c r="AC37" s="1503">
        <f t="shared" si="7"/>
        <v>1</v>
      </c>
    </row>
    <row r="38" spans="1:29" ht="15">
      <c r="A38" s="430" t="s">
        <v>2324</v>
      </c>
      <c r="B38" s="414" t="s">
        <v>2512</v>
      </c>
      <c r="C38" s="634">
        <f>'数据-汇总表'!D3</f>
        <v>25000</v>
      </c>
      <c r="D38" s="425">
        <v>100</v>
      </c>
      <c r="E38" s="634">
        <f>土地一级开发成本案例!L22*10000</f>
        <v>1935500</v>
      </c>
      <c r="F38" s="425">
        <f>LOOKUP(E38,117:117,118:118)-LOOKUP(C38,117:117,118:118)+100</f>
        <v>96</v>
      </c>
      <c r="G38" s="634">
        <f>土地一级开发成本案例!L24*10000</f>
        <v>742500</v>
      </c>
      <c r="H38" s="425">
        <f>LOOKUP(G38,117:117,118:118)-LOOKUP(C38,117:117,118:118)+100</f>
        <v>98</v>
      </c>
      <c r="I38" s="486">
        <f>土地一级开发成本案例!L30*10000</f>
        <v>2391400</v>
      </c>
      <c r="J38" s="425">
        <f>LOOKUP(I38,117:117,118:118)-LOOKUP(C38,117:117,118:118)+100</f>
        <v>94</v>
      </c>
      <c r="K38" s="569"/>
      <c r="L38" s="2916"/>
      <c r="M38" s="2910"/>
      <c r="N38" s="2910"/>
      <c r="O38" s="2968"/>
      <c r="P38" s="3553"/>
      <c r="Q38" s="1502" t="str">
        <f>B38</f>
        <v>宗地面积</v>
      </c>
      <c r="R38" s="712" t="s">
        <v>17</v>
      </c>
      <c r="S38" s="713">
        <f t="shared" si="12"/>
        <v>96</v>
      </c>
      <c r="T38" s="712" t="s">
        <v>17</v>
      </c>
      <c r="U38" s="713">
        <f t="shared" si="13"/>
        <v>98</v>
      </c>
      <c r="V38" s="712" t="s">
        <v>17</v>
      </c>
      <c r="W38" s="713">
        <f t="shared" si="14"/>
        <v>94</v>
      </c>
      <c r="X38" s="1505"/>
      <c r="Y38" s="3553"/>
      <c r="Z38" s="1506" t="str">
        <f t="shared" si="15"/>
        <v>宗地面积</v>
      </c>
      <c r="AA38" s="1503">
        <f t="shared" si="5"/>
        <v>1.0416666666666667</v>
      </c>
      <c r="AB38" s="1503">
        <f t="shared" si="6"/>
        <v>1.0204081632653061</v>
      </c>
      <c r="AC38" s="1503">
        <f t="shared" si="7"/>
        <v>1.0638297872340425</v>
      </c>
    </row>
    <row r="39" spans="1:29" ht="15">
      <c r="A39" s="430"/>
      <c r="B39" s="380" t="s">
        <v>2513</v>
      </c>
      <c r="C39" s="2058" t="s">
        <v>3418</v>
      </c>
      <c r="D39" s="393">
        <v>100</v>
      </c>
      <c r="E39" s="2058" t="s">
        <v>3418</v>
      </c>
      <c r="F39" s="393">
        <f>SUMIF(119:119,E39,120:120)-SUMIF(119:119,C39,120:120)+100</f>
        <v>100</v>
      </c>
      <c r="G39" s="2058" t="s">
        <v>3418</v>
      </c>
      <c r="H39" s="393">
        <f>SUMIF(119:119,G39,120:120)-SUMIF(119:119,C39,120:120)+100</f>
        <v>100</v>
      </c>
      <c r="I39" s="2058" t="s">
        <v>3418</v>
      </c>
      <c r="J39" s="393">
        <f>SUMIF(119:119,I39,120:120)-SUMIF(119:119,C39,120:120)+100</f>
        <v>100</v>
      </c>
      <c r="K39" s="568">
        <v>2</v>
      </c>
      <c r="L39" s="2916"/>
      <c r="M39" s="2910"/>
      <c r="N39" s="2910"/>
      <c r="O39" s="2968"/>
      <c r="P39" s="3553"/>
      <c r="Q39" s="1502" t="str">
        <f t="shared" ref="Q39:Q45" si="16">B39</f>
        <v>宗地形状</v>
      </c>
      <c r="R39" s="712" t="s">
        <v>17</v>
      </c>
      <c r="S39" s="713">
        <f t="shared" si="12"/>
        <v>100</v>
      </c>
      <c r="T39" s="712" t="s">
        <v>17</v>
      </c>
      <c r="U39" s="713">
        <f t="shared" si="13"/>
        <v>100</v>
      </c>
      <c r="V39" s="712" t="s">
        <v>17</v>
      </c>
      <c r="W39" s="713">
        <f t="shared" si="14"/>
        <v>100</v>
      </c>
      <c r="X39" s="1505"/>
      <c r="Y39" s="3553"/>
      <c r="Z39" s="1506" t="str">
        <f t="shared" si="15"/>
        <v>宗地形状</v>
      </c>
      <c r="AA39" s="1503">
        <f t="shared" si="5"/>
        <v>1</v>
      </c>
      <c r="AB39" s="1503">
        <f t="shared" si="6"/>
        <v>1</v>
      </c>
      <c r="AC39" s="1503">
        <f t="shared" si="7"/>
        <v>1</v>
      </c>
    </row>
    <row r="40" spans="1:29" ht="15" hidden="1">
      <c r="A40" s="430"/>
      <c r="B40" s="380" t="s">
        <v>2514</v>
      </c>
      <c r="C40" s="2058"/>
      <c r="D40" s="393">
        <v>100</v>
      </c>
      <c r="E40" s="2058"/>
      <c r="F40" s="393">
        <f>SUMIF(121:121,E40,122:122)-SUMIF(121:121,C40,122:122)+100</f>
        <v>100</v>
      </c>
      <c r="G40" s="2058"/>
      <c r="H40" s="393">
        <f>SUMIF(121:121,G40,122:122)-SUMIF(121:121,C40,122:122)+100</f>
        <v>100</v>
      </c>
      <c r="I40" s="2058"/>
      <c r="J40" s="393">
        <f>SUMIF(121:121,I40,122:122)-SUMIF(121:121,C40,122:122)+100</f>
        <v>100</v>
      </c>
      <c r="K40" s="568"/>
      <c r="L40" s="2916"/>
      <c r="M40" s="2910"/>
      <c r="N40" s="2910"/>
      <c r="O40" s="2968"/>
      <c r="P40" s="3553"/>
      <c r="Q40" s="1502" t="str">
        <f t="shared" si="16"/>
        <v>临街宽度及深度</v>
      </c>
      <c r="R40" s="712" t="s">
        <v>17</v>
      </c>
      <c r="S40" s="713">
        <f t="shared" si="12"/>
        <v>100</v>
      </c>
      <c r="T40" s="712" t="s">
        <v>17</v>
      </c>
      <c r="U40" s="713">
        <f t="shared" si="13"/>
        <v>100</v>
      </c>
      <c r="V40" s="712" t="s">
        <v>17</v>
      </c>
      <c r="W40" s="713">
        <f t="shared" si="14"/>
        <v>100</v>
      </c>
      <c r="X40" s="1505"/>
      <c r="Y40" s="3553"/>
      <c r="Z40" s="1506" t="str">
        <f t="shared" si="15"/>
        <v>临街宽度及深度</v>
      </c>
      <c r="AA40" s="1503">
        <f t="shared" si="5"/>
        <v>1</v>
      </c>
      <c r="AB40" s="1503">
        <f t="shared" si="6"/>
        <v>1</v>
      </c>
      <c r="AC40" s="1503">
        <f t="shared" si="7"/>
        <v>1</v>
      </c>
    </row>
    <row r="41" spans="1:29" s="112" customFormat="1" ht="15">
      <c r="A41" s="431"/>
      <c r="B41" s="380" t="s">
        <v>2515</v>
      </c>
      <c r="C41" s="2132" t="s">
        <v>3404</v>
      </c>
      <c r="D41" s="131">
        <v>100</v>
      </c>
      <c r="E41" s="2132" t="s">
        <v>3405</v>
      </c>
      <c r="F41" s="393">
        <f>SUMIF(123:123,E41,124:124)-SUMIF(123:123,C41,124:124)+100</f>
        <v>95</v>
      </c>
      <c r="G41" s="2132" t="s">
        <v>3405</v>
      </c>
      <c r="H41" s="393">
        <f>SUMIF(123:123,G41,124:124)-SUMIF(123:123,C41,124:124)+100</f>
        <v>95</v>
      </c>
      <c r="I41" s="2132" t="s">
        <v>3406</v>
      </c>
      <c r="J41" s="393">
        <f>SUMIF(123:123,I41,124:124)-SUMIF(123:123,C41,124:124)+100</f>
        <v>97.5</v>
      </c>
      <c r="K41" s="568">
        <v>2.5</v>
      </c>
      <c r="L41" s="2911"/>
      <c r="M41" s="2912"/>
      <c r="N41" s="2912"/>
      <c r="O41" s="2966"/>
      <c r="P41" s="3553"/>
      <c r="Q41" s="1502" t="str">
        <f t="shared" si="16"/>
        <v>宗地开发程度</v>
      </c>
      <c r="R41" s="708" t="s">
        <v>17</v>
      </c>
      <c r="S41" s="709">
        <f t="shared" si="12"/>
        <v>95</v>
      </c>
      <c r="T41" s="708" t="s">
        <v>17</v>
      </c>
      <c r="U41" s="709">
        <f t="shared" si="13"/>
        <v>95</v>
      </c>
      <c r="V41" s="708" t="s">
        <v>17</v>
      </c>
      <c r="W41" s="709">
        <f t="shared" si="14"/>
        <v>97.5</v>
      </c>
      <c r="X41" s="710"/>
      <c r="Y41" s="3553"/>
      <c r="Z41" s="55" t="str">
        <f t="shared" si="15"/>
        <v>宗地开发程度</v>
      </c>
      <c r="AA41" s="711">
        <f t="shared" si="5"/>
        <v>1.0526315789473684</v>
      </c>
      <c r="AB41" s="711">
        <f t="shared" si="6"/>
        <v>1.0526315789473684</v>
      </c>
      <c r="AC41" s="711">
        <f t="shared" si="7"/>
        <v>1.0256410256410255</v>
      </c>
    </row>
    <row r="42" spans="1:29" ht="15.75" thickBot="1">
      <c r="A42" s="430"/>
      <c r="B42" s="380" t="s">
        <v>2516</v>
      </c>
      <c r="C42" s="2058" t="s">
        <v>3403</v>
      </c>
      <c r="D42" s="393">
        <v>100</v>
      </c>
      <c r="E42" s="2058" t="s">
        <v>3403</v>
      </c>
      <c r="F42" s="393">
        <f>SUMIF(125:125,E42,126:126)-SUMIF(125:125,C42,126:126)+100</f>
        <v>100</v>
      </c>
      <c r="G42" s="2058" t="s">
        <v>3403</v>
      </c>
      <c r="H42" s="393">
        <f>SUMIF(125:125,G42,126:126)-SUMIF(125:125,C42,126:126)+100</f>
        <v>100</v>
      </c>
      <c r="I42" s="2058" t="s">
        <v>3403</v>
      </c>
      <c r="J42" s="393">
        <f>SUMIF(125:125,I42,126:126)-SUMIF(125:125,C42,126:126)+100</f>
        <v>100</v>
      </c>
      <c r="K42" s="568">
        <v>2</v>
      </c>
      <c r="L42" s="2916"/>
      <c r="M42" s="2910"/>
      <c r="N42" s="2910"/>
      <c r="O42" s="2968"/>
      <c r="P42" s="3553" t="s">
        <v>2326</v>
      </c>
      <c r="Q42" s="1502" t="str">
        <f t="shared" si="16"/>
        <v>工程地质条件</v>
      </c>
      <c r="R42" s="712" t="s">
        <v>17</v>
      </c>
      <c r="S42" s="713">
        <f t="shared" si="12"/>
        <v>100</v>
      </c>
      <c r="T42" s="712" t="s">
        <v>17</v>
      </c>
      <c r="U42" s="713">
        <f t="shared" si="13"/>
        <v>100</v>
      </c>
      <c r="V42" s="712" t="s">
        <v>17</v>
      </c>
      <c r="W42" s="713">
        <f t="shared" si="14"/>
        <v>100</v>
      </c>
      <c r="X42" s="1505"/>
      <c r="Y42" s="3553" t="s">
        <v>2326</v>
      </c>
      <c r="Z42" s="1506" t="str">
        <f t="shared" si="15"/>
        <v>工程地质条件</v>
      </c>
      <c r="AA42" s="1503">
        <f t="shared" si="5"/>
        <v>1</v>
      </c>
      <c r="AB42" s="1503">
        <f t="shared" si="6"/>
        <v>1</v>
      </c>
      <c r="AC42" s="1503">
        <f t="shared" si="7"/>
        <v>1</v>
      </c>
    </row>
    <row r="43" spans="1:29" ht="15" hidden="1">
      <c r="A43" s="430"/>
      <c r="B43" s="126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6"/>
      <c r="M43" s="2910"/>
      <c r="N43" s="2910"/>
      <c r="O43" s="2968"/>
      <c r="P43" s="3553"/>
      <c r="Q43" s="1502">
        <f t="shared" si="16"/>
        <v>111</v>
      </c>
      <c r="R43" s="712" t="s">
        <v>17</v>
      </c>
      <c r="S43" s="713">
        <f t="shared" si="12"/>
        <v>100</v>
      </c>
      <c r="T43" s="712" t="s">
        <v>17</v>
      </c>
      <c r="U43" s="713">
        <f t="shared" si="13"/>
        <v>100</v>
      </c>
      <c r="V43" s="712" t="s">
        <v>17</v>
      </c>
      <c r="W43" s="713">
        <f t="shared" si="14"/>
        <v>100</v>
      </c>
      <c r="X43" s="1505"/>
      <c r="Y43" s="3553"/>
      <c r="Z43" s="1506">
        <f t="shared" si="15"/>
        <v>111</v>
      </c>
      <c r="AA43" s="1503">
        <f t="shared" si="5"/>
        <v>1</v>
      </c>
      <c r="AB43" s="1503">
        <f t="shared" si="6"/>
        <v>1</v>
      </c>
      <c r="AC43" s="1503">
        <f t="shared" si="7"/>
        <v>1</v>
      </c>
    </row>
    <row r="44" spans="1:29" ht="15" hidden="1">
      <c r="A44" s="430"/>
      <c r="B44" s="126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6"/>
      <c r="M44" s="2910"/>
      <c r="N44" s="2910"/>
      <c r="O44" s="2968"/>
      <c r="P44" s="3553"/>
      <c r="Q44" s="1502">
        <f t="shared" si="16"/>
        <v>111</v>
      </c>
      <c r="R44" s="712" t="s">
        <v>17</v>
      </c>
      <c r="S44" s="713">
        <f t="shared" si="12"/>
        <v>100</v>
      </c>
      <c r="T44" s="712" t="s">
        <v>17</v>
      </c>
      <c r="U44" s="713">
        <f t="shared" si="13"/>
        <v>100</v>
      </c>
      <c r="V44" s="712" t="s">
        <v>17</v>
      </c>
      <c r="W44" s="713">
        <f t="shared" si="14"/>
        <v>100</v>
      </c>
      <c r="X44" s="1505"/>
      <c r="Y44" s="3553"/>
      <c r="Z44" s="1506">
        <f t="shared" si="15"/>
        <v>111</v>
      </c>
      <c r="AA44" s="1503">
        <f t="shared" si="5"/>
        <v>1</v>
      </c>
      <c r="AB44" s="1503">
        <f t="shared" si="6"/>
        <v>1</v>
      </c>
      <c r="AC44" s="1503">
        <f t="shared" si="7"/>
        <v>1</v>
      </c>
    </row>
    <row r="45" spans="1:29" s="429" customFormat="1" ht="15.75" hidden="1" thickBot="1">
      <c r="A45" s="426"/>
      <c r="B45" s="1264">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5"/>
      <c r="M45" s="2917"/>
      <c r="N45" s="2917"/>
      <c r="O45" s="2969"/>
      <c r="P45" s="3553"/>
      <c r="Q45" s="1502">
        <f t="shared" si="16"/>
        <v>111</v>
      </c>
      <c r="R45" s="715" t="s">
        <v>17</v>
      </c>
      <c r="S45" s="716">
        <f t="shared" si="12"/>
        <v>100</v>
      </c>
      <c r="T45" s="715" t="s">
        <v>17</v>
      </c>
      <c r="U45" s="716">
        <f t="shared" si="13"/>
        <v>100</v>
      </c>
      <c r="V45" s="715" t="s">
        <v>17</v>
      </c>
      <c r="W45" s="716">
        <f t="shared" si="14"/>
        <v>100</v>
      </c>
      <c r="X45" s="717"/>
      <c r="Y45" s="3553"/>
      <c r="Z45" s="718">
        <f t="shared" si="15"/>
        <v>111</v>
      </c>
      <c r="AA45" s="1503">
        <f t="shared" si="5"/>
        <v>1</v>
      </c>
      <c r="AB45" s="1503">
        <f t="shared" si="6"/>
        <v>1</v>
      </c>
      <c r="AC45" s="1503">
        <f t="shared" si="7"/>
        <v>1</v>
      </c>
    </row>
    <row r="46" spans="1:29" ht="15">
      <c r="A46" s="437" t="s">
        <v>2481</v>
      </c>
      <c r="B46" s="2134" t="s">
        <v>3419</v>
      </c>
      <c r="C46" s="637" t="s">
        <v>1</v>
      </c>
      <c r="D46" s="439"/>
      <c r="E46" s="440">
        <f>土地一级开发成本案例!P22</f>
        <v>4286.01</v>
      </c>
      <c r="F46" s="441"/>
      <c r="G46" s="442">
        <f>土地一级开发成本案例!P24</f>
        <v>4110.07</v>
      </c>
      <c r="H46" s="443"/>
      <c r="I46" s="440">
        <f>土地一级开发成本案例!P30</f>
        <v>3852.75</v>
      </c>
      <c r="J46" s="443"/>
      <c r="K46" s="721"/>
      <c r="L46" s="2918"/>
      <c r="M46" s="2919"/>
      <c r="N46" s="2910"/>
      <c r="O46" s="2919"/>
      <c r="P46" s="3546" t="str">
        <f>A46</f>
        <v>成交单价</v>
      </c>
      <c r="Q46" s="3546"/>
      <c r="R46" s="3578">
        <f>E46</f>
        <v>4286.01</v>
      </c>
      <c r="S46" s="3578"/>
      <c r="T46" s="3578">
        <f>G46</f>
        <v>4110.07</v>
      </c>
      <c r="U46" s="3578"/>
      <c r="V46" s="3578">
        <f>I46</f>
        <v>3852.75</v>
      </c>
      <c r="W46" s="3578"/>
      <c r="X46" s="697"/>
      <c r="Y46" s="719"/>
      <c r="Z46" s="697"/>
      <c r="AA46" s="697"/>
      <c r="AB46" s="697"/>
      <c r="AC46" s="697"/>
    </row>
    <row r="47" spans="1:29" ht="15.75" thickBot="1">
      <c r="A47" s="444" t="s">
        <v>2430</v>
      </c>
      <c r="B47" s="638"/>
      <c r="C47" s="447">
        <f>R48</f>
        <v>4975</v>
      </c>
      <c r="D47" s="2504" t="s">
        <v>2819</v>
      </c>
      <c r="E47" s="447">
        <f>R47</f>
        <v>5206</v>
      </c>
      <c r="F47" s="2505"/>
      <c r="G47" s="446">
        <f>T47</f>
        <v>4720</v>
      </c>
      <c r="H47" s="2505"/>
      <c r="I47" s="447">
        <f>V47</f>
        <v>4998</v>
      </c>
      <c r="J47" s="2505"/>
      <c r="K47" s="2507">
        <f>F47+H47+J47</f>
        <v>0</v>
      </c>
      <c r="L47" s="2918"/>
      <c r="M47" s="2919"/>
      <c r="N47" s="2919"/>
      <c r="O47" s="2919"/>
      <c r="P47" s="3546" t="str">
        <f>A47</f>
        <v>比较价值（元/平方米）</v>
      </c>
      <c r="Q47" s="3546"/>
      <c r="R47" s="3607">
        <f>ROUND(PRODUCT(R46,AA7:AA45),0)</f>
        <v>5206</v>
      </c>
      <c r="S47" s="3607"/>
      <c r="T47" s="3607">
        <f>ROUND(PRODUCT(T46,AB7:AB45),0)</f>
        <v>4720</v>
      </c>
      <c r="U47" s="3607"/>
      <c r="V47" s="3607">
        <f>ROUND(PRODUCT(V46,AC7:AC45),0)</f>
        <v>4998</v>
      </c>
      <c r="W47" s="3607"/>
      <c r="X47" s="697"/>
      <c r="Y47" s="697"/>
      <c r="Z47" s="697"/>
      <c r="AA47" s="697"/>
      <c r="AB47" s="697"/>
      <c r="AC47" s="697"/>
    </row>
    <row r="48" spans="1:29" ht="15.75" thickBot="1">
      <c r="A48" s="448" t="s">
        <v>2517</v>
      </c>
      <c r="B48" s="449"/>
      <c r="C48" s="450">
        <f>R48</f>
        <v>4975</v>
      </c>
      <c r="D48" s="450"/>
      <c r="E48" s="450"/>
      <c r="F48" s="450"/>
      <c r="G48" s="450"/>
      <c r="H48" s="450"/>
      <c r="I48" s="450"/>
      <c r="J48" s="450"/>
      <c r="K48" s="722"/>
      <c r="L48" s="2918"/>
      <c r="M48" s="2919"/>
      <c r="N48" s="2919"/>
      <c r="O48" s="2919"/>
      <c r="P48" s="3543" t="str">
        <f>A48</f>
        <v>估价对象XX用房的比较价值（楼面单价，元/平方米）</v>
      </c>
      <c r="Q48" s="3544"/>
      <c r="R48" s="3608">
        <f>ROUND(IF(D47="简单平均",AVERAGE(R47:W47),R47*F47+T47*H47+V47*J47),0)</f>
        <v>4975</v>
      </c>
      <c r="S48" s="3608"/>
      <c r="T48" s="3608"/>
      <c r="U48" s="3608"/>
      <c r="V48" s="3608"/>
      <c r="W48" s="3608"/>
      <c r="X48" s="697"/>
      <c r="Y48" s="697"/>
      <c r="Z48" s="697"/>
      <c r="AA48" s="697"/>
      <c r="AB48" s="697"/>
      <c r="AC48" s="697"/>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3" t="s">
        <v>2432</v>
      </c>
      <c r="D51" s="454"/>
      <c r="E51" s="455">
        <f>IF(E46&lt;E47,E47/E46-1,E46/E47-1)</f>
        <v>0.21464952251627967</v>
      </c>
      <c r="F51" s="456" t="str">
        <f>IF(OR(E51&gt;=0.3,E51&lt;=-0.3),"超过30%","")</f>
        <v/>
      </c>
      <c r="G51" s="455">
        <f>IF(G46&lt;G47,G47/G46-1,G46/G47-1)</f>
        <v>0.14839893237828083</v>
      </c>
      <c r="H51" s="456" t="str">
        <f>IF(OR(G51&gt;=0.3,G51&lt;=-0.3),"超过30%","")</f>
        <v/>
      </c>
      <c r="I51" s="455">
        <f>IF(I46&lt;I47,I47/I46-1,I46/I47-1)</f>
        <v>0.29725520731944721</v>
      </c>
      <c r="J51" s="456" t="str">
        <f>IF(OR(I51&gt;=0.3,I51&lt;=-0.3),"超过30%","")</f>
        <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3" t="s">
        <v>2433</v>
      </c>
      <c r="D52" s="457"/>
      <c r="E52" s="455">
        <f>IF(E47&lt;G47,G47/E47-1,E47/G47-1)</f>
        <v>0.10296610169491527</v>
      </c>
      <c r="F52" s="456" t="str">
        <f>IF(OR(E52&gt;=0.2,E52&lt;=-0.2),"超过20%","")</f>
        <v/>
      </c>
      <c r="G52" s="455">
        <f>IF(G47&lt;I47,I47/G47-1,G47/I47-1)</f>
        <v>5.8898305084745806E-2</v>
      </c>
      <c r="H52" s="456" t="str">
        <f>IF(OR(G52&gt;=0.2,G52&lt;=-0.2),"超过20%","")</f>
        <v/>
      </c>
      <c r="I52" s="455">
        <f>IF(I47&lt;E47,E47/I47-1,I47/E47-1)</f>
        <v>4.1616646658663381E-2</v>
      </c>
      <c r="J52" s="456" t="str">
        <f>IF(OR(I52&gt;=0.2,I52&lt;=-0.2),"超过20%","")</f>
        <v/>
      </c>
      <c r="K52" s="2924"/>
      <c r="L52" s="2920"/>
      <c r="M52" s="2919"/>
      <c r="N52" s="2919"/>
      <c r="O52" s="2919"/>
      <c r="P52" s="2919"/>
      <c r="Q52" s="2919"/>
      <c r="R52" s="2919"/>
      <c r="S52" s="2919"/>
      <c r="T52" s="2919"/>
      <c r="U52" s="2919"/>
      <c r="V52" s="2919"/>
      <c r="W52" s="2919"/>
      <c r="X52" s="2919"/>
      <c r="Y52" s="2919"/>
      <c r="Z52" s="2919"/>
      <c r="AA52" s="2919"/>
      <c r="AB52" s="2919"/>
      <c r="AC52" s="2919"/>
    </row>
    <row r="53" spans="1:29" s="458" customFormat="1" ht="13.5" customHeight="1">
      <c r="A53" s="2922"/>
      <c r="B53" s="2922"/>
      <c r="C53" s="453" t="s">
        <v>2434</v>
      </c>
      <c r="D53" s="457"/>
      <c r="E53" s="455">
        <f>IF(E46&lt;G46,G46/E46-1,E46/G46-1)</f>
        <v>4.2807056814117672E-2</v>
      </c>
      <c r="F53" s="456" t="str">
        <f>IF(OR(E53&gt;=0.3,E53&lt;=-0.3),"超过30%","")</f>
        <v/>
      </c>
      <c r="G53" s="455">
        <f>IF(G46&lt;I46,I46/G46-1,G46/I46-1)</f>
        <v>6.678865745246898E-2</v>
      </c>
      <c r="H53" s="456" t="str">
        <f>IF(OR(G53&gt;=0.3,G53&lt;=-0.3),"超过30%","")</f>
        <v/>
      </c>
      <c r="I53" s="455">
        <f>IF(I46&lt;E46,E46/I46-1,I46/E46-1)</f>
        <v>0.11245474012069301</v>
      </c>
      <c r="J53" s="456" t="str">
        <f>IF(OR(I53&gt;=0.3,I53&lt;=-0.3),"超过30%","")</f>
        <v/>
      </c>
      <c r="K53" s="2927"/>
      <c r="L53" s="2921"/>
      <c r="M53" s="2922"/>
      <c r="N53" s="2922"/>
      <c r="O53" s="2922"/>
      <c r="P53" s="2922"/>
      <c r="Q53" s="2922"/>
      <c r="R53" s="2922"/>
      <c r="S53" s="2922"/>
      <c r="T53" s="2922"/>
      <c r="U53" s="2922"/>
      <c r="V53" s="2922"/>
      <c r="W53" s="2922"/>
      <c r="X53" s="2922"/>
      <c r="Y53" s="2922"/>
      <c r="Z53" s="2922"/>
      <c r="AA53" s="2922"/>
      <c r="AB53" s="2922"/>
      <c r="AC53" s="2922"/>
    </row>
    <row r="54" spans="1:29" s="458" customFormat="1" ht="15" thickBot="1">
      <c r="A54" s="2922"/>
      <c r="B54" s="2925"/>
      <c r="C54" s="700"/>
      <c r="D54" s="698"/>
      <c r="E54" s="698"/>
      <c r="F54" s="698"/>
      <c r="G54" s="698"/>
      <c r="H54" s="698"/>
      <c r="I54" s="698"/>
      <c r="J54" s="698"/>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39" t="s">
        <v>2518</v>
      </c>
      <c r="B55" s="640" t="s">
        <v>2519</v>
      </c>
      <c r="C55" s="2135" t="s">
        <v>2520</v>
      </c>
      <c r="D55" s="2136" t="s">
        <v>2521</v>
      </c>
      <c r="E55" s="641" t="s">
        <v>2522</v>
      </c>
      <c r="F55" s="1019" t="s">
        <v>2523</v>
      </c>
      <c r="G55" s="3562" t="s">
        <v>2524</v>
      </c>
      <c r="H55" s="3609"/>
      <c r="I55" s="139" t="s">
        <v>2525</v>
      </c>
      <c r="J55" s="2137">
        <f>项目基本情况!F35</f>
        <v>0</v>
      </c>
      <c r="K55" s="2138" t="s">
        <v>2526</v>
      </c>
      <c r="L55" s="2920"/>
      <c r="M55" s="2919"/>
      <c r="N55" s="2919"/>
      <c r="O55" s="2919"/>
      <c r="P55" s="2919"/>
      <c r="Q55" s="2919"/>
      <c r="R55" s="2919"/>
      <c r="S55" s="2919"/>
      <c r="T55" s="2919"/>
      <c r="U55" s="2919"/>
      <c r="V55" s="2919"/>
      <c r="W55" s="2919"/>
      <c r="X55" s="2919"/>
      <c r="Y55" s="2919"/>
      <c r="Z55" s="2919"/>
      <c r="AA55" s="2919"/>
      <c r="AB55" s="2919"/>
      <c r="AC55" s="2919"/>
    </row>
    <row r="56" spans="1:29" s="647" customFormat="1">
      <c r="A56" s="643" t="s">
        <v>2527</v>
      </c>
      <c r="B56" s="644">
        <f>C48</f>
        <v>4975</v>
      </c>
      <c r="C56" s="645">
        <v>1</v>
      </c>
      <c r="D56" s="1073">
        <v>1</v>
      </c>
      <c r="E56" s="645">
        <f>'数据-汇总表'!E8+'数据-汇总表'!E9</f>
        <v>47461.850000000006</v>
      </c>
      <c r="F56" s="1015">
        <f t="shared" ref="F56:F65" si="17">ROUND(B56*E56/10000,0)</f>
        <v>23612</v>
      </c>
      <c r="G56" s="3557"/>
      <c r="H56" s="3546"/>
      <c r="I56" s="1020">
        <v>1</v>
      </c>
      <c r="J56" s="1023">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7" customFormat="1">
      <c r="A57" s="648" t="s">
        <v>2528</v>
      </c>
      <c r="B57" s="223">
        <f>ROUND($C$48*C57*D57,0)</f>
        <v>871</v>
      </c>
      <c r="C57" s="175">
        <f t="shared" ref="C57:C65" si="18">IF($C$55="北京市系数",I57,J57)</f>
        <v>0.7</v>
      </c>
      <c r="D57" s="1074">
        <v>0.25</v>
      </c>
      <c r="E57" s="649"/>
      <c r="F57" s="1015">
        <f t="shared" si="17"/>
        <v>0</v>
      </c>
      <c r="G57" s="3610" t="s">
        <v>2529</v>
      </c>
      <c r="H57" s="1016" t="str">
        <f>项目基本情况!B37</f>
        <v>七级</v>
      </c>
      <c r="I57" s="1020">
        <f>SUMIF(修正!A45:A56,H57,修正!B45:B56)</f>
        <v>0.7</v>
      </c>
      <c r="J57" s="1024"/>
      <c r="K57" s="2919"/>
      <c r="L57" s="2976"/>
      <c r="M57" s="2976"/>
      <c r="N57" s="2976"/>
      <c r="O57" s="2976"/>
      <c r="P57" s="2976"/>
      <c r="Q57" s="2976"/>
      <c r="R57" s="2976"/>
      <c r="S57" s="2976"/>
      <c r="T57" s="2976"/>
      <c r="U57" s="2976"/>
      <c r="V57" s="2976"/>
      <c r="W57" s="2976"/>
      <c r="X57" s="2976"/>
      <c r="Y57" s="2976"/>
      <c r="Z57" s="2976"/>
      <c r="AA57" s="2976"/>
      <c r="AB57" s="2976"/>
      <c r="AC57" s="2976"/>
    </row>
    <row r="58" spans="1:29" s="647" customFormat="1">
      <c r="A58" s="648" t="s">
        <v>2530</v>
      </c>
      <c r="B58" s="223">
        <f t="shared" ref="B58:B65" si="19">ROUND($C$48*C58*D58,0)</f>
        <v>498</v>
      </c>
      <c r="C58" s="175">
        <f t="shared" si="18"/>
        <v>0.4</v>
      </c>
      <c r="D58" s="1074">
        <v>0.25</v>
      </c>
      <c r="E58" s="649"/>
      <c r="F58" s="1015">
        <f t="shared" si="17"/>
        <v>0</v>
      </c>
      <c r="G58" s="3610"/>
      <c r="H58" s="1016" t="str">
        <f>项目基本情况!B37</f>
        <v>七级</v>
      </c>
      <c r="I58" s="1020">
        <f>SUMIF(修正!A45:A56,H58,修正!C45:C56)</f>
        <v>0.4</v>
      </c>
      <c r="J58" s="1024"/>
      <c r="K58" s="2922"/>
      <c r="L58" s="2976"/>
      <c r="M58" s="2976"/>
      <c r="N58" s="2976"/>
      <c r="O58" s="2976"/>
      <c r="P58" s="2976"/>
      <c r="Q58" s="2976"/>
      <c r="R58" s="2976"/>
      <c r="S58" s="2976"/>
      <c r="T58" s="2976"/>
      <c r="U58" s="2976"/>
      <c r="V58" s="2976"/>
      <c r="W58" s="2976"/>
      <c r="X58" s="2976"/>
      <c r="Y58" s="2976"/>
      <c r="Z58" s="2976"/>
      <c r="AA58" s="2976"/>
      <c r="AB58" s="2976"/>
      <c r="AC58" s="2976"/>
    </row>
    <row r="59" spans="1:29" s="647" customFormat="1">
      <c r="A59" s="648" t="s">
        <v>2531</v>
      </c>
      <c r="B59" s="223">
        <f t="shared" si="19"/>
        <v>348</v>
      </c>
      <c r="C59" s="175">
        <f t="shared" si="18"/>
        <v>0.28000000000000003</v>
      </c>
      <c r="D59" s="1074">
        <v>0.25</v>
      </c>
      <c r="E59" s="649"/>
      <c r="F59" s="1015">
        <f t="shared" si="17"/>
        <v>0</v>
      </c>
      <c r="G59" s="3610"/>
      <c r="H59" s="1016" t="str">
        <f>项目基本情况!B37</f>
        <v>七级</v>
      </c>
      <c r="I59" s="1020">
        <f>SUMIF(修正!A45:A56,H59,修正!D45:D56)</f>
        <v>0.28000000000000003</v>
      </c>
      <c r="J59" s="1024"/>
      <c r="K59" s="2919"/>
      <c r="L59" s="2976"/>
      <c r="M59" s="2976"/>
      <c r="N59" s="2976"/>
      <c r="O59" s="2976"/>
      <c r="P59" s="2976"/>
      <c r="Q59" s="2976"/>
      <c r="R59" s="2976"/>
      <c r="S59" s="2976"/>
      <c r="T59" s="2976"/>
      <c r="U59" s="2976"/>
      <c r="V59" s="2976"/>
      <c r="W59" s="2976"/>
      <c r="X59" s="2976"/>
      <c r="Y59" s="2976"/>
      <c r="Z59" s="2976"/>
      <c r="AA59" s="2976"/>
      <c r="AB59" s="2976"/>
      <c r="AC59" s="2976"/>
    </row>
    <row r="60" spans="1:29" s="647" customFormat="1">
      <c r="A60" s="648" t="s">
        <v>2532</v>
      </c>
      <c r="B60" s="223">
        <f t="shared" si="19"/>
        <v>311</v>
      </c>
      <c r="C60" s="175">
        <f t="shared" si="18"/>
        <v>0.25</v>
      </c>
      <c r="D60" s="1074">
        <v>0.25</v>
      </c>
      <c r="E60" s="649"/>
      <c r="F60" s="1015">
        <f t="shared" si="17"/>
        <v>0</v>
      </c>
      <c r="G60" s="3610"/>
      <c r="H60" s="1016" t="str">
        <f>项目基本情况!B37</f>
        <v>七级</v>
      </c>
      <c r="I60" s="1020">
        <f>SUMIF(修正!A45:A56,H60,修正!E45:E56)</f>
        <v>0.25</v>
      </c>
      <c r="J60" s="1024"/>
      <c r="K60" s="2922"/>
      <c r="L60" s="2976"/>
      <c r="M60" s="2976"/>
      <c r="N60" s="2976"/>
      <c r="O60" s="2976"/>
      <c r="P60" s="2976"/>
      <c r="Q60" s="2976"/>
      <c r="R60" s="2976"/>
      <c r="S60" s="2976"/>
      <c r="T60" s="2976"/>
      <c r="U60" s="2976"/>
      <c r="V60" s="2976"/>
      <c r="W60" s="2976"/>
      <c r="X60" s="2976"/>
      <c r="Y60" s="2976"/>
      <c r="Z60" s="2976"/>
      <c r="AA60" s="2976"/>
      <c r="AB60" s="2976"/>
      <c r="AC60" s="2976"/>
    </row>
    <row r="61" spans="1:29" s="647" customFormat="1">
      <c r="A61" s="648" t="s">
        <v>2533</v>
      </c>
      <c r="B61" s="223">
        <f t="shared" si="19"/>
        <v>311</v>
      </c>
      <c r="C61" s="175">
        <f t="shared" si="18"/>
        <v>0.25</v>
      </c>
      <c r="D61" s="1074">
        <v>0.25</v>
      </c>
      <c r="E61" s="222">
        <f>'数据-汇总表'!E11</f>
        <v>0</v>
      </c>
      <c r="F61" s="1015">
        <f t="shared" si="17"/>
        <v>0</v>
      </c>
      <c r="G61" s="2139" t="s">
        <v>2534</v>
      </c>
      <c r="H61" s="1016" t="str">
        <f>项目基本情况!C37</f>
        <v>七级</v>
      </c>
      <c r="I61" s="1020">
        <f>SUMIF(修正!A45:A56,H61,修正!F45:F56)</f>
        <v>0.25</v>
      </c>
      <c r="J61" s="1024"/>
      <c r="K61" s="2919"/>
      <c r="L61" s="2976"/>
      <c r="M61" s="2976"/>
      <c r="N61" s="2976"/>
      <c r="O61" s="2976"/>
      <c r="P61" s="2976"/>
      <c r="Q61" s="2976"/>
      <c r="R61" s="2976"/>
      <c r="S61" s="2976"/>
      <c r="T61" s="2976"/>
      <c r="U61" s="2976"/>
      <c r="V61" s="2976"/>
      <c r="W61" s="2976"/>
      <c r="X61" s="2976"/>
      <c r="Y61" s="2976"/>
      <c r="Z61" s="2976"/>
      <c r="AA61" s="2976"/>
      <c r="AB61" s="2976"/>
      <c r="AC61" s="2976"/>
    </row>
    <row r="62" spans="1:29" s="647" customFormat="1">
      <c r="A62" s="648" t="s">
        <v>2535</v>
      </c>
      <c r="B62" s="223">
        <f t="shared" si="19"/>
        <v>311</v>
      </c>
      <c r="C62" s="175">
        <f t="shared" si="18"/>
        <v>0.25</v>
      </c>
      <c r="D62" s="1074">
        <v>0.25</v>
      </c>
      <c r="E62" s="222">
        <f>'数据-汇总表'!E12</f>
        <v>0</v>
      </c>
      <c r="F62" s="1015">
        <f t="shared" si="17"/>
        <v>0</v>
      </c>
      <c r="G62" s="1021" t="s">
        <v>2536</v>
      </c>
      <c r="H62" s="1016" t="str">
        <f>IF(G62="商业",项目基本情况!B37,IF(G62="办公",项目基本情况!C37,IF(G62="住宅",项目基本情况!D37,项目基本情况!E37)))</f>
        <v>七级</v>
      </c>
      <c r="I62" s="1020">
        <f>SUMIF(修正!A45:A56,H62,修正!G45:G56)</f>
        <v>0.25</v>
      </c>
      <c r="J62" s="1024"/>
      <c r="K62" s="2922"/>
      <c r="L62" s="2976"/>
      <c r="M62" s="2976"/>
      <c r="N62" s="2976"/>
      <c r="O62" s="2976"/>
      <c r="P62" s="2976"/>
      <c r="Q62" s="2976"/>
      <c r="R62" s="2976"/>
      <c r="S62" s="2976"/>
      <c r="T62" s="2976"/>
      <c r="U62" s="2976"/>
      <c r="V62" s="2976"/>
      <c r="W62" s="2976"/>
      <c r="X62" s="2976"/>
      <c r="Y62" s="2976"/>
      <c r="Z62" s="2976"/>
      <c r="AA62" s="2976"/>
      <c r="AB62" s="2976"/>
      <c r="AC62" s="2976"/>
    </row>
    <row r="63" spans="1:29" s="647" customFormat="1">
      <c r="A63" s="648" t="s">
        <v>2537</v>
      </c>
      <c r="B63" s="223">
        <f t="shared" si="19"/>
        <v>249</v>
      </c>
      <c r="C63" s="175">
        <f t="shared" si="18"/>
        <v>0.2</v>
      </c>
      <c r="D63" s="1074">
        <v>0.25</v>
      </c>
      <c r="E63" s="222">
        <f>'数据-汇总表'!E13</f>
        <v>0</v>
      </c>
      <c r="F63" s="1015">
        <f t="shared" si="17"/>
        <v>0</v>
      </c>
      <c r="G63" s="1021" t="s">
        <v>2538</v>
      </c>
      <c r="H63" s="1016" t="str">
        <f>IF(G63="商业",项目基本情况!B37,IF(G63="办公",项目基本情况!C37,IF(G63="住宅",项目基本情况!D37,项目基本情况!E37)))</f>
        <v>七级</v>
      </c>
      <c r="I63" s="1020">
        <f>SUMIF(修正!A45:A56,H63,修正!H45:H56)</f>
        <v>0.2</v>
      </c>
      <c r="J63" s="1024"/>
      <c r="K63" s="2919"/>
      <c r="L63" s="2976"/>
      <c r="M63" s="2976"/>
      <c r="N63" s="2976"/>
      <c r="O63" s="2976"/>
      <c r="P63" s="2976"/>
      <c r="Q63" s="2976"/>
      <c r="R63" s="2976"/>
      <c r="S63" s="2976"/>
      <c r="T63" s="2976"/>
      <c r="U63" s="2976"/>
      <c r="V63" s="2976"/>
      <c r="W63" s="2976"/>
      <c r="X63" s="2976"/>
      <c r="Y63" s="2976"/>
      <c r="Z63" s="2976"/>
      <c r="AA63" s="2976"/>
      <c r="AB63" s="2976"/>
      <c r="AC63" s="2976"/>
    </row>
    <row r="64" spans="1:29" s="647" customFormat="1">
      <c r="A64" s="648" t="s">
        <v>2539</v>
      </c>
      <c r="B64" s="223">
        <f t="shared" si="19"/>
        <v>249</v>
      </c>
      <c r="C64" s="175">
        <f t="shared" si="18"/>
        <v>0.2</v>
      </c>
      <c r="D64" s="1074">
        <v>0.25</v>
      </c>
      <c r="E64" s="222">
        <f>'数据-汇总表'!E14</f>
        <v>0</v>
      </c>
      <c r="F64" s="1015">
        <f t="shared" si="17"/>
        <v>0</v>
      </c>
      <c r="G64" s="2139" t="s">
        <v>2529</v>
      </c>
      <c r="H64" s="1016" t="str">
        <f>项目基本情况!B37</f>
        <v>七级</v>
      </c>
      <c r="I64" s="1020">
        <f>SUMIF(修正!A45:A56,H64,修正!H45:H56)</f>
        <v>0.2</v>
      </c>
      <c r="J64" s="1024"/>
      <c r="K64" s="2922"/>
      <c r="L64" s="2976"/>
      <c r="M64" s="2976"/>
      <c r="N64" s="2976"/>
      <c r="O64" s="2976"/>
      <c r="P64" s="2976"/>
      <c r="Q64" s="2976"/>
      <c r="R64" s="2976"/>
      <c r="S64" s="2976"/>
      <c r="T64" s="2976"/>
      <c r="U64" s="2976"/>
      <c r="V64" s="2976"/>
      <c r="W64" s="2976"/>
      <c r="X64" s="2976"/>
      <c r="Y64" s="2976"/>
      <c r="Z64" s="2976"/>
      <c r="AA64" s="2976"/>
      <c r="AB64" s="2976"/>
      <c r="AC64" s="2976"/>
    </row>
    <row r="65" spans="1:29" s="647" customFormat="1" ht="15" thickBot="1">
      <c r="A65" s="648" t="s">
        <v>2540</v>
      </c>
      <c r="B65" s="223">
        <f t="shared" si="19"/>
        <v>249</v>
      </c>
      <c r="C65" s="175">
        <f t="shared" si="18"/>
        <v>0.2</v>
      </c>
      <c r="D65" s="1074">
        <v>0.25</v>
      </c>
      <c r="E65" s="222">
        <f>'数据-汇总表'!E15</f>
        <v>0</v>
      </c>
      <c r="F65" s="1015">
        <f t="shared" si="17"/>
        <v>0</v>
      </c>
      <c r="G65" s="2140" t="s">
        <v>2534</v>
      </c>
      <c r="H65" s="1026" t="str">
        <f>项目基本情况!C37</f>
        <v>七级</v>
      </c>
      <c r="I65" s="1022">
        <f>SUMIF(修正!A45:A56,H65,修正!H45:H56)</f>
        <v>0.2</v>
      </c>
      <c r="J65" s="1025"/>
      <c r="K65" s="2919"/>
      <c r="L65" s="2976"/>
      <c r="M65" s="2976"/>
      <c r="N65" s="2976"/>
      <c r="O65" s="2976"/>
      <c r="P65" s="2976"/>
      <c r="Q65" s="2976"/>
      <c r="R65" s="2976"/>
      <c r="S65" s="2976"/>
      <c r="T65" s="2976"/>
      <c r="U65" s="2976"/>
      <c r="V65" s="2976"/>
      <c r="W65" s="2976"/>
      <c r="X65" s="2976"/>
      <c r="Y65" s="2976"/>
      <c r="Z65" s="2976"/>
      <c r="AA65" s="2976"/>
      <c r="AB65" s="2976"/>
      <c r="AC65" s="2976"/>
    </row>
    <row r="66" spans="1:29" s="647" customFormat="1" ht="13.5" thickBot="1">
      <c r="A66" s="650" t="s">
        <v>2541</v>
      </c>
      <c r="B66" s="651" t="s">
        <v>28</v>
      </c>
      <c r="C66" s="651" t="s">
        <v>29</v>
      </c>
      <c r="D66" s="651" t="s">
        <v>997</v>
      </c>
      <c r="E66" s="651">
        <f>IF(B46="楼面地价",SUM(E56:E65),'数据-汇总表'!D3)</f>
        <v>25000</v>
      </c>
      <c r="F66" s="652">
        <f>IF(B46="楼面地价",SUM(F56:F65),ROUND(C48*E66/10000,0))</f>
        <v>12438</v>
      </c>
      <c r="G66" s="724"/>
      <c r="H66" s="724"/>
      <c r="I66" s="724"/>
      <c r="J66" s="724"/>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7"/>
      <c r="B67" s="699"/>
      <c r="C67" s="700"/>
      <c r="D67" s="697"/>
      <c r="E67" s="697"/>
      <c r="F67" s="697"/>
      <c r="G67" s="697"/>
      <c r="H67" s="697"/>
      <c r="I67" s="697"/>
      <c r="J67" s="1056"/>
      <c r="K67" s="1017"/>
      <c r="L67" s="1018"/>
      <c r="M67" s="1056"/>
      <c r="N67" s="1056"/>
      <c r="O67" s="1056"/>
      <c r="P67" s="2919"/>
      <c r="Q67" s="2919"/>
      <c r="R67" s="2919"/>
      <c r="S67" s="2919"/>
      <c r="T67" s="2919"/>
      <c r="U67" s="2919"/>
      <c r="V67" s="2919"/>
      <c r="W67" s="2919"/>
      <c r="X67" s="2919"/>
      <c r="Y67" s="2919"/>
      <c r="Z67" s="2919"/>
      <c r="AA67" s="2919"/>
      <c r="AB67" s="2919"/>
      <c r="AC67" s="2919"/>
    </row>
    <row r="68" spans="1:29">
      <c r="A68" s="697"/>
      <c r="B68" s="699"/>
      <c r="C68" s="699" t="str">
        <f>YEAR(C7)&amp;"-"&amp;MONTH(C7)&amp;"-1"</f>
        <v>2022-2-1</v>
      </c>
      <c r="D68" s="699">
        <f>EDATE(C68,-3)</f>
        <v>44501</v>
      </c>
      <c r="E68" s="699">
        <f>EDATE(D68,-3)</f>
        <v>44409</v>
      </c>
      <c r="F68" s="699">
        <f t="shared" ref="F68:O68" si="20">EDATE(E68,-3)</f>
        <v>44317</v>
      </c>
      <c r="G68" s="699">
        <f t="shared" si="20"/>
        <v>44228</v>
      </c>
      <c r="H68" s="699">
        <f t="shared" si="20"/>
        <v>44136</v>
      </c>
      <c r="I68" s="699">
        <f t="shared" si="20"/>
        <v>44044</v>
      </c>
      <c r="J68" s="699">
        <f t="shared" si="20"/>
        <v>43952</v>
      </c>
      <c r="K68" s="699">
        <f t="shared" si="20"/>
        <v>43862</v>
      </c>
      <c r="L68" s="699">
        <f t="shared" si="20"/>
        <v>43770</v>
      </c>
      <c r="M68" s="699">
        <f t="shared" si="20"/>
        <v>43678</v>
      </c>
      <c r="N68" s="699">
        <f t="shared" si="20"/>
        <v>43586</v>
      </c>
      <c r="O68" s="699">
        <f t="shared" si="20"/>
        <v>43497</v>
      </c>
      <c r="P68" s="2919"/>
      <c r="Q68" s="2919"/>
      <c r="R68" s="2919"/>
      <c r="S68" s="2919"/>
      <c r="T68" s="2919"/>
      <c r="U68" s="2919"/>
      <c r="V68" s="2919"/>
      <c r="W68" s="2919"/>
      <c r="X68" s="2919"/>
      <c r="Y68" s="2919"/>
      <c r="Z68" s="2919"/>
      <c r="AA68" s="2919"/>
      <c r="AB68" s="2919"/>
      <c r="AC68" s="2919"/>
    </row>
    <row r="69" spans="1:29" ht="21.75" thickBot="1">
      <c r="A69" s="701" t="s">
        <v>2435</v>
      </c>
      <c r="B69" s="697"/>
      <c r="C69" s="702"/>
      <c r="D69" s="702"/>
      <c r="E69" s="702"/>
      <c r="F69" s="703"/>
      <c r="G69" s="703"/>
      <c r="H69" s="702"/>
      <c r="I69" s="702"/>
      <c r="J69" s="1069"/>
      <c r="K69" s="1070"/>
      <c r="L69" s="1071"/>
      <c r="M69" s="1069"/>
      <c r="N69" s="2963"/>
      <c r="O69" s="2963"/>
      <c r="P69" s="2963"/>
      <c r="Q69" s="2933"/>
      <c r="R69" s="2919"/>
      <c r="S69" s="2919"/>
      <c r="T69" s="2919"/>
      <c r="U69" s="2919"/>
      <c r="V69" s="2919"/>
      <c r="W69" s="2919"/>
      <c r="X69" s="2919"/>
      <c r="Y69" s="2919"/>
      <c r="Z69" s="2919"/>
      <c r="AA69" s="2919"/>
      <c r="AB69" s="2919"/>
      <c r="AC69" s="2919"/>
    </row>
    <row r="70" spans="1:29" s="464" customFormat="1" ht="15">
      <c r="A70" s="2141" t="s">
        <v>2542</v>
      </c>
      <c r="B70" s="1237"/>
      <c r="C70" s="1312" t="str">
        <f>YEAR(C68)&amp;"-"&amp;ROUNDUP(MONTH(C68)/3,0)</f>
        <v>2022-1</v>
      </c>
      <c r="D70" s="1312" t="str">
        <f>YEAR(D68)&amp;"-"&amp;ROUNDUP(MONTH(D68)/3,0)</f>
        <v>2021-4</v>
      </c>
      <c r="E70" s="1312" t="str">
        <f t="shared" ref="E70:O70" si="21">YEAR(E68)&amp;"-"&amp;ROUNDUP(MONTH(E68)/3,0)</f>
        <v>2021-3</v>
      </c>
      <c r="F70" s="1312" t="str">
        <f t="shared" si="21"/>
        <v>2021-2</v>
      </c>
      <c r="G70" s="1312" t="str">
        <f t="shared" si="21"/>
        <v>2021-1</v>
      </c>
      <c r="H70" s="1312" t="str">
        <f t="shared" si="21"/>
        <v>2020-4</v>
      </c>
      <c r="I70" s="1312" t="str">
        <f t="shared" si="21"/>
        <v>2020-3</v>
      </c>
      <c r="J70" s="1312" t="str">
        <f t="shared" si="21"/>
        <v>2020-2</v>
      </c>
      <c r="K70" s="1312" t="str">
        <f t="shared" si="21"/>
        <v>2020-1</v>
      </c>
      <c r="L70" s="1312" t="str">
        <f t="shared" si="21"/>
        <v>2019-4</v>
      </c>
      <c r="M70" s="1312" t="str">
        <f t="shared" si="21"/>
        <v>2019-3</v>
      </c>
      <c r="N70" s="1312" t="str">
        <f t="shared" si="21"/>
        <v>2019-2</v>
      </c>
      <c r="O70" s="1312" t="str">
        <f t="shared" si="21"/>
        <v>2019-1</v>
      </c>
      <c r="P70" s="2970"/>
      <c r="Q70" s="2935"/>
      <c r="R70" s="2935"/>
      <c r="S70" s="2935"/>
      <c r="T70" s="2935"/>
      <c r="U70" s="2935"/>
      <c r="V70" s="2935"/>
      <c r="W70" s="2935"/>
      <c r="X70" s="2935"/>
      <c r="Y70" s="2935"/>
      <c r="Z70" s="2935"/>
      <c r="AA70" s="2935"/>
      <c r="AB70" s="2935"/>
      <c r="AC70" s="2935"/>
    </row>
    <row r="71" spans="1:29" s="112" customFormat="1" ht="30" customHeight="1">
      <c r="A71" s="2142" t="s">
        <v>2543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08"/>
      <c r="N71" s="551"/>
      <c r="O71" s="1309"/>
      <c r="P71" s="2933"/>
      <c r="Q71" s="2853"/>
      <c r="R71" s="2853"/>
      <c r="S71" s="2853"/>
      <c r="T71" s="2853"/>
      <c r="U71" s="2853"/>
      <c r="V71" s="2853"/>
      <c r="W71" s="2853"/>
      <c r="X71" s="2853"/>
      <c r="Y71" s="2853"/>
      <c r="Z71" s="2853"/>
      <c r="AA71" s="2853"/>
      <c r="AB71" s="2853"/>
      <c r="AC71" s="2853"/>
    </row>
    <row r="72" spans="1:29" s="112" customFormat="1" ht="15.75" thickBot="1">
      <c r="A72" s="471" t="s">
        <v>2346</v>
      </c>
      <c r="B72" s="472"/>
      <c r="C72" s="473"/>
      <c r="D72" s="474"/>
      <c r="E72" s="474"/>
      <c r="F72" s="474"/>
      <c r="G72" s="474"/>
      <c r="H72" s="474"/>
      <c r="I72" s="474"/>
      <c r="J72" s="474"/>
      <c r="K72" s="474"/>
      <c r="L72" s="474"/>
      <c r="M72" s="475"/>
      <c r="N72" s="474"/>
      <c r="O72" s="1072"/>
      <c r="P72" s="2933"/>
      <c r="Q72" s="2933"/>
      <c r="R72" s="2853"/>
      <c r="S72" s="2853"/>
      <c r="T72" s="2853"/>
      <c r="U72" s="2853"/>
      <c r="V72" s="2853"/>
      <c r="W72" s="2853"/>
      <c r="X72" s="2853"/>
      <c r="Y72" s="2853"/>
      <c r="Z72" s="2853"/>
      <c r="AA72" s="2853"/>
      <c r="AB72" s="2853"/>
      <c r="AC72" s="2853"/>
    </row>
    <row r="73" spans="1:29" s="112" customFormat="1" ht="15">
      <c r="A73" s="477" t="s">
        <v>2311</v>
      </c>
      <c r="B73" s="466"/>
      <c r="C73" s="478" t="s">
        <v>2413</v>
      </c>
      <c r="D73" s="479"/>
      <c r="E73" s="479"/>
      <c r="F73" s="479"/>
      <c r="G73" s="479"/>
      <c r="H73" s="479"/>
      <c r="I73" s="479"/>
      <c r="J73" s="479"/>
      <c r="K73" s="479"/>
      <c r="L73" s="480"/>
      <c r="M73" s="481"/>
      <c r="N73" s="2946"/>
      <c r="O73" s="2946"/>
      <c r="P73" s="2971"/>
      <c r="Q73" s="2933"/>
      <c r="R73" s="2853"/>
      <c r="S73" s="2853"/>
      <c r="T73" s="2853"/>
      <c r="U73" s="2853"/>
      <c r="V73" s="2853"/>
      <c r="W73" s="2853"/>
      <c r="X73" s="2853"/>
      <c r="Y73" s="2853"/>
      <c r="Z73" s="2853"/>
      <c r="AA73" s="2853"/>
      <c r="AB73" s="2853"/>
      <c r="AC73" s="2853"/>
    </row>
    <row r="74" spans="1:29" s="112" customFormat="1" ht="15.75" thickBot="1">
      <c r="A74" s="477"/>
      <c r="B74" s="466"/>
      <c r="C74" s="594">
        <v>100</v>
      </c>
      <c r="D74" s="468"/>
      <c r="E74" s="468"/>
      <c r="F74" s="468"/>
      <c r="G74" s="468"/>
      <c r="H74" s="468"/>
      <c r="I74" s="468"/>
      <c r="J74" s="468"/>
      <c r="K74" s="468"/>
      <c r="L74" s="468"/>
      <c r="M74" s="470"/>
      <c r="N74" s="2946"/>
      <c r="O74" s="2946"/>
      <c r="P74" s="2933"/>
      <c r="Q74" s="2933"/>
      <c r="R74" s="2853"/>
      <c r="S74" s="2853"/>
      <c r="T74" s="2853"/>
      <c r="U74" s="2853"/>
      <c r="V74" s="2853"/>
      <c r="W74" s="2853"/>
      <c r="X74" s="2853"/>
      <c r="Y74" s="2853"/>
      <c r="Z74" s="2853"/>
      <c r="AA74" s="2853"/>
      <c r="AB74" s="2853"/>
      <c r="AC74" s="2853"/>
    </row>
    <row r="75" spans="1:29">
      <c r="A75" s="483" t="s">
        <v>2349</v>
      </c>
      <c r="B75" s="484" t="s">
        <v>2315</v>
      </c>
      <c r="C75" s="3292" t="s">
        <v>3392</v>
      </c>
      <c r="D75" s="486"/>
      <c r="E75" s="486"/>
      <c r="F75" s="486"/>
      <c r="G75" s="486"/>
      <c r="H75" s="486"/>
      <c r="I75" s="486"/>
      <c r="J75" s="486"/>
      <c r="K75" s="487"/>
      <c r="L75" s="488"/>
      <c r="M75" s="489"/>
      <c r="N75" s="2947"/>
      <c r="O75" s="2947"/>
      <c r="P75" s="2972"/>
      <c r="Q75" s="2933"/>
      <c r="R75" s="2919"/>
      <c r="S75" s="2919"/>
      <c r="T75" s="2919"/>
      <c r="U75" s="2919"/>
      <c r="V75" s="2919"/>
      <c r="W75" s="2919"/>
      <c r="X75" s="2919"/>
      <c r="Y75" s="2919"/>
      <c r="Z75" s="2919"/>
      <c r="AA75" s="2919"/>
      <c r="AB75" s="2919"/>
      <c r="AC75" s="2919"/>
    </row>
    <row r="76" spans="1:29" ht="15.75" thickBot="1">
      <c r="A76" s="490"/>
      <c r="B76" s="491"/>
      <c r="C76" s="492">
        <v>100</v>
      </c>
      <c r="D76" s="492"/>
      <c r="E76" s="492"/>
      <c r="F76" s="492"/>
      <c r="G76" s="492"/>
      <c r="H76" s="492"/>
      <c r="I76" s="492"/>
      <c r="J76" s="492"/>
      <c r="K76" s="492"/>
      <c r="L76" s="492"/>
      <c r="M76" s="493"/>
      <c r="N76" s="2948"/>
      <c r="O76" s="2948"/>
      <c r="P76" s="2972"/>
      <c r="Q76" s="2933"/>
      <c r="R76" s="2919"/>
      <c r="S76" s="2919"/>
      <c r="T76" s="2919"/>
      <c r="U76" s="2919"/>
      <c r="V76" s="2919"/>
      <c r="W76" s="2919"/>
      <c r="X76" s="2919"/>
      <c r="Y76" s="2919"/>
      <c r="Z76" s="2919"/>
      <c r="AA76" s="2919"/>
      <c r="AB76" s="2919"/>
      <c r="AC76" s="2919"/>
    </row>
    <row r="77" spans="1:29" ht="27.75" thickTop="1">
      <c r="A77" s="490"/>
      <c r="B77" s="494" t="s">
        <v>2318</v>
      </c>
      <c r="C77" s="495"/>
      <c r="D77" s="495"/>
      <c r="E77" s="495"/>
      <c r="F77" s="495"/>
      <c r="G77" s="495"/>
      <c r="H77" s="495"/>
      <c r="I77" s="495"/>
      <c r="J77" s="495"/>
      <c r="K77" s="496"/>
      <c r="L77" s="497"/>
      <c r="M77" s="498"/>
      <c r="N77" s="2947"/>
      <c r="O77" s="2947"/>
      <c r="P77" s="2972"/>
      <c r="Q77" s="2933"/>
      <c r="R77" s="2919"/>
      <c r="S77" s="2919"/>
      <c r="T77" s="2919"/>
      <c r="U77" s="2919"/>
      <c r="V77" s="2919"/>
      <c r="W77" s="2919"/>
      <c r="X77" s="2919"/>
      <c r="Y77" s="2919"/>
      <c r="Z77" s="2919"/>
      <c r="AA77" s="2919"/>
      <c r="AB77" s="2919"/>
      <c r="AC77" s="2919"/>
    </row>
    <row r="78" spans="1:29" ht="15.75" thickBot="1">
      <c r="A78" s="490"/>
      <c r="B78" s="499"/>
      <c r="C78" s="500"/>
      <c r="D78" s="500"/>
      <c r="E78" s="500"/>
      <c r="F78" s="500"/>
      <c r="G78" s="500"/>
      <c r="H78" s="500"/>
      <c r="I78" s="500"/>
      <c r="J78" s="500"/>
      <c r="K78" s="500"/>
      <c r="L78" s="500"/>
      <c r="M78" s="501"/>
      <c r="N78" s="2948"/>
      <c r="O78" s="2948"/>
      <c r="P78" s="2972"/>
      <c r="Q78" s="2933"/>
      <c r="R78" s="2919"/>
      <c r="S78" s="2919"/>
      <c r="T78" s="2919"/>
      <c r="U78" s="2919"/>
      <c r="V78" s="2919"/>
      <c r="W78" s="2919"/>
      <c r="X78" s="2919"/>
      <c r="Y78" s="2919"/>
      <c r="Z78" s="2919"/>
      <c r="AA78" s="2919"/>
      <c r="AB78" s="2919"/>
      <c r="AC78" s="2919"/>
    </row>
    <row r="79" spans="1:29" ht="15.75" thickTop="1">
      <c r="A79" s="490"/>
      <c r="B79" s="502" t="s">
        <v>2319</v>
      </c>
      <c r="C79" s="503" t="str">
        <f>C80&amp;"（含）"&amp;"-"&amp;D80</f>
        <v>0（含）-1</v>
      </c>
      <c r="D79" s="503" t="str">
        <f t="shared" ref="D79:L79" si="22">D80&amp;"（含）"&amp;"-"&amp;E80</f>
        <v>1（含）-2</v>
      </c>
      <c r="E79" s="503" t="str">
        <f t="shared" si="22"/>
        <v>2（含）-3</v>
      </c>
      <c r="F79" s="503" t="str">
        <f t="shared" si="22"/>
        <v>3（含）-4</v>
      </c>
      <c r="G79" s="503" t="str">
        <f t="shared" si="22"/>
        <v>4（含）-5</v>
      </c>
      <c r="H79" s="503" t="str">
        <f t="shared" si="22"/>
        <v>5（含）-</v>
      </c>
      <c r="I79" s="503" t="str">
        <f t="shared" si="22"/>
        <v>（含）-</v>
      </c>
      <c r="J79" s="503" t="str">
        <f t="shared" si="22"/>
        <v>（含）-</v>
      </c>
      <c r="K79" s="503" t="str">
        <f t="shared" si="22"/>
        <v>（含）-</v>
      </c>
      <c r="L79" s="503" t="str">
        <f t="shared" si="22"/>
        <v>（含）-</v>
      </c>
      <c r="M79" s="406"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0"/>
      <c r="B80" s="504"/>
      <c r="C80" s="505">
        <v>0</v>
      </c>
      <c r="D80" s="505">
        <v>1</v>
      </c>
      <c r="E80" s="505">
        <v>2</v>
      </c>
      <c r="F80" s="505">
        <v>3</v>
      </c>
      <c r="G80" s="505">
        <v>4</v>
      </c>
      <c r="H80" s="505">
        <v>5</v>
      </c>
      <c r="I80" s="505"/>
      <c r="J80" s="505"/>
      <c r="K80" s="506"/>
      <c r="L80" s="507"/>
      <c r="M80" s="508"/>
      <c r="N80" s="2947"/>
      <c r="O80" s="2947"/>
      <c r="P80" s="2972"/>
      <c r="Q80" s="2933"/>
      <c r="R80" s="2919"/>
      <c r="S80" s="2919"/>
      <c r="T80" s="2919"/>
      <c r="U80" s="2919"/>
      <c r="V80" s="2919"/>
      <c r="W80" s="2919"/>
      <c r="X80" s="2919"/>
      <c r="Y80" s="2919"/>
      <c r="Z80" s="2919"/>
      <c r="AA80" s="2919"/>
      <c r="AB80" s="2919"/>
      <c r="AC80" s="2919"/>
    </row>
    <row r="81" spans="1:29" ht="15.75" thickBot="1">
      <c r="A81" s="490"/>
      <c r="B81" s="491"/>
      <c r="C81" s="500">
        <v>100</v>
      </c>
      <c r="D81" s="500">
        <f t="shared" ref="D81:M81" si="23">IF($B$46="单位面积地价",C81+$K11,C81-$K11)</f>
        <v>100</v>
      </c>
      <c r="E81" s="500">
        <f t="shared" si="23"/>
        <v>100</v>
      </c>
      <c r="F81" s="500">
        <f t="shared" si="23"/>
        <v>100</v>
      </c>
      <c r="G81" s="500">
        <f t="shared" si="23"/>
        <v>100</v>
      </c>
      <c r="H81" s="500">
        <f t="shared" si="23"/>
        <v>100</v>
      </c>
      <c r="I81" s="500">
        <f t="shared" si="23"/>
        <v>100</v>
      </c>
      <c r="J81" s="500">
        <f t="shared" si="23"/>
        <v>100</v>
      </c>
      <c r="K81" s="500">
        <f t="shared" si="23"/>
        <v>100</v>
      </c>
      <c r="L81" s="500">
        <f t="shared" si="23"/>
        <v>100</v>
      </c>
      <c r="M81" s="500">
        <f t="shared" si="23"/>
        <v>100</v>
      </c>
      <c r="N81" s="2948"/>
      <c r="O81" s="2948"/>
      <c r="P81" s="2972"/>
      <c r="Q81" s="2933"/>
      <c r="R81" s="2919"/>
      <c r="S81" s="2919"/>
      <c r="T81" s="2919"/>
      <c r="U81" s="2919"/>
      <c r="V81" s="2919"/>
      <c r="W81" s="2919"/>
      <c r="X81" s="2919"/>
      <c r="Y81" s="2919"/>
      <c r="Z81" s="2919"/>
      <c r="AA81" s="2919"/>
      <c r="AB81" s="2919"/>
      <c r="AC81" s="2919"/>
    </row>
    <row r="82" spans="1:29" s="429" customFormat="1" ht="15.75" thickTop="1">
      <c r="A82" s="509"/>
      <c r="B82" s="494" t="str">
        <f>B12</f>
        <v>配建</v>
      </c>
      <c r="C82" s="510"/>
      <c r="D82" s="510"/>
      <c r="E82" s="510"/>
      <c r="F82" s="510"/>
      <c r="G82" s="510"/>
      <c r="H82" s="511"/>
      <c r="I82" s="511"/>
      <c r="J82" s="511"/>
      <c r="K82" s="511"/>
      <c r="L82" s="512"/>
      <c r="M82" s="513"/>
      <c r="N82" s="2949"/>
      <c r="O82" s="2949"/>
      <c r="P82" s="2973"/>
      <c r="Q82" s="2940"/>
      <c r="R82" s="2941"/>
      <c r="S82" s="2941"/>
      <c r="T82" s="2941"/>
      <c r="U82" s="2941"/>
      <c r="V82" s="2941"/>
      <c r="W82" s="2941"/>
      <c r="X82" s="2941"/>
      <c r="Y82" s="2941"/>
      <c r="Z82" s="2941"/>
      <c r="AA82" s="2941"/>
      <c r="AB82" s="2941"/>
      <c r="AC82" s="2941"/>
    </row>
    <row r="83" spans="1:29" s="429" customFormat="1" ht="15.75" thickBot="1">
      <c r="A83" s="509"/>
      <c r="B83" s="499"/>
      <c r="C83" s="516"/>
      <c r="D83" s="492"/>
      <c r="E83" s="492"/>
      <c r="F83" s="492"/>
      <c r="G83" s="492"/>
      <c r="H83" s="492"/>
      <c r="I83" s="492"/>
      <c r="J83" s="492"/>
      <c r="K83" s="492"/>
      <c r="L83" s="492"/>
      <c r="M83" s="493"/>
      <c r="N83" s="2948"/>
      <c r="O83" s="2948"/>
      <c r="P83" s="2973"/>
      <c r="Q83" s="2940"/>
      <c r="R83" s="2941"/>
      <c r="S83" s="2941"/>
      <c r="T83" s="2941"/>
      <c r="U83" s="2941"/>
      <c r="V83" s="2941"/>
      <c r="W83" s="2941"/>
      <c r="X83" s="2941"/>
      <c r="Y83" s="2941"/>
      <c r="Z83" s="2941"/>
      <c r="AA83" s="2941"/>
      <c r="AB83" s="2941"/>
      <c r="AC83" s="2941"/>
    </row>
    <row r="84" spans="1:29" s="429" customFormat="1" ht="15.75" thickTop="1">
      <c r="A84" s="509"/>
      <c r="B84" s="494">
        <f>B13</f>
        <v>111</v>
      </c>
      <c r="C84" s="510"/>
      <c r="D84" s="510"/>
      <c r="E84" s="510"/>
      <c r="F84" s="510"/>
      <c r="G84" s="510"/>
      <c r="H84" s="511"/>
      <c r="I84" s="511"/>
      <c r="J84" s="511"/>
      <c r="K84" s="511"/>
      <c r="L84" s="512"/>
      <c r="M84" s="513"/>
      <c r="N84" s="2949"/>
      <c r="O84" s="2949"/>
      <c r="P84" s="2917"/>
      <c r="Q84" s="2943"/>
      <c r="R84" s="2941"/>
      <c r="S84" s="2941"/>
      <c r="T84" s="2941"/>
      <c r="U84" s="2941"/>
      <c r="V84" s="2941"/>
      <c r="W84" s="2941"/>
      <c r="X84" s="2941"/>
      <c r="Y84" s="2941"/>
      <c r="Z84" s="2941"/>
      <c r="AA84" s="2941"/>
      <c r="AB84" s="2941"/>
      <c r="AC84" s="2941"/>
    </row>
    <row r="85" spans="1:29" s="429" customFormat="1" ht="15.75" thickBot="1">
      <c r="A85" s="509"/>
      <c r="B85" s="499"/>
      <c r="C85" s="516"/>
      <c r="D85" s="516"/>
      <c r="E85" s="516"/>
      <c r="F85" s="516"/>
      <c r="G85" s="516"/>
      <c r="H85" s="518"/>
      <c r="I85" s="518"/>
      <c r="J85" s="518"/>
      <c r="K85" s="518"/>
      <c r="L85" s="518"/>
      <c r="M85" s="519"/>
      <c r="N85" s="2949"/>
      <c r="O85" s="2949"/>
      <c r="P85" s="2973"/>
      <c r="Q85" s="2940"/>
      <c r="R85" s="2941"/>
      <c r="S85" s="2941"/>
      <c r="T85" s="2941"/>
      <c r="U85" s="2941"/>
      <c r="V85" s="2941"/>
      <c r="W85" s="2941"/>
      <c r="X85" s="2941"/>
      <c r="Y85" s="2941"/>
      <c r="Z85" s="2941"/>
      <c r="AA85" s="2941"/>
      <c r="AB85" s="2941"/>
      <c r="AC85" s="2941"/>
    </row>
    <row r="86" spans="1:29" s="429" customFormat="1" ht="15.75" thickTop="1">
      <c r="A86" s="509"/>
      <c r="B86" s="502">
        <f>B14</f>
        <v>111</v>
      </c>
      <c r="C86" s="479"/>
      <c r="D86" s="479"/>
      <c r="E86" s="479"/>
      <c r="F86" s="479"/>
      <c r="G86" s="479"/>
      <c r="H86" s="520"/>
      <c r="I86" s="520"/>
      <c r="J86" s="520"/>
      <c r="K86" s="520"/>
      <c r="L86" s="521"/>
      <c r="M86" s="522"/>
      <c r="N86" s="2949"/>
      <c r="O86" s="2949"/>
      <c r="P86" s="2978"/>
      <c r="Q86" s="2940"/>
      <c r="R86" s="2941"/>
      <c r="S86" s="2941"/>
      <c r="T86" s="2941"/>
      <c r="U86" s="2941"/>
      <c r="V86" s="2941"/>
      <c r="W86" s="2941"/>
      <c r="X86" s="2941"/>
      <c r="Y86" s="2941"/>
      <c r="Z86" s="2941"/>
      <c r="AA86" s="2941"/>
      <c r="AB86" s="2941"/>
      <c r="AC86" s="2941"/>
    </row>
    <row r="87" spans="1:29" s="429" customFormat="1" ht="15.75" thickBot="1">
      <c r="A87" s="524"/>
      <c r="B87" s="525"/>
      <c r="C87" s="526"/>
      <c r="D87" s="526"/>
      <c r="E87" s="526"/>
      <c r="F87" s="526"/>
      <c r="G87" s="526"/>
      <c r="H87" s="527"/>
      <c r="I87" s="527"/>
      <c r="J87" s="527"/>
      <c r="K87" s="527"/>
      <c r="L87" s="527"/>
      <c r="M87" s="528"/>
      <c r="N87" s="2949"/>
      <c r="O87" s="2949"/>
      <c r="P87" s="2973"/>
      <c r="Q87" s="2940"/>
      <c r="R87" s="2941"/>
      <c r="S87" s="2941"/>
      <c r="T87" s="2941"/>
      <c r="U87" s="2941"/>
      <c r="V87" s="2941"/>
      <c r="W87" s="2941"/>
      <c r="X87" s="2941"/>
      <c r="Y87" s="2941"/>
      <c r="Z87" s="2941"/>
      <c r="AA87" s="2941"/>
      <c r="AB87" s="2941"/>
      <c r="AC87" s="2941"/>
    </row>
    <row r="88" spans="1:29">
      <c r="A88" s="483" t="s">
        <v>2320</v>
      </c>
      <c r="B88" s="484" t="s">
        <v>2357</v>
      </c>
      <c r="C88" s="529" t="s">
        <v>2358</v>
      </c>
      <c r="D88" s="529" t="s">
        <v>2359</v>
      </c>
      <c r="E88" s="529" t="s">
        <v>2360</v>
      </c>
      <c r="F88" s="529" t="s">
        <v>2361</v>
      </c>
      <c r="G88" s="529" t="s">
        <v>2362</v>
      </c>
      <c r="H88" s="485"/>
      <c r="I88" s="485"/>
      <c r="J88" s="485"/>
      <c r="K88" s="530"/>
      <c r="L88" s="531"/>
      <c r="M88" s="532"/>
      <c r="N88" s="2947"/>
      <c r="O88" s="2947"/>
      <c r="P88" s="2974"/>
      <c r="Q88" s="2933"/>
      <c r="R88" s="2919"/>
      <c r="S88" s="2919"/>
      <c r="T88" s="2919"/>
      <c r="U88" s="2919"/>
      <c r="V88" s="2919"/>
      <c r="W88" s="2919"/>
      <c r="X88" s="2919"/>
      <c r="Y88" s="2919"/>
      <c r="Z88" s="2919"/>
      <c r="AA88" s="2919"/>
      <c r="AB88" s="2919"/>
      <c r="AC88" s="2919"/>
    </row>
    <row r="89" spans="1:29" ht="15.75" thickBot="1">
      <c r="A89" s="490"/>
      <c r="B89" s="499"/>
      <c r="C89" s="500">
        <v>100</v>
      </c>
      <c r="D89" s="500">
        <f>C89-$K15</f>
        <v>98</v>
      </c>
      <c r="E89" s="500">
        <f>D89-$K15</f>
        <v>96</v>
      </c>
      <c r="F89" s="500">
        <f>E89-$K15</f>
        <v>94</v>
      </c>
      <c r="G89" s="500">
        <f>F89-$K15</f>
        <v>92</v>
      </c>
      <c r="H89" s="500"/>
      <c r="I89" s="500"/>
      <c r="J89" s="500"/>
      <c r="K89" s="500"/>
      <c r="L89" s="500"/>
      <c r="M89" s="501"/>
      <c r="N89" s="2948"/>
      <c r="O89" s="2948"/>
      <c r="P89" s="2972"/>
      <c r="Q89" s="2933"/>
      <c r="R89" s="2919"/>
      <c r="S89" s="2919"/>
      <c r="T89" s="2919"/>
      <c r="U89" s="2919"/>
      <c r="V89" s="2919"/>
      <c r="W89" s="2919"/>
      <c r="X89" s="2919"/>
      <c r="Y89" s="2919"/>
      <c r="Z89" s="2919"/>
      <c r="AA89" s="2919"/>
      <c r="AB89" s="2919"/>
      <c r="AC89" s="2919"/>
    </row>
    <row r="90" spans="1:29" ht="15.75" thickTop="1">
      <c r="A90" s="490"/>
      <c r="B90" s="494" t="s">
        <v>2544</v>
      </c>
      <c r="C90" s="534" t="s">
        <v>2358</v>
      </c>
      <c r="D90" s="534" t="s">
        <v>2359</v>
      </c>
      <c r="E90" s="534" t="s">
        <v>2360</v>
      </c>
      <c r="F90" s="534" t="s">
        <v>2361</v>
      </c>
      <c r="G90" s="534" t="s">
        <v>2362</v>
      </c>
      <c r="H90" s="495"/>
      <c r="I90" s="495"/>
      <c r="J90" s="495"/>
      <c r="K90" s="496"/>
      <c r="L90" s="497"/>
      <c r="M90" s="498"/>
      <c r="N90" s="2947"/>
      <c r="O90" s="2947"/>
      <c r="P90" s="2972"/>
      <c r="Q90" s="2933"/>
      <c r="R90" s="2919"/>
      <c r="S90" s="2919"/>
      <c r="T90" s="2919"/>
      <c r="U90" s="2919"/>
      <c r="V90" s="2919"/>
      <c r="W90" s="2919"/>
      <c r="X90" s="2919"/>
      <c r="Y90" s="2919"/>
      <c r="Z90" s="2919"/>
      <c r="AA90" s="2919"/>
      <c r="AB90" s="2919"/>
      <c r="AC90" s="2919"/>
    </row>
    <row r="91" spans="1:29" ht="15.75" thickBot="1">
      <c r="A91" s="490"/>
      <c r="B91" s="499"/>
      <c r="C91" s="500">
        <v>100</v>
      </c>
      <c r="D91" s="500">
        <f>C91-$K17</f>
        <v>97</v>
      </c>
      <c r="E91" s="500">
        <f>D91-$K17</f>
        <v>94</v>
      </c>
      <c r="F91" s="500">
        <f>E91-$K17</f>
        <v>91</v>
      </c>
      <c r="G91" s="500">
        <f>F91-$K17</f>
        <v>88</v>
      </c>
      <c r="H91" s="500"/>
      <c r="I91" s="500"/>
      <c r="J91" s="500"/>
      <c r="K91" s="500"/>
      <c r="L91" s="500"/>
      <c r="M91" s="501"/>
      <c r="N91" s="2948"/>
      <c r="O91" s="2948"/>
      <c r="P91" s="2972"/>
      <c r="Q91" s="2933"/>
      <c r="R91" s="2919"/>
      <c r="S91" s="2919"/>
      <c r="T91" s="2919"/>
      <c r="U91" s="2919"/>
      <c r="V91" s="2919"/>
      <c r="W91" s="2919"/>
      <c r="X91" s="2919"/>
      <c r="Y91" s="2919"/>
      <c r="Z91" s="2919"/>
      <c r="AA91" s="2919"/>
      <c r="AB91" s="2919"/>
      <c r="AC91" s="2919"/>
    </row>
    <row r="92" spans="1:29" ht="15.75" thickTop="1">
      <c r="A92" s="490"/>
      <c r="B92" s="494" t="s">
        <v>2458</v>
      </c>
      <c r="C92" s="534" t="s">
        <v>2358</v>
      </c>
      <c r="D92" s="534" t="s">
        <v>2359</v>
      </c>
      <c r="E92" s="534" t="s">
        <v>2360</v>
      </c>
      <c r="F92" s="534" t="s">
        <v>2361</v>
      </c>
      <c r="G92" s="534" t="s">
        <v>2362</v>
      </c>
      <c r="H92" s="495"/>
      <c r="I92" s="495"/>
      <c r="J92" s="495"/>
      <c r="K92" s="496"/>
      <c r="L92" s="497"/>
      <c r="M92" s="498"/>
      <c r="N92" s="2947"/>
      <c r="O92" s="2947"/>
      <c r="P92" s="2972"/>
      <c r="Q92" s="2933"/>
      <c r="R92" s="2919"/>
      <c r="S92" s="2919"/>
      <c r="T92" s="2919"/>
      <c r="U92" s="2919"/>
      <c r="V92" s="2919"/>
      <c r="W92" s="2919"/>
      <c r="X92" s="2919"/>
      <c r="Y92" s="2919"/>
      <c r="Z92" s="2919"/>
      <c r="AA92" s="2919"/>
      <c r="AB92" s="2919"/>
      <c r="AC92" s="2919"/>
    </row>
    <row r="93" spans="1:29" ht="15.75" thickBot="1">
      <c r="A93" s="490"/>
      <c r="B93" s="499"/>
      <c r="C93" s="500">
        <v>100</v>
      </c>
      <c r="D93" s="500">
        <f>C93-$K19</f>
        <v>98</v>
      </c>
      <c r="E93" s="500">
        <f>D93-$K19</f>
        <v>96</v>
      </c>
      <c r="F93" s="500">
        <f>E93-$K19</f>
        <v>94</v>
      </c>
      <c r="G93" s="500">
        <f>F93-$K19</f>
        <v>92</v>
      </c>
      <c r="H93" s="500"/>
      <c r="I93" s="500"/>
      <c r="J93" s="500"/>
      <c r="K93" s="500"/>
      <c r="L93" s="500"/>
      <c r="M93" s="501"/>
      <c r="N93" s="2948"/>
      <c r="O93" s="2948"/>
      <c r="P93" s="2972"/>
      <c r="Q93" s="2933"/>
      <c r="R93" s="2919"/>
      <c r="S93" s="2919"/>
      <c r="T93" s="2919"/>
      <c r="U93" s="2919"/>
      <c r="V93" s="2919"/>
      <c r="W93" s="2919"/>
      <c r="X93" s="2919"/>
      <c r="Y93" s="2919"/>
      <c r="Z93" s="2919"/>
      <c r="AA93" s="2919"/>
      <c r="AB93" s="2919"/>
      <c r="AC93" s="2919"/>
    </row>
    <row r="94" spans="1:29" ht="15.75" thickTop="1">
      <c r="A94" s="490"/>
      <c r="B94" s="494" t="s">
        <v>2363</v>
      </c>
      <c r="C94" s="534" t="s">
        <v>2358</v>
      </c>
      <c r="D94" s="534" t="s">
        <v>2359</v>
      </c>
      <c r="E94" s="534" t="s">
        <v>2360</v>
      </c>
      <c r="F94" s="534" t="s">
        <v>2361</v>
      </c>
      <c r="G94" s="534" t="s">
        <v>2362</v>
      </c>
      <c r="H94" s="495"/>
      <c r="I94" s="495"/>
      <c r="J94" s="495"/>
      <c r="K94" s="496"/>
      <c r="L94" s="497"/>
      <c r="M94" s="498"/>
      <c r="N94" s="2947"/>
      <c r="O94" s="2947"/>
      <c r="P94" s="2972"/>
      <c r="Q94" s="2933"/>
      <c r="R94" s="2919"/>
      <c r="S94" s="2919"/>
      <c r="T94" s="2919"/>
      <c r="U94" s="2919"/>
      <c r="V94" s="2919"/>
      <c r="W94" s="2919"/>
      <c r="X94" s="2919"/>
      <c r="Y94" s="2919"/>
      <c r="Z94" s="2919"/>
      <c r="AA94" s="2919"/>
      <c r="AB94" s="2919"/>
      <c r="AC94" s="2919"/>
    </row>
    <row r="95" spans="1:29" ht="15.75" thickBot="1">
      <c r="A95" s="490"/>
      <c r="B95" s="499"/>
      <c r="C95" s="500">
        <v>100</v>
      </c>
      <c r="D95" s="500">
        <f>C95-$K21</f>
        <v>98</v>
      </c>
      <c r="E95" s="500">
        <f>D95-$K21</f>
        <v>96</v>
      </c>
      <c r="F95" s="500">
        <f>E95-$K21</f>
        <v>94</v>
      </c>
      <c r="G95" s="500">
        <f>F95-$K21</f>
        <v>92</v>
      </c>
      <c r="H95" s="500"/>
      <c r="I95" s="500"/>
      <c r="J95" s="500"/>
      <c r="K95" s="500"/>
      <c r="L95" s="500"/>
      <c r="M95" s="501"/>
      <c r="N95" s="2948"/>
      <c r="O95" s="2948"/>
      <c r="P95" s="2972"/>
      <c r="Q95" s="2933"/>
      <c r="R95" s="2919"/>
      <c r="S95" s="2919"/>
      <c r="T95" s="2919"/>
      <c r="U95" s="2919"/>
      <c r="V95" s="2919"/>
      <c r="W95" s="2919"/>
      <c r="X95" s="2919"/>
      <c r="Y95" s="2919"/>
      <c r="Z95" s="2919"/>
      <c r="AA95" s="2919"/>
      <c r="AB95" s="2919"/>
      <c r="AC95" s="2919"/>
    </row>
    <row r="96" spans="1:29" s="112" customFormat="1" ht="15.75" thickTop="1">
      <c r="A96" s="535"/>
      <c r="B96" s="494" t="s">
        <v>2545</v>
      </c>
      <c r="C96" s="534" t="s">
        <v>2358</v>
      </c>
      <c r="D96" s="534" t="s">
        <v>2359</v>
      </c>
      <c r="E96" s="534" t="s">
        <v>2360</v>
      </c>
      <c r="F96" s="534" t="s">
        <v>2361</v>
      </c>
      <c r="G96" s="534" t="s">
        <v>2362</v>
      </c>
      <c r="H96" s="534"/>
      <c r="I96" s="534"/>
      <c r="J96" s="534"/>
      <c r="K96" s="534"/>
      <c r="L96" s="653"/>
      <c r="M96" s="577"/>
      <c r="N96" s="2946"/>
      <c r="O96" s="2946"/>
      <c r="P96" s="2972"/>
      <c r="Q96" s="2933"/>
      <c r="R96" s="2853"/>
      <c r="S96" s="2853"/>
      <c r="T96" s="2853"/>
      <c r="U96" s="2853"/>
      <c r="V96" s="2853"/>
      <c r="W96" s="2853"/>
      <c r="X96" s="2853"/>
      <c r="Y96" s="2853"/>
      <c r="Z96" s="2853"/>
      <c r="AA96" s="2853"/>
      <c r="AB96" s="2853"/>
      <c r="AC96" s="2853"/>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48"/>
      <c r="O97" s="2948"/>
      <c r="P97" s="2972"/>
      <c r="Q97" s="2933"/>
      <c r="R97" s="2853"/>
      <c r="S97" s="2853"/>
      <c r="T97" s="2853"/>
      <c r="U97" s="2853"/>
      <c r="V97" s="2853"/>
      <c r="W97" s="2853"/>
      <c r="X97" s="2853"/>
      <c r="Y97" s="2853"/>
      <c r="Z97" s="2853"/>
      <c r="AA97" s="2853"/>
      <c r="AB97" s="2853"/>
      <c r="AC97" s="2853"/>
    </row>
    <row r="98" spans="1:29" s="112" customFormat="1" ht="27.75" thickTop="1">
      <c r="A98" s="535"/>
      <c r="B98" s="494" t="s">
        <v>2546</v>
      </c>
      <c r="C98" s="529" t="s">
        <v>2358</v>
      </c>
      <c r="D98" s="529" t="s">
        <v>2359</v>
      </c>
      <c r="E98" s="529" t="s">
        <v>2360</v>
      </c>
      <c r="F98" s="529" t="s">
        <v>2361</v>
      </c>
      <c r="G98" s="529" t="s">
        <v>2362</v>
      </c>
      <c r="H98" s="534"/>
      <c r="I98" s="534"/>
      <c r="J98" s="534"/>
      <c r="K98" s="534"/>
      <c r="L98" s="534"/>
      <c r="M98" s="577"/>
      <c r="N98" s="2946"/>
      <c r="O98" s="2946"/>
      <c r="P98" s="2972"/>
      <c r="Q98" s="2933"/>
      <c r="R98" s="2853"/>
      <c r="S98" s="2853"/>
      <c r="T98" s="2853"/>
      <c r="U98" s="2853"/>
      <c r="V98" s="2853"/>
      <c r="W98" s="2853"/>
      <c r="X98" s="2853"/>
      <c r="Y98" s="2853"/>
      <c r="Z98" s="2853"/>
      <c r="AA98" s="2853"/>
      <c r="AB98" s="2853"/>
      <c r="AC98" s="2853"/>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48"/>
      <c r="O99" s="2948"/>
      <c r="P99" s="2972"/>
      <c r="Q99" s="2933"/>
      <c r="R99" s="2853"/>
      <c r="S99" s="2853"/>
      <c r="T99" s="2853"/>
      <c r="U99" s="2853"/>
      <c r="V99" s="2853"/>
      <c r="W99" s="2853"/>
      <c r="X99" s="2853"/>
      <c r="Y99" s="2853"/>
      <c r="Z99" s="2853"/>
      <c r="AA99" s="2853"/>
      <c r="AB99" s="2853"/>
      <c r="AC99" s="2853"/>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49"/>
      <c r="O100" s="2949"/>
      <c r="P100" s="2973"/>
      <c r="Q100" s="2940"/>
      <c r="R100" s="2941"/>
      <c r="S100" s="2941"/>
      <c r="T100" s="2941"/>
      <c r="U100" s="2941"/>
      <c r="V100" s="2941"/>
      <c r="W100" s="2941"/>
      <c r="X100" s="2941"/>
      <c r="Y100" s="2941"/>
      <c r="Z100" s="2941"/>
      <c r="AA100" s="2941"/>
      <c r="AB100" s="2941"/>
      <c r="AC100" s="2941"/>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49"/>
      <c r="O101" s="2949"/>
      <c r="P101" s="2973"/>
      <c r="Q101" s="2940"/>
      <c r="R101" s="2941"/>
      <c r="S101" s="2941"/>
      <c r="T101" s="2941"/>
      <c r="U101" s="2941"/>
      <c r="V101" s="2941"/>
      <c r="W101" s="2941"/>
      <c r="X101" s="2941"/>
      <c r="Y101" s="2941"/>
      <c r="Z101" s="2941"/>
      <c r="AA101" s="2941"/>
      <c r="AB101" s="2941"/>
      <c r="AC101" s="2941"/>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2"/>
      <c r="N102" s="2949"/>
      <c r="O102" s="2949"/>
      <c r="P102" s="2973"/>
      <c r="Q102" s="2940"/>
      <c r="R102" s="2941"/>
      <c r="S102" s="2941"/>
      <c r="T102" s="2941"/>
      <c r="U102" s="2941"/>
      <c r="V102" s="2941"/>
      <c r="W102" s="2941"/>
      <c r="X102" s="2941"/>
      <c r="Y102" s="2941"/>
      <c r="Z102" s="2941"/>
      <c r="AA102" s="2941"/>
      <c r="AB102" s="2941"/>
      <c r="AC102" s="2941"/>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62"/>
      <c r="N103" s="2949"/>
      <c r="O103" s="2949"/>
      <c r="P103" s="2973"/>
      <c r="Q103" s="2940"/>
      <c r="R103" s="2941"/>
      <c r="S103" s="2941"/>
      <c r="T103" s="2941"/>
      <c r="U103" s="2941"/>
      <c r="V103" s="2941"/>
      <c r="W103" s="2941"/>
      <c r="X103" s="2941"/>
      <c r="Y103" s="2941"/>
      <c r="Z103" s="2941"/>
      <c r="AA103" s="2941"/>
      <c r="AB103" s="2941"/>
      <c r="AC103" s="2941"/>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47"/>
      <c r="O104" s="2947"/>
      <c r="P104" s="2972"/>
      <c r="Q104" s="2933"/>
      <c r="R104" s="2919"/>
      <c r="S104" s="2919"/>
      <c r="T104" s="2919"/>
      <c r="U104" s="2919"/>
      <c r="V104" s="2919"/>
      <c r="W104" s="2919"/>
      <c r="X104" s="2919"/>
      <c r="Y104" s="2919"/>
      <c r="Z104" s="2919"/>
      <c r="AA104" s="2919"/>
      <c r="AB104" s="2919"/>
      <c r="AC104" s="2919"/>
    </row>
    <row r="105" spans="1:29" ht="15.75" thickBot="1">
      <c r="A105" s="490"/>
      <c r="B105" s="499"/>
      <c r="C105" s="500">
        <v>100</v>
      </c>
      <c r="D105" s="500">
        <f>C105-$K31</f>
        <v>100</v>
      </c>
      <c r="E105" s="500">
        <f t="shared" ref="E105:M105" si="24">D105-$K31</f>
        <v>100</v>
      </c>
      <c r="F105" s="500">
        <f t="shared" si="24"/>
        <v>100</v>
      </c>
      <c r="G105" s="500">
        <f t="shared" si="24"/>
        <v>100</v>
      </c>
      <c r="H105" s="500">
        <f t="shared" si="24"/>
        <v>100</v>
      </c>
      <c r="I105" s="500">
        <f t="shared" si="24"/>
        <v>100</v>
      </c>
      <c r="J105" s="500">
        <f t="shared" si="24"/>
        <v>100</v>
      </c>
      <c r="K105" s="500">
        <f t="shared" si="24"/>
        <v>100</v>
      </c>
      <c r="L105" s="500">
        <f t="shared" si="24"/>
        <v>100</v>
      </c>
      <c r="M105" s="500">
        <f t="shared" si="24"/>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0"/>
      <c r="B106" s="494" t="s">
        <v>2452</v>
      </c>
      <c r="C106" s="510"/>
      <c r="D106" s="510"/>
      <c r="E106" s="510"/>
      <c r="F106" s="510"/>
      <c r="G106" s="510"/>
      <c r="H106" s="539"/>
      <c r="I106" s="539"/>
      <c r="J106" s="539"/>
      <c r="K106" s="540"/>
      <c r="L106" s="541"/>
      <c r="M106" s="542"/>
      <c r="N106" s="2947"/>
      <c r="O106" s="2947"/>
      <c r="P106" s="2972"/>
      <c r="Q106" s="2933"/>
      <c r="R106" s="2919"/>
      <c r="S106" s="2919"/>
      <c r="T106" s="2919"/>
      <c r="U106" s="2919"/>
      <c r="V106" s="2919"/>
      <c r="W106" s="2919"/>
      <c r="X106" s="2919"/>
      <c r="Y106" s="2919"/>
      <c r="Z106" s="2919"/>
      <c r="AA106" s="2919"/>
      <c r="AB106" s="2919"/>
      <c r="AC106" s="2919"/>
    </row>
    <row r="107" spans="1:29" ht="15.75" thickBot="1">
      <c r="A107" s="490"/>
      <c r="B107" s="499"/>
      <c r="C107" s="500">
        <v>100</v>
      </c>
      <c r="D107" s="500">
        <f>C107-$K32</f>
        <v>100</v>
      </c>
      <c r="E107" s="500">
        <f t="shared" ref="E107:M107" si="25">D107-$K32</f>
        <v>100</v>
      </c>
      <c r="F107" s="500">
        <f t="shared" si="25"/>
        <v>100</v>
      </c>
      <c r="G107" s="500">
        <f t="shared" si="25"/>
        <v>100</v>
      </c>
      <c r="H107" s="500">
        <f t="shared" si="25"/>
        <v>100</v>
      </c>
      <c r="I107" s="500">
        <f t="shared" si="25"/>
        <v>100</v>
      </c>
      <c r="J107" s="500">
        <f t="shared" si="25"/>
        <v>100</v>
      </c>
      <c r="K107" s="500">
        <f t="shared" si="25"/>
        <v>100</v>
      </c>
      <c r="L107" s="500">
        <f t="shared" si="25"/>
        <v>100</v>
      </c>
      <c r="M107" s="500">
        <f t="shared" si="25"/>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0"/>
      <c r="B108" s="494" t="s">
        <v>2511</v>
      </c>
      <c r="C108" s="3302" t="s">
        <v>31</v>
      </c>
      <c r="D108" s="3302" t="s">
        <v>163</v>
      </c>
      <c r="E108" s="3302" t="s">
        <v>164</v>
      </c>
      <c r="F108" s="3302" t="s">
        <v>165</v>
      </c>
      <c r="G108" s="3302" t="s">
        <v>166</v>
      </c>
      <c r="H108" s="539"/>
      <c r="I108" s="539"/>
      <c r="J108" s="539"/>
      <c r="K108" s="540"/>
      <c r="L108" s="541"/>
      <c r="M108" s="542"/>
      <c r="N108" s="2947"/>
      <c r="O108" s="2947"/>
      <c r="P108" s="2972"/>
      <c r="Q108" s="2933"/>
      <c r="R108" s="2919"/>
      <c r="S108" s="2919"/>
      <c r="T108" s="2919"/>
      <c r="U108" s="2919"/>
      <c r="V108" s="2919"/>
      <c r="W108" s="2919"/>
      <c r="X108" s="2919"/>
      <c r="Y108" s="2919"/>
      <c r="Z108" s="2919"/>
      <c r="AA108" s="2919"/>
      <c r="AB108" s="2919"/>
      <c r="AC108" s="2919"/>
    </row>
    <row r="109" spans="1:29" ht="15.75" thickBot="1">
      <c r="A109" s="490"/>
      <c r="B109" s="499"/>
      <c r="C109" s="500">
        <v>100</v>
      </c>
      <c r="D109" s="500">
        <f>C109-$K34</f>
        <v>96.5</v>
      </c>
      <c r="E109" s="500">
        <f t="shared" ref="E109:M109" si="26">D109-$K34</f>
        <v>93</v>
      </c>
      <c r="F109" s="500">
        <f t="shared" si="26"/>
        <v>89.5</v>
      </c>
      <c r="G109" s="500">
        <f t="shared" si="26"/>
        <v>86</v>
      </c>
      <c r="H109" s="500">
        <f t="shared" si="26"/>
        <v>82.5</v>
      </c>
      <c r="I109" s="500">
        <f t="shared" si="26"/>
        <v>79</v>
      </c>
      <c r="J109" s="500">
        <f t="shared" si="26"/>
        <v>75.5</v>
      </c>
      <c r="K109" s="500">
        <f t="shared" si="26"/>
        <v>72</v>
      </c>
      <c r="L109" s="500">
        <f t="shared" si="26"/>
        <v>68.5</v>
      </c>
      <c r="M109" s="500">
        <f t="shared" si="26"/>
        <v>65</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0"/>
      <c r="B110" s="502">
        <f>B35</f>
        <v>111</v>
      </c>
      <c r="C110" s="510"/>
      <c r="D110" s="510"/>
      <c r="E110" s="510"/>
      <c r="F110" s="510"/>
      <c r="G110" s="543"/>
      <c r="H110" s="543"/>
      <c r="I110" s="543"/>
      <c r="J110" s="543"/>
      <c r="K110" s="544"/>
      <c r="L110" s="545"/>
      <c r="M110" s="546"/>
      <c r="N110" s="2947"/>
      <c r="O110" s="2947"/>
      <c r="P110" s="2972"/>
      <c r="Q110" s="2933"/>
      <c r="R110" s="2919"/>
      <c r="S110" s="2919"/>
      <c r="T110" s="2919"/>
      <c r="U110" s="2919"/>
      <c r="V110" s="2919"/>
      <c r="W110" s="2919"/>
      <c r="X110" s="2919"/>
      <c r="Y110" s="2919"/>
      <c r="Z110" s="2919"/>
      <c r="AA110" s="2919"/>
      <c r="AB110" s="2919"/>
      <c r="AC110" s="2919"/>
    </row>
    <row r="111" spans="1:29" ht="15.75" thickBot="1">
      <c r="A111" s="490"/>
      <c r="B111" s="525"/>
      <c r="C111" s="516"/>
      <c r="D111" s="516"/>
      <c r="E111" s="516"/>
      <c r="F111" s="516"/>
      <c r="G111" s="547"/>
      <c r="H111" s="547"/>
      <c r="I111" s="547"/>
      <c r="J111" s="547"/>
      <c r="K111" s="547"/>
      <c r="L111" s="547"/>
      <c r="M111" s="548"/>
      <c r="N111" s="2948"/>
      <c r="O111" s="2948"/>
      <c r="P111" s="2972"/>
      <c r="Q111" s="2933"/>
      <c r="R111" s="2919"/>
      <c r="S111" s="2919"/>
      <c r="T111" s="2919"/>
      <c r="U111" s="2919"/>
      <c r="V111" s="2919"/>
      <c r="W111" s="2919"/>
      <c r="X111" s="2919"/>
      <c r="Y111" s="2919"/>
      <c r="Z111" s="2919"/>
      <c r="AA111" s="2919"/>
      <c r="AB111" s="2919"/>
      <c r="AC111" s="2919"/>
    </row>
    <row r="112" spans="1:29" ht="15" thickTop="1">
      <c r="A112" s="630"/>
      <c r="B112" s="494">
        <f>B36</f>
        <v>111</v>
      </c>
      <c r="C112" s="479"/>
      <c r="D112" s="479"/>
      <c r="E112" s="479"/>
      <c r="F112" s="479"/>
      <c r="G112" s="539"/>
      <c r="H112" s="539"/>
      <c r="I112" s="539"/>
      <c r="J112" s="539"/>
      <c r="K112" s="540"/>
      <c r="L112" s="541"/>
      <c r="M112" s="542"/>
      <c r="N112" s="2947"/>
      <c r="O112" s="2947"/>
      <c r="P112" s="2972"/>
      <c r="Q112" s="2933"/>
      <c r="R112" s="2919"/>
      <c r="S112" s="2919"/>
      <c r="T112" s="2919"/>
      <c r="U112" s="2919"/>
      <c r="V112" s="2919"/>
      <c r="W112" s="2919"/>
      <c r="X112" s="2919"/>
      <c r="Y112" s="2919"/>
      <c r="Z112" s="2919"/>
      <c r="AA112" s="2919"/>
      <c r="AB112" s="2919"/>
      <c r="AC112" s="2919"/>
    </row>
    <row r="113" spans="1:29" ht="15.75" thickBot="1">
      <c r="A113" s="490"/>
      <c r="B113" s="499"/>
      <c r="C113" s="526"/>
      <c r="D113" s="526"/>
      <c r="E113" s="526"/>
      <c r="F113" s="526"/>
      <c r="G113" s="492"/>
      <c r="H113" s="492"/>
      <c r="I113" s="492"/>
      <c r="J113" s="492"/>
      <c r="K113" s="492"/>
      <c r="L113" s="492"/>
      <c r="M113" s="493"/>
      <c r="N113" s="2948"/>
      <c r="O113" s="2948"/>
      <c r="P113" s="2972"/>
      <c r="Q113" s="2933"/>
      <c r="R113" s="2919"/>
      <c r="S113" s="2919"/>
      <c r="T113" s="2919"/>
      <c r="U113" s="2919"/>
      <c r="V113" s="2919"/>
      <c r="W113" s="2919"/>
      <c r="X113" s="2919"/>
      <c r="Y113" s="2919"/>
      <c r="Z113" s="2919"/>
      <c r="AA113" s="2919"/>
      <c r="AB113" s="2919"/>
      <c r="AC113" s="2919"/>
    </row>
    <row r="114" spans="1:29" s="429" customFormat="1" ht="15" thickTop="1">
      <c r="A114" s="549"/>
      <c r="B114" s="550">
        <f>B37</f>
        <v>111</v>
      </c>
      <c r="C114" s="551"/>
      <c r="D114" s="551"/>
      <c r="E114" s="551"/>
      <c r="F114" s="551"/>
      <c r="G114" s="551"/>
      <c r="H114" s="551"/>
      <c r="I114" s="551"/>
      <c r="J114" s="552"/>
      <c r="K114" s="552"/>
      <c r="L114" s="553"/>
      <c r="M114" s="554"/>
      <c r="N114" s="2949"/>
      <c r="O114" s="2949"/>
      <c r="P114" s="2973"/>
      <c r="Q114" s="2940"/>
      <c r="R114" s="2941"/>
      <c r="S114" s="2941"/>
      <c r="T114" s="2941"/>
      <c r="U114" s="2941"/>
      <c r="V114" s="2941"/>
      <c r="W114" s="2941"/>
      <c r="X114" s="2941"/>
      <c r="Y114" s="2941"/>
      <c r="Z114" s="2941"/>
      <c r="AA114" s="2941"/>
      <c r="AB114" s="2941"/>
      <c r="AC114" s="2941"/>
    </row>
    <row r="115" spans="1:29" s="429" customFormat="1" ht="15.75" thickBot="1">
      <c r="A115" s="509"/>
      <c r="B115" s="502"/>
      <c r="C115" s="468"/>
      <c r="D115" s="632"/>
      <c r="E115" s="632"/>
      <c r="F115" s="632"/>
      <c r="G115" s="632"/>
      <c r="H115" s="632"/>
      <c r="I115" s="632"/>
      <c r="J115" s="632"/>
      <c r="K115" s="632"/>
      <c r="L115" s="632"/>
      <c r="M115" s="654"/>
      <c r="N115" s="2948"/>
      <c r="O115" s="2948"/>
      <c r="P115" s="2973"/>
      <c r="Q115" s="2940"/>
      <c r="R115" s="2941"/>
      <c r="S115" s="2941"/>
      <c r="T115" s="2941"/>
      <c r="U115" s="2941"/>
      <c r="V115" s="2941"/>
      <c r="W115" s="2941"/>
      <c r="X115" s="2941"/>
      <c r="Y115" s="2941"/>
      <c r="Z115" s="2941"/>
      <c r="AA115" s="2941"/>
      <c r="AB115" s="2941"/>
      <c r="AC115" s="2941"/>
    </row>
    <row r="116" spans="1:29" ht="28.5">
      <c r="A116" s="483" t="s">
        <v>2324</v>
      </c>
      <c r="B116" s="484" t="s">
        <v>2551</v>
      </c>
      <c r="C116" s="485" t="str">
        <f>C117&amp;"(含)"&amp;"-"&amp;D117</f>
        <v>0(含)-500000</v>
      </c>
      <c r="D116" s="485" t="str">
        <f t="shared" ref="D116:M116" si="27">D117&amp;"(含)"&amp;"-"&amp;E117</f>
        <v>500000(含)-1000000</v>
      </c>
      <c r="E116" s="485" t="str">
        <f t="shared" si="27"/>
        <v>1000000(含)-2000000</v>
      </c>
      <c r="F116" s="485" t="str">
        <f t="shared" si="27"/>
        <v>2000000(含)-2500000</v>
      </c>
      <c r="G116" s="485" t="str">
        <f t="shared" si="27"/>
        <v>2500000(含)-3000000</v>
      </c>
      <c r="H116" s="485" t="str">
        <f t="shared" si="27"/>
        <v>3000000(含)-</v>
      </c>
      <c r="I116" s="485" t="str">
        <f t="shared" si="27"/>
        <v>(含)-</v>
      </c>
      <c r="J116" s="485" t="str">
        <f t="shared" si="27"/>
        <v>(含)-</v>
      </c>
      <c r="K116" s="485" t="str">
        <f t="shared" si="27"/>
        <v>(含)-</v>
      </c>
      <c r="L116" s="485" t="str">
        <f t="shared" si="27"/>
        <v>(含)-</v>
      </c>
      <c r="M116" s="485" t="str">
        <f t="shared" si="27"/>
        <v>(含)-</v>
      </c>
      <c r="N116" s="2947"/>
      <c r="O116" s="2947"/>
      <c r="P116" s="2972"/>
      <c r="Q116" s="2933"/>
      <c r="R116" s="2919"/>
      <c r="S116" s="2919"/>
      <c r="T116" s="2919"/>
      <c r="U116" s="2919"/>
      <c r="V116" s="2919"/>
      <c r="W116" s="2919"/>
      <c r="X116" s="2919"/>
      <c r="Y116" s="2919"/>
      <c r="Z116" s="2919"/>
      <c r="AA116" s="2919"/>
      <c r="AB116" s="2919"/>
      <c r="AC116" s="2919"/>
    </row>
    <row r="117" spans="1:29" ht="15">
      <c r="A117" s="490"/>
      <c r="B117" s="502"/>
      <c r="C117" s="9">
        <v>0</v>
      </c>
      <c r="D117" s="9">
        <v>500000</v>
      </c>
      <c r="E117" s="9">
        <v>1000000</v>
      </c>
      <c r="F117" s="9">
        <v>2000000</v>
      </c>
      <c r="G117" s="551">
        <v>2500000</v>
      </c>
      <c r="H117" s="551">
        <v>3000000</v>
      </c>
      <c r="I117" s="551"/>
      <c r="J117" s="552"/>
      <c r="K117" s="552"/>
      <c r="L117" s="553"/>
      <c r="M117" s="554"/>
      <c r="N117" s="2947"/>
      <c r="O117" s="2947"/>
      <c r="P117" s="2972"/>
      <c r="Q117" s="2933"/>
      <c r="R117" s="2919"/>
      <c r="S117" s="2919"/>
      <c r="T117" s="2919"/>
      <c r="U117" s="2919"/>
      <c r="V117" s="2919"/>
      <c r="W117" s="2919"/>
      <c r="X117" s="2919"/>
      <c r="Y117" s="2919"/>
      <c r="Z117" s="2919"/>
      <c r="AA117" s="2919"/>
      <c r="AB117" s="2919"/>
      <c r="AC117" s="2919"/>
    </row>
    <row r="118" spans="1:29" ht="15.75" thickBot="1">
      <c r="A118" s="490"/>
      <c r="B118" s="499"/>
      <c r="C118" s="3303">
        <v>100</v>
      </c>
      <c r="D118" s="3304">
        <v>98</v>
      </c>
      <c r="E118" s="3304">
        <v>96</v>
      </c>
      <c r="F118" s="3304">
        <v>94</v>
      </c>
      <c r="G118" s="547">
        <v>92</v>
      </c>
      <c r="H118" s="547">
        <v>90</v>
      </c>
      <c r="I118" s="547"/>
      <c r="J118" s="547"/>
      <c r="K118" s="547"/>
      <c r="L118" s="547"/>
      <c r="M118" s="548"/>
      <c r="N118" s="2948"/>
      <c r="O118" s="2948"/>
      <c r="P118" s="2972"/>
      <c r="Q118" s="2933"/>
      <c r="R118" s="2919"/>
      <c r="S118" s="2919"/>
      <c r="T118" s="2919"/>
      <c r="U118" s="2919"/>
      <c r="V118" s="2919"/>
      <c r="W118" s="2919"/>
      <c r="X118" s="2919"/>
      <c r="Y118" s="2919"/>
      <c r="Z118" s="2919"/>
      <c r="AA118" s="2919"/>
      <c r="AB118" s="2919"/>
      <c r="AC118" s="2919"/>
    </row>
    <row r="119" spans="1:29" ht="15" thickTop="1">
      <c r="A119" s="555"/>
      <c r="B119" s="494" t="s">
        <v>2552</v>
      </c>
      <c r="C119" s="3302" t="s">
        <v>3411</v>
      </c>
      <c r="D119" s="3305"/>
      <c r="E119" s="3305"/>
      <c r="F119" s="3305"/>
      <c r="G119" s="539"/>
      <c r="H119" s="539"/>
      <c r="I119" s="539"/>
      <c r="J119" s="539"/>
      <c r="K119" s="540"/>
      <c r="L119" s="541"/>
      <c r="M119" s="542"/>
      <c r="N119" s="2947"/>
      <c r="O119" s="2947"/>
      <c r="P119" s="2972"/>
      <c r="Q119" s="2933"/>
      <c r="R119" s="2919"/>
      <c r="S119" s="2919"/>
      <c r="T119" s="2919"/>
      <c r="U119" s="2919"/>
      <c r="V119" s="2919"/>
      <c r="W119" s="2919"/>
      <c r="X119" s="2919"/>
      <c r="Y119" s="2919"/>
      <c r="Z119" s="2919"/>
      <c r="AA119" s="2919"/>
      <c r="AB119" s="2919"/>
      <c r="AC119" s="2919"/>
    </row>
    <row r="120" spans="1:29" ht="15.75" thickBot="1">
      <c r="A120" s="490"/>
      <c r="B120" s="499"/>
      <c r="C120" s="500">
        <v>100</v>
      </c>
      <c r="D120" s="500">
        <f t="shared" ref="D120:M120" si="28">C120-$K39</f>
        <v>98</v>
      </c>
      <c r="E120" s="500">
        <f t="shared" si="28"/>
        <v>96</v>
      </c>
      <c r="F120" s="500">
        <f t="shared" si="28"/>
        <v>94</v>
      </c>
      <c r="G120" s="500">
        <f t="shared" si="28"/>
        <v>92</v>
      </c>
      <c r="H120" s="500">
        <f t="shared" si="28"/>
        <v>90</v>
      </c>
      <c r="I120" s="500">
        <f t="shared" si="28"/>
        <v>88</v>
      </c>
      <c r="J120" s="500">
        <f t="shared" si="28"/>
        <v>86</v>
      </c>
      <c r="K120" s="500">
        <f t="shared" si="28"/>
        <v>84</v>
      </c>
      <c r="L120" s="500">
        <f t="shared" si="28"/>
        <v>82</v>
      </c>
      <c r="M120" s="501">
        <f t="shared" si="28"/>
        <v>80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5"/>
      <c r="B121" s="494" t="s">
        <v>2553</v>
      </c>
      <c r="C121" s="510"/>
      <c r="D121" s="510"/>
      <c r="E121" s="510"/>
      <c r="F121" s="539"/>
      <c r="G121" s="539"/>
      <c r="H121" s="539"/>
      <c r="I121" s="539"/>
      <c r="J121" s="539"/>
      <c r="K121" s="540"/>
      <c r="L121" s="541"/>
      <c r="M121" s="542"/>
      <c r="N121" s="2947"/>
      <c r="O121" s="2947"/>
      <c r="P121" s="2972"/>
      <c r="Q121" s="2933"/>
      <c r="R121" s="2919"/>
      <c r="S121" s="2919"/>
      <c r="T121" s="2919"/>
      <c r="U121" s="2919"/>
      <c r="V121" s="2919"/>
      <c r="W121" s="2919"/>
      <c r="X121" s="2919"/>
      <c r="Y121" s="2919"/>
      <c r="Z121" s="2919"/>
      <c r="AA121" s="2919"/>
      <c r="AB121" s="2919"/>
      <c r="AC121" s="2919"/>
    </row>
    <row r="122" spans="1:29" ht="15.75" thickBot="1">
      <c r="A122" s="490"/>
      <c r="B122" s="499"/>
      <c r="C122" s="500">
        <v>100</v>
      </c>
      <c r="D122" s="500">
        <f t="shared" ref="D122:M122" si="29">C122-$K40</f>
        <v>100</v>
      </c>
      <c r="E122" s="500">
        <f t="shared" si="29"/>
        <v>100</v>
      </c>
      <c r="F122" s="500">
        <f t="shared" si="29"/>
        <v>100</v>
      </c>
      <c r="G122" s="500">
        <f t="shared" si="29"/>
        <v>100</v>
      </c>
      <c r="H122" s="500">
        <f t="shared" si="29"/>
        <v>100</v>
      </c>
      <c r="I122" s="500">
        <f t="shared" si="29"/>
        <v>100</v>
      </c>
      <c r="J122" s="500">
        <f t="shared" si="29"/>
        <v>100</v>
      </c>
      <c r="K122" s="500">
        <f t="shared" si="29"/>
        <v>100</v>
      </c>
      <c r="L122" s="500">
        <f t="shared" si="29"/>
        <v>100</v>
      </c>
      <c r="M122" s="501">
        <f t="shared" si="29"/>
        <v>100</v>
      </c>
      <c r="N122" s="2948"/>
      <c r="O122" s="2948"/>
      <c r="P122" s="2972"/>
      <c r="Q122" s="2933"/>
      <c r="R122" s="2919"/>
      <c r="S122" s="2919"/>
      <c r="T122" s="2919"/>
      <c r="U122" s="2919"/>
      <c r="V122" s="2919"/>
      <c r="W122" s="2919"/>
      <c r="X122" s="2919"/>
      <c r="Y122" s="2919"/>
      <c r="Z122" s="2919"/>
      <c r="AA122" s="2919"/>
      <c r="AB122" s="2919"/>
      <c r="AC122" s="2919"/>
    </row>
    <row r="123" spans="1:29" s="429" customFormat="1" ht="15" thickTop="1">
      <c r="A123" s="549"/>
      <c r="B123" s="494" t="s">
        <v>2554</v>
      </c>
      <c r="C123" s="3306" t="s">
        <v>3413</v>
      </c>
      <c r="D123" s="3306" t="s">
        <v>3414</v>
      </c>
      <c r="E123" s="3306" t="s">
        <v>3415</v>
      </c>
      <c r="F123" s="3306" t="s">
        <v>3416</v>
      </c>
      <c r="G123" s="3306" t="s">
        <v>3417</v>
      </c>
      <c r="H123" s="539"/>
      <c r="I123" s="539"/>
      <c r="J123" s="539"/>
      <c r="K123" s="540"/>
      <c r="L123" s="541"/>
      <c r="M123" s="542"/>
      <c r="N123" s="2949"/>
      <c r="O123" s="2949"/>
      <c r="P123" s="2973"/>
      <c r="Q123" s="2940"/>
      <c r="R123" s="2941"/>
      <c r="S123" s="2941"/>
      <c r="T123" s="2941"/>
      <c r="U123" s="2941"/>
      <c r="V123" s="2941"/>
      <c r="W123" s="2941"/>
      <c r="X123" s="2941"/>
      <c r="Y123" s="2941"/>
      <c r="Z123" s="2941"/>
      <c r="AA123" s="2941"/>
      <c r="AB123" s="2941"/>
      <c r="AC123" s="2941"/>
    </row>
    <row r="124" spans="1:29" s="429" customFormat="1" ht="15.75" thickBot="1">
      <c r="A124" s="509"/>
      <c r="B124" s="499"/>
      <c r="C124" s="500">
        <v>100</v>
      </c>
      <c r="D124" s="500">
        <f>C124-$K41</f>
        <v>97.5</v>
      </c>
      <c r="E124" s="500">
        <f t="shared" ref="E124:M124" si="30">D124-$K41</f>
        <v>95</v>
      </c>
      <c r="F124" s="500">
        <f t="shared" si="30"/>
        <v>92.5</v>
      </c>
      <c r="G124" s="500">
        <f t="shared" si="30"/>
        <v>90</v>
      </c>
      <c r="H124" s="500">
        <f t="shared" si="30"/>
        <v>87.5</v>
      </c>
      <c r="I124" s="500">
        <f t="shared" si="30"/>
        <v>85</v>
      </c>
      <c r="J124" s="500">
        <f t="shared" si="30"/>
        <v>82.5</v>
      </c>
      <c r="K124" s="500">
        <f t="shared" si="30"/>
        <v>80</v>
      </c>
      <c r="L124" s="500">
        <f t="shared" si="30"/>
        <v>77.5</v>
      </c>
      <c r="M124" s="501">
        <f t="shared" si="30"/>
        <v>75</v>
      </c>
      <c r="N124" s="2949"/>
      <c r="O124" s="2949"/>
      <c r="P124" s="2973"/>
      <c r="Q124" s="2940"/>
      <c r="R124" s="2941"/>
      <c r="S124" s="2941"/>
      <c r="T124" s="2941"/>
      <c r="U124" s="2941"/>
      <c r="V124" s="2941"/>
      <c r="W124" s="2941"/>
      <c r="X124" s="2941"/>
      <c r="Y124" s="2941"/>
      <c r="Z124" s="2941"/>
      <c r="AA124" s="2941"/>
      <c r="AB124" s="2941"/>
      <c r="AC124" s="2941"/>
    </row>
    <row r="125" spans="1:29" ht="15" thickTop="1">
      <c r="A125" s="555"/>
      <c r="B125" s="494" t="s">
        <v>2555</v>
      </c>
      <c r="C125" s="3306" t="s">
        <v>3412</v>
      </c>
      <c r="D125" s="510"/>
      <c r="E125" s="539"/>
      <c r="F125" s="539"/>
      <c r="G125" s="539"/>
      <c r="H125" s="539"/>
      <c r="I125" s="539"/>
      <c r="J125" s="539"/>
      <c r="K125" s="540"/>
      <c r="L125" s="541"/>
      <c r="M125" s="542"/>
      <c r="N125" s="2947"/>
      <c r="O125" s="2947"/>
      <c r="P125" s="2972"/>
      <c r="Q125" s="2933"/>
      <c r="R125" s="2919"/>
      <c r="S125" s="2919"/>
      <c r="T125" s="2919"/>
      <c r="U125" s="2919"/>
      <c r="V125" s="2919"/>
      <c r="W125" s="2919"/>
      <c r="X125" s="2919"/>
      <c r="Y125" s="2919"/>
      <c r="Z125" s="2919"/>
      <c r="AA125" s="2919"/>
      <c r="AB125" s="2919"/>
      <c r="AC125" s="2919"/>
    </row>
    <row r="126" spans="1:29" ht="15.75" thickBot="1">
      <c r="A126" s="490"/>
      <c r="B126" s="499"/>
      <c r="C126" s="500">
        <v>100</v>
      </c>
      <c r="D126" s="500">
        <f t="shared" ref="D126:M126" si="31">C126-$K42</f>
        <v>98</v>
      </c>
      <c r="E126" s="500">
        <f t="shared" si="31"/>
        <v>96</v>
      </c>
      <c r="F126" s="500">
        <f t="shared" si="31"/>
        <v>94</v>
      </c>
      <c r="G126" s="500">
        <f t="shared" si="31"/>
        <v>92</v>
      </c>
      <c r="H126" s="500">
        <f t="shared" si="31"/>
        <v>90</v>
      </c>
      <c r="I126" s="500">
        <f t="shared" si="31"/>
        <v>88</v>
      </c>
      <c r="J126" s="500">
        <f t="shared" si="31"/>
        <v>86</v>
      </c>
      <c r="K126" s="500">
        <f t="shared" si="31"/>
        <v>84</v>
      </c>
      <c r="L126" s="500">
        <f t="shared" si="31"/>
        <v>82</v>
      </c>
      <c r="M126" s="501">
        <f t="shared" si="31"/>
        <v>80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5"/>
      <c r="B127" s="494">
        <f>B43</f>
        <v>111</v>
      </c>
      <c r="C127" s="510"/>
      <c r="D127" s="510"/>
      <c r="E127" s="510"/>
      <c r="F127" s="510"/>
      <c r="G127" s="510"/>
      <c r="H127" s="539"/>
      <c r="I127" s="539"/>
      <c r="J127" s="539"/>
      <c r="K127" s="540"/>
      <c r="L127" s="541"/>
      <c r="M127" s="542"/>
      <c r="N127" s="2947"/>
      <c r="O127" s="2947"/>
      <c r="P127" s="2972"/>
      <c r="Q127" s="2933"/>
      <c r="R127" s="2919"/>
      <c r="S127" s="2919"/>
      <c r="T127" s="2919"/>
      <c r="U127" s="2919"/>
      <c r="V127" s="2919"/>
      <c r="W127" s="2919"/>
      <c r="X127" s="2919"/>
      <c r="Y127" s="2919"/>
      <c r="Z127" s="2919"/>
      <c r="AA127" s="2919"/>
      <c r="AB127" s="2919"/>
      <c r="AC127" s="2919"/>
    </row>
    <row r="128" spans="1:29" ht="15.75" thickBot="1">
      <c r="A128" s="490"/>
      <c r="B128" s="499"/>
      <c r="C128" s="516"/>
      <c r="D128" s="516"/>
      <c r="E128" s="516"/>
      <c r="F128" s="516"/>
      <c r="G128" s="492"/>
      <c r="H128" s="492"/>
      <c r="I128" s="492"/>
      <c r="J128" s="492"/>
      <c r="K128" s="492"/>
      <c r="L128" s="492"/>
      <c r="M128" s="493"/>
      <c r="N128" s="2948"/>
      <c r="O128" s="2948"/>
      <c r="P128" s="2972"/>
      <c r="Q128" s="2933"/>
      <c r="R128" s="2919"/>
      <c r="S128" s="2919"/>
      <c r="T128" s="2919"/>
      <c r="U128" s="2919"/>
      <c r="V128" s="2919"/>
      <c r="W128" s="2919"/>
      <c r="X128" s="2919"/>
      <c r="Y128" s="2919"/>
      <c r="Z128" s="2919"/>
      <c r="AA128" s="2919"/>
      <c r="AB128" s="2919"/>
      <c r="AC128" s="2919"/>
    </row>
    <row r="129" spans="1:29" ht="15" thickTop="1">
      <c r="A129" s="555"/>
      <c r="B129" s="494">
        <f>B44</f>
        <v>111</v>
      </c>
      <c r="C129" s="479"/>
      <c r="D129" s="479"/>
      <c r="E129" s="479"/>
      <c r="F129" s="479"/>
      <c r="G129" s="539"/>
      <c r="H129" s="539"/>
      <c r="I129" s="539"/>
      <c r="J129" s="539"/>
      <c r="K129" s="540"/>
      <c r="L129" s="541"/>
      <c r="M129" s="542"/>
      <c r="N129" s="2947"/>
      <c r="O129" s="2947"/>
      <c r="P129" s="2972"/>
      <c r="Q129" s="2933"/>
      <c r="R129" s="2919"/>
      <c r="S129" s="2919"/>
      <c r="T129" s="2919"/>
      <c r="U129" s="2919"/>
      <c r="V129" s="2919"/>
      <c r="W129" s="2919"/>
      <c r="X129" s="2919"/>
      <c r="Y129" s="2919"/>
      <c r="Z129" s="2919"/>
      <c r="AA129" s="2919"/>
      <c r="AB129" s="2919"/>
      <c r="AC129" s="2919"/>
    </row>
    <row r="130" spans="1:29" ht="15.75" thickBot="1">
      <c r="A130" s="490"/>
      <c r="B130" s="499"/>
      <c r="C130" s="526"/>
      <c r="D130" s="526"/>
      <c r="E130" s="526"/>
      <c r="F130" s="526"/>
      <c r="G130" s="492"/>
      <c r="H130" s="492"/>
      <c r="I130" s="492"/>
      <c r="J130" s="492"/>
      <c r="K130" s="492"/>
      <c r="L130" s="492"/>
      <c r="M130" s="493"/>
      <c r="N130" s="2948"/>
      <c r="O130" s="2948"/>
      <c r="P130" s="2972"/>
      <c r="Q130" s="2933"/>
      <c r="R130" s="2919"/>
      <c r="S130" s="2919"/>
      <c r="T130" s="2919"/>
      <c r="U130" s="2919"/>
      <c r="V130" s="2919"/>
      <c r="W130" s="2919"/>
      <c r="X130" s="2919"/>
      <c r="Y130" s="2919"/>
      <c r="Z130" s="2919"/>
      <c r="AA130" s="2919"/>
      <c r="AB130" s="2919"/>
      <c r="AC130" s="2919"/>
    </row>
    <row r="131" spans="1:29" s="429" customFormat="1" ht="15" thickTop="1">
      <c r="A131" s="549"/>
      <c r="B131" s="494">
        <f>B45</f>
        <v>111</v>
      </c>
      <c r="C131" s="479"/>
      <c r="D131" s="479"/>
      <c r="E131" s="479"/>
      <c r="F131" s="479"/>
      <c r="G131" s="511"/>
      <c r="H131" s="511"/>
      <c r="I131" s="511"/>
      <c r="J131" s="511"/>
      <c r="K131" s="511"/>
      <c r="L131" s="512"/>
      <c r="M131" s="513"/>
      <c r="N131" s="2949"/>
      <c r="O131" s="2949"/>
      <c r="P131" s="2973"/>
      <c r="Q131" s="2940"/>
      <c r="R131" s="2941"/>
      <c r="S131" s="2941"/>
      <c r="T131" s="2941"/>
      <c r="U131" s="2941"/>
      <c r="V131" s="2941"/>
      <c r="W131" s="2941"/>
      <c r="X131" s="2941"/>
      <c r="Y131" s="2941"/>
      <c r="Z131" s="2941"/>
      <c r="AA131" s="2941"/>
      <c r="AB131" s="2941"/>
      <c r="AC131" s="2941"/>
    </row>
    <row r="132" spans="1:29" s="429" customFormat="1" ht="15.75" thickBot="1">
      <c r="A132" s="524"/>
      <c r="B132" s="655"/>
      <c r="C132" s="526"/>
      <c r="D132" s="526"/>
      <c r="E132" s="526"/>
      <c r="F132" s="526"/>
      <c r="G132" s="547"/>
      <c r="H132" s="547"/>
      <c r="I132" s="547"/>
      <c r="J132" s="547"/>
      <c r="K132" s="547"/>
      <c r="L132" s="547"/>
      <c r="M132" s="548"/>
      <c r="N132" s="2949"/>
      <c r="O132" s="2949"/>
      <c r="P132" s="2973"/>
      <c r="Q132" s="2940"/>
      <c r="R132" s="2941"/>
      <c r="S132" s="2941"/>
      <c r="T132" s="2941"/>
      <c r="U132" s="2941"/>
      <c r="V132" s="2941"/>
      <c r="W132" s="2941"/>
      <c r="X132" s="2941"/>
      <c r="Y132" s="2941"/>
      <c r="Z132" s="2941"/>
      <c r="AA132" s="2941"/>
      <c r="AB132" s="2941"/>
      <c r="AC132" s="2941"/>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0">
    <dataValidation type="list" allowBlank="1" showInputMessage="1" showErrorMessage="1" sqref="C25" xr:uid="{00000000-0002-0000-1F00-000000000000}">
      <formula1>住宅朝向</formula1>
    </dataValidation>
    <dataValidation type="list" allowBlank="1" showInputMessage="1" showErrorMessage="1" sqref="C16 E16 G16 I16 C18 E18 G18 I18 I20 G20 E20 C20 C22 E22 G22 I22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I9 E9 G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G42 E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C24 E24 G24 I24 C26 E26 G26 I26"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2507</v>
      </c>
      <c r="D3" s="1323"/>
      <c r="E3" s="1037"/>
      <c r="F3" s="1038"/>
      <c r="G3" s="1037"/>
      <c r="H3" s="1037"/>
      <c r="I3" s="1037"/>
      <c r="J3" s="1037"/>
      <c r="K3" s="1039"/>
      <c r="L3" s="2928"/>
      <c r="M3" s="2929"/>
      <c r="N3" s="2929"/>
      <c r="O3" s="2929"/>
      <c r="P3" s="706"/>
      <c r="Q3" s="706"/>
      <c r="R3" s="706"/>
      <c r="S3" s="706"/>
      <c r="T3" s="706"/>
      <c r="U3" s="706"/>
      <c r="V3" s="706"/>
      <c r="W3" s="706"/>
      <c r="X3" s="706"/>
      <c r="Y3" s="706"/>
      <c r="Z3" s="706"/>
      <c r="AA3" s="706"/>
      <c r="AB3" s="723"/>
      <c r="AC3" s="720"/>
    </row>
    <row r="4" spans="1:29" ht="15">
      <c r="A4" s="360" t="s">
        <v>2406</v>
      </c>
      <c r="B4" s="361"/>
      <c r="C4" s="3562" t="s">
        <v>2407</v>
      </c>
      <c r="D4" s="3563"/>
      <c r="E4" s="3564" t="s">
        <v>2408</v>
      </c>
      <c r="F4" s="3565"/>
      <c r="G4" s="3562" t="s">
        <v>2409</v>
      </c>
      <c r="H4" s="3563"/>
      <c r="I4" s="3562" t="s">
        <v>2410</v>
      </c>
      <c r="J4" s="3563"/>
      <c r="K4" s="566" t="s">
        <v>2411</v>
      </c>
      <c r="L4" s="2909"/>
      <c r="M4" s="2910"/>
      <c r="N4" s="2910"/>
      <c r="O4" s="2910"/>
      <c r="P4" s="3566" t="s">
        <v>2412</v>
      </c>
      <c r="Q4" s="3567"/>
      <c r="R4" s="3572" t="s">
        <v>2408</v>
      </c>
      <c r="S4" s="3573"/>
      <c r="T4" s="3572" t="s">
        <v>2409</v>
      </c>
      <c r="U4" s="3573"/>
      <c r="V4" s="3578" t="s">
        <v>2410</v>
      </c>
      <c r="W4" s="3578"/>
      <c r="X4" s="1505"/>
      <c r="Y4" s="3572" t="s">
        <v>2412</v>
      </c>
      <c r="Z4" s="3573"/>
      <c r="AA4" s="3559" t="s">
        <v>2408</v>
      </c>
      <c r="AB4" s="3560" t="s">
        <v>2409</v>
      </c>
      <c r="AC4" s="3559" t="s">
        <v>2410</v>
      </c>
    </row>
    <row r="5" spans="1:29" ht="15">
      <c r="A5" s="363"/>
      <c r="B5" s="364"/>
      <c r="C5" s="3581" t="s">
        <v>2303</v>
      </c>
      <c r="D5" s="3582"/>
      <c r="E5" s="3588" t="s">
        <v>2304</v>
      </c>
      <c r="F5" s="3589"/>
      <c r="G5" s="3581" t="s">
        <v>2305</v>
      </c>
      <c r="H5" s="3582"/>
      <c r="I5" s="3581" t="s">
        <v>2306</v>
      </c>
      <c r="J5" s="3582"/>
      <c r="K5" s="566"/>
      <c r="L5" s="2909"/>
      <c r="M5" s="2910"/>
      <c r="N5" s="2910"/>
      <c r="O5" s="2910"/>
      <c r="P5" s="3568"/>
      <c r="Q5" s="3569"/>
      <c r="R5" s="3574"/>
      <c r="S5" s="3575"/>
      <c r="T5" s="3574"/>
      <c r="U5" s="3575"/>
      <c r="V5" s="3578"/>
      <c r="W5" s="3578"/>
      <c r="X5" s="1505"/>
      <c r="Y5" s="3574"/>
      <c r="Z5" s="3575"/>
      <c r="AA5" s="3560"/>
      <c r="AB5" s="3560"/>
      <c r="AC5" s="3560"/>
    </row>
    <row r="6" spans="1:29" ht="15.75" thickBot="1">
      <c r="A6" s="365"/>
      <c r="B6" s="366"/>
      <c r="C6" s="3614" t="s">
        <v>2557</v>
      </c>
      <c r="D6" s="3615"/>
      <c r="E6" s="3616" t="s">
        <v>2557</v>
      </c>
      <c r="F6" s="3617"/>
      <c r="G6" s="3614" t="s">
        <v>2557</v>
      </c>
      <c r="H6" s="3615"/>
      <c r="I6" s="3614" t="s">
        <v>2557</v>
      </c>
      <c r="J6" s="3615"/>
      <c r="K6" s="566" t="s">
        <v>2308</v>
      </c>
      <c r="L6" s="2909"/>
      <c r="M6" s="2910"/>
      <c r="N6" s="2910"/>
      <c r="O6" s="2910"/>
      <c r="P6" s="3570"/>
      <c r="Q6" s="3571"/>
      <c r="R6" s="3574"/>
      <c r="S6" s="3575"/>
      <c r="T6" s="3576"/>
      <c r="U6" s="3577"/>
      <c r="V6" s="3578"/>
      <c r="W6" s="3578"/>
      <c r="X6" s="1505"/>
      <c r="Y6" s="3576"/>
      <c r="Z6" s="3577"/>
      <c r="AA6" s="3561"/>
      <c r="AB6" s="3561"/>
      <c r="AC6" s="3561"/>
    </row>
    <row r="7" spans="1:29" s="112" customFormat="1" ht="15.75" thickBot="1">
      <c r="A7" s="367" t="s">
        <v>2309</v>
      </c>
      <c r="B7" s="368"/>
      <c r="C7" s="369">
        <f>'数据-取费表'!B2</f>
        <v>44617</v>
      </c>
      <c r="D7" s="370">
        <v>100</v>
      </c>
      <c r="E7" s="371"/>
      <c r="F7" s="372">
        <f>SUMIF(65:65,YEAR(E7)&amp;"-"&amp;INT((MONTH(E7)+2)/3),66:66)</f>
        <v>0</v>
      </c>
      <c r="G7" s="2126"/>
      <c r="H7" s="370">
        <f>SUMIF(65:65,YEAR(G7)&amp;"-"&amp;INT((MONTH(G7)+2)/3),66:66)</f>
        <v>0</v>
      </c>
      <c r="I7" s="2126"/>
      <c r="J7" s="370">
        <f>SUMIF(65:65,YEAR(I7)&amp;"-"&amp;INT((MONTH(I7)+2)/3),66:66)</f>
        <v>0</v>
      </c>
      <c r="K7" s="567"/>
      <c r="L7" s="2911"/>
      <c r="M7" s="2912"/>
      <c r="N7" s="2912"/>
      <c r="O7" s="2912"/>
      <c r="P7" s="3583" t="s">
        <v>2310</v>
      </c>
      <c r="Q7" s="3585"/>
      <c r="R7" s="708" t="s">
        <v>17</v>
      </c>
      <c r="S7" s="709">
        <f t="shared" ref="S7:S15" si="0">F7</f>
        <v>0</v>
      </c>
      <c r="T7" s="708" t="s">
        <v>17</v>
      </c>
      <c r="U7" s="709">
        <f t="shared" ref="U7:U15" si="1">H7</f>
        <v>0</v>
      </c>
      <c r="V7" s="708" t="s">
        <v>17</v>
      </c>
      <c r="W7" s="709">
        <f t="shared" ref="W7:W15" si="2">J7</f>
        <v>0</v>
      </c>
      <c r="X7" s="710"/>
      <c r="Y7" s="3583" t="s">
        <v>2310</v>
      </c>
      <c r="Z7" s="3584"/>
      <c r="AA7" s="711" t="e">
        <f>D7/F7</f>
        <v>#DIV/0!</v>
      </c>
      <c r="AB7" s="711" t="e">
        <f>D7/H7</f>
        <v>#DIV/0!</v>
      </c>
      <c r="AC7" s="711" t="e">
        <f>D7/J7</f>
        <v>#DIV/0!</v>
      </c>
    </row>
    <row r="8" spans="1:29" s="112"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1"/>
      <c r="M8" s="2912"/>
      <c r="N8" s="2912"/>
      <c r="O8" s="2912"/>
      <c r="P8" s="3583" t="s">
        <v>2313</v>
      </c>
      <c r="Q8" s="3584"/>
      <c r="R8" s="708" t="s">
        <v>17</v>
      </c>
      <c r="S8" s="709">
        <f t="shared" si="0"/>
        <v>0</v>
      </c>
      <c r="T8" s="708" t="s">
        <v>17</v>
      </c>
      <c r="U8" s="709">
        <f t="shared" si="1"/>
        <v>0</v>
      </c>
      <c r="V8" s="708" t="s">
        <v>17</v>
      </c>
      <c r="W8" s="709">
        <f t="shared" si="2"/>
        <v>0</v>
      </c>
      <c r="X8" s="710"/>
      <c r="Y8" s="3583" t="s">
        <v>2313</v>
      </c>
      <c r="Z8" s="3584"/>
      <c r="AA8" s="711" t="e">
        <f t="shared" ref="AA8:AA40" si="3">D8/F8</f>
        <v>#DIV/0!</v>
      </c>
      <c r="AB8" s="711" t="e">
        <f t="shared" ref="AB8:AB40" si="4">D8/H8</f>
        <v>#DIV/0!</v>
      </c>
      <c r="AC8" s="711" t="e">
        <f t="shared" ref="AC8:AC40" si="5">D8/J8</f>
        <v>#DIV/0!</v>
      </c>
    </row>
    <row r="9" spans="1:29" s="112" customFormat="1">
      <c r="A9" s="374" t="s">
        <v>2314</v>
      </c>
      <c r="B9" s="67" t="s">
        <v>2315</v>
      </c>
      <c r="C9" s="2129"/>
      <c r="D9" s="130">
        <v>100</v>
      </c>
      <c r="E9" s="2129"/>
      <c r="F9" s="130">
        <f>SUMIF(70:70,E9,71:71)-SUMIF(70:70,C9,71:71)+100</f>
        <v>100</v>
      </c>
      <c r="G9" s="2129"/>
      <c r="H9" s="130">
        <f>SUMIF(70:70,G9,71:71)-SUMIF(70:70,C9,71:71)+100</f>
        <v>100</v>
      </c>
      <c r="I9" s="2129"/>
      <c r="J9" s="130">
        <f>SUMIF(70:70,I9,71:71)-SUMIF(70:70,C9,71:71)+100</f>
        <v>100</v>
      </c>
      <c r="K9" s="567"/>
      <c r="L9" s="2911"/>
      <c r="M9" s="2912"/>
      <c r="N9" s="2912"/>
      <c r="O9" s="2966"/>
      <c r="P9" s="3546" t="s">
        <v>2316</v>
      </c>
      <c r="Q9" s="1493" t="str">
        <f t="shared" ref="Q9:Q15" si="6">B9</f>
        <v>用途</v>
      </c>
      <c r="R9" s="708" t="s">
        <v>17</v>
      </c>
      <c r="S9" s="709">
        <f t="shared" si="0"/>
        <v>100</v>
      </c>
      <c r="T9" s="708" t="s">
        <v>17</v>
      </c>
      <c r="U9" s="709">
        <f t="shared" si="1"/>
        <v>100</v>
      </c>
      <c r="V9" s="708" t="s">
        <v>17</v>
      </c>
      <c r="W9" s="709">
        <f t="shared" si="2"/>
        <v>100</v>
      </c>
      <c r="X9" s="710"/>
      <c r="Y9" s="3558" t="s">
        <v>2317</v>
      </c>
      <c r="Z9" s="55" t="str">
        <f t="shared" ref="Z9:Z15" si="7">Q9</f>
        <v>用途</v>
      </c>
      <c r="AA9" s="711">
        <f t="shared" si="3"/>
        <v>1</v>
      </c>
      <c r="AB9" s="711">
        <f t="shared" si="4"/>
        <v>1</v>
      </c>
      <c r="AC9" s="711">
        <f t="shared" si="5"/>
        <v>1</v>
      </c>
    </row>
    <row r="10" spans="1:29" s="385" customFormat="1" ht="27">
      <c r="A10" s="379"/>
      <c r="B10" s="380" t="s">
        <v>2318</v>
      </c>
      <c r="C10" s="390"/>
      <c r="D10" s="131">
        <v>100</v>
      </c>
      <c r="E10" s="390"/>
      <c r="F10" s="131">
        <f>ROUND(100/'数据-取费表'!G16,0)</f>
        <v>100</v>
      </c>
      <c r="G10" s="390"/>
      <c r="H10" s="131">
        <f>ROUND(100/'数据-取费表'!G16,0)</f>
        <v>100</v>
      </c>
      <c r="I10" s="390"/>
      <c r="J10" s="131">
        <f>ROUND(100/'数据-取费表'!G16,0)</f>
        <v>100</v>
      </c>
      <c r="K10" s="627"/>
      <c r="L10" s="2913"/>
      <c r="M10" s="2914"/>
      <c r="N10" s="2914"/>
      <c r="O10" s="2967"/>
      <c r="P10" s="3546"/>
      <c r="Q10" s="1493" t="str">
        <f t="shared" si="6"/>
        <v>土地使用年限（年）</v>
      </c>
      <c r="R10" s="708" t="s">
        <v>17</v>
      </c>
      <c r="S10" s="709">
        <f t="shared" si="0"/>
        <v>100</v>
      </c>
      <c r="T10" s="708" t="s">
        <v>17</v>
      </c>
      <c r="U10" s="709">
        <f t="shared" si="1"/>
        <v>100</v>
      </c>
      <c r="V10" s="708" t="s">
        <v>17</v>
      </c>
      <c r="W10" s="709">
        <f t="shared" si="2"/>
        <v>100</v>
      </c>
      <c r="X10" s="710"/>
      <c r="Y10" s="3558"/>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5"/>
      <c r="M11" s="2910"/>
      <c r="N11" s="2910"/>
      <c r="O11" s="2968"/>
      <c r="P11" s="3546"/>
      <c r="Q11" s="1493" t="str">
        <f t="shared" si="6"/>
        <v>容积率</v>
      </c>
      <c r="R11" s="708" t="s">
        <v>17</v>
      </c>
      <c r="S11" s="709" t="e">
        <f t="shared" si="0"/>
        <v>#N/A</v>
      </c>
      <c r="T11" s="708" t="s">
        <v>17</v>
      </c>
      <c r="U11" s="709" t="e">
        <f t="shared" si="1"/>
        <v>#N/A</v>
      </c>
      <c r="V11" s="708" t="s">
        <v>17</v>
      </c>
      <c r="W11" s="709" t="e">
        <f t="shared" si="2"/>
        <v>#N/A</v>
      </c>
      <c r="X11" s="710"/>
      <c r="Y11" s="3558"/>
      <c r="Z11" s="55" t="str">
        <f t="shared" si="7"/>
        <v>容积率</v>
      </c>
      <c r="AA11" s="711" t="e">
        <f t="shared" si="3"/>
        <v>#N/A</v>
      </c>
      <c r="AB11" s="711" t="e">
        <f t="shared" si="4"/>
        <v>#N/A</v>
      </c>
      <c r="AC11" s="711" t="e">
        <f t="shared" si="5"/>
        <v>#N/A</v>
      </c>
    </row>
    <row r="12" spans="1:29" s="112" customFormat="1" ht="15">
      <c r="A12" s="389"/>
      <c r="B12" s="2045">
        <v>111</v>
      </c>
      <c r="C12" s="390"/>
      <c r="D12" s="391">
        <v>100</v>
      </c>
      <c r="E12" s="505"/>
      <c r="F12" s="131">
        <f>SUMIF(77:77,E12,78:78)-SUMIF(77:77,C12,78:78)+100</f>
        <v>100</v>
      </c>
      <c r="G12" s="629"/>
      <c r="H12" s="131">
        <f>SUMIF(77:77,G12,78:78)-SUMIF(77:77,C12,78:78)+100</f>
        <v>100</v>
      </c>
      <c r="I12" s="505"/>
      <c r="J12" s="131">
        <f>SUMIF(77:77,I12,78:78)-SUMIF(77:77,C12,78:78)+100</f>
        <v>100</v>
      </c>
      <c r="K12" s="627"/>
      <c r="L12" s="2911"/>
      <c r="M12" s="2912"/>
      <c r="N12" s="2912"/>
      <c r="O12" s="2966"/>
      <c r="P12" s="3546"/>
      <c r="Q12" s="1493">
        <f t="shared" si="6"/>
        <v>111</v>
      </c>
      <c r="R12" s="708" t="s">
        <v>17</v>
      </c>
      <c r="S12" s="709">
        <f t="shared" si="0"/>
        <v>100</v>
      </c>
      <c r="T12" s="708" t="s">
        <v>17</v>
      </c>
      <c r="U12" s="709">
        <f t="shared" si="1"/>
        <v>100</v>
      </c>
      <c r="V12" s="708" t="s">
        <v>17</v>
      </c>
      <c r="W12" s="709">
        <f t="shared" si="2"/>
        <v>100</v>
      </c>
      <c r="X12" s="710"/>
      <c r="Y12" s="3558"/>
      <c r="Z12" s="55">
        <f t="shared" si="7"/>
        <v>111</v>
      </c>
      <c r="AA12" s="711">
        <f>D12/F12</f>
        <v>1</v>
      </c>
      <c r="AB12" s="711">
        <f>D12/H12</f>
        <v>1</v>
      </c>
      <c r="AC12" s="711">
        <f>D12/J12</f>
        <v>1</v>
      </c>
    </row>
    <row r="13" spans="1:29" ht="15">
      <c r="A13" s="386"/>
      <c r="B13" s="2045">
        <v>111</v>
      </c>
      <c r="C13" s="392"/>
      <c r="D13" s="393">
        <v>100</v>
      </c>
      <c r="E13" s="505"/>
      <c r="F13" s="131">
        <f>SUMIF(79:79,E13,80:80)-SUMIF(79:79,C13,80:80)+100</f>
        <v>100</v>
      </c>
      <c r="G13" s="629"/>
      <c r="H13" s="393">
        <f>SUMIF(79:79,G13,80:80)-SUMIF(79:79,C13,80:80)+100</f>
        <v>100</v>
      </c>
      <c r="I13" s="505"/>
      <c r="J13" s="393">
        <f>SUMIF(79:79,I13,80:80)-SUMIF(79:79,C13,80:80)+100</f>
        <v>100</v>
      </c>
      <c r="K13" s="627"/>
      <c r="L13" s="2916"/>
      <c r="M13" s="2910"/>
      <c r="N13" s="2910"/>
      <c r="O13" s="2968"/>
      <c r="P13" s="3546"/>
      <c r="Q13" s="1493">
        <f t="shared" si="6"/>
        <v>111</v>
      </c>
      <c r="R13" s="708" t="s">
        <v>17</v>
      </c>
      <c r="S13" s="709">
        <f t="shared" si="0"/>
        <v>100</v>
      </c>
      <c r="T13" s="708" t="s">
        <v>17</v>
      </c>
      <c r="U13" s="709">
        <f t="shared" si="1"/>
        <v>100</v>
      </c>
      <c r="V13" s="708" t="s">
        <v>17</v>
      </c>
      <c r="W13" s="709">
        <f t="shared" si="2"/>
        <v>100</v>
      </c>
      <c r="X13" s="710"/>
      <c r="Y13" s="3558"/>
      <c r="Z13" s="55">
        <f t="shared" si="7"/>
        <v>111</v>
      </c>
      <c r="AA13" s="711">
        <f t="shared" si="3"/>
        <v>1</v>
      </c>
      <c r="AB13" s="711">
        <f t="shared" si="4"/>
        <v>1</v>
      </c>
      <c r="AC13" s="711">
        <f t="shared" si="5"/>
        <v>1</v>
      </c>
    </row>
    <row r="14" spans="1:29" ht="15.75" thickBot="1">
      <c r="A14" s="394"/>
      <c r="B14" s="2047">
        <v>111</v>
      </c>
      <c r="C14" s="395"/>
      <c r="D14" s="396">
        <v>100</v>
      </c>
      <c r="E14" s="505"/>
      <c r="F14" s="396">
        <f>SUMIF(81:81,E14,82:82)-SUMIF(81:81,C14,82:82)+100</f>
        <v>100</v>
      </c>
      <c r="G14" s="629"/>
      <c r="H14" s="396">
        <f>SUMIF(81:81,G14,82:82)-SUMIF(81:81,C14,82:82)+100</f>
        <v>100</v>
      </c>
      <c r="I14" s="505"/>
      <c r="J14" s="396">
        <f>SUMIF(81:81,I14,82:82)-SUMIF(81:81,C14,82:82)+100</f>
        <v>100</v>
      </c>
      <c r="K14" s="627"/>
      <c r="L14" s="2916"/>
      <c r="M14" s="2910"/>
      <c r="N14" s="2910"/>
      <c r="O14" s="2968"/>
      <c r="P14" s="3546"/>
      <c r="Q14" s="1493">
        <f t="shared" si="6"/>
        <v>111</v>
      </c>
      <c r="R14" s="708" t="s">
        <v>17</v>
      </c>
      <c r="S14" s="709">
        <f t="shared" si="0"/>
        <v>100</v>
      </c>
      <c r="T14" s="708" t="s">
        <v>17</v>
      </c>
      <c r="U14" s="709">
        <f t="shared" si="1"/>
        <v>100</v>
      </c>
      <c r="V14" s="708" t="s">
        <v>17</v>
      </c>
      <c r="W14" s="709">
        <f t="shared" si="2"/>
        <v>100</v>
      </c>
      <c r="X14" s="710"/>
      <c r="Y14" s="3558"/>
      <c r="Z14" s="55">
        <f t="shared" si="7"/>
        <v>111</v>
      </c>
      <c r="AA14" s="711">
        <f t="shared" si="3"/>
        <v>1</v>
      </c>
      <c r="AB14" s="711">
        <f t="shared" si="4"/>
        <v>1</v>
      </c>
      <c r="AC14" s="711">
        <f t="shared" si="5"/>
        <v>1</v>
      </c>
    </row>
    <row r="15" spans="1:29" ht="57">
      <c r="A15" s="398" t="s">
        <v>2320</v>
      </c>
      <c r="B15" s="584" t="s">
        <v>2558</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6"/>
      <c r="M15" s="2910"/>
      <c r="N15" s="2910"/>
      <c r="O15" s="2968"/>
      <c r="P15" s="3548" t="s">
        <v>2321</v>
      </c>
      <c r="Q15" s="1502" t="str">
        <f t="shared" si="6"/>
        <v>产业集聚程度</v>
      </c>
      <c r="R15" s="712" t="s">
        <v>17</v>
      </c>
      <c r="S15" s="713">
        <f t="shared" si="0"/>
        <v>100</v>
      </c>
      <c r="T15" s="712" t="s">
        <v>17</v>
      </c>
      <c r="U15" s="713">
        <f t="shared" si="1"/>
        <v>100</v>
      </c>
      <c r="V15" s="712" t="s">
        <v>17</v>
      </c>
      <c r="W15" s="713">
        <f t="shared" si="2"/>
        <v>100</v>
      </c>
      <c r="X15" s="1505"/>
      <c r="Y15" s="3548" t="s">
        <v>2321</v>
      </c>
      <c r="Z15" s="1506" t="str">
        <f t="shared" si="7"/>
        <v>产业集聚程度</v>
      </c>
      <c r="AA15" s="1503">
        <f t="shared" si="3"/>
        <v>1</v>
      </c>
      <c r="AB15" s="1503">
        <f t="shared" si="4"/>
        <v>1</v>
      </c>
      <c r="AC15" s="1503">
        <f t="shared" si="5"/>
        <v>1</v>
      </c>
    </row>
    <row r="16" spans="1:29" ht="15">
      <c r="A16" s="386"/>
      <c r="B16" s="585"/>
      <c r="C16" s="405"/>
      <c r="D16" s="406"/>
      <c r="E16" s="2056"/>
      <c r="F16" s="406"/>
      <c r="G16" s="2056"/>
      <c r="H16" s="408"/>
      <c r="I16" s="2056"/>
      <c r="J16" s="406"/>
      <c r="K16" s="627"/>
      <c r="L16" s="2916"/>
      <c r="M16" s="2910"/>
      <c r="N16" s="2910"/>
      <c r="O16" s="2968"/>
      <c r="P16" s="3549"/>
      <c r="Q16" s="1502"/>
      <c r="R16" s="712"/>
      <c r="S16" s="713"/>
      <c r="T16" s="712"/>
      <c r="U16" s="713"/>
      <c r="V16" s="712"/>
      <c r="W16" s="713"/>
      <c r="X16" s="1505"/>
      <c r="Y16" s="3549"/>
      <c r="Z16" s="1506"/>
      <c r="AA16" s="1503">
        <v>1</v>
      </c>
      <c r="AB16" s="1503">
        <v>1</v>
      </c>
      <c r="AC16" s="1503">
        <v>1</v>
      </c>
    </row>
    <row r="17" spans="1:29" ht="85.5">
      <c r="A17" s="386"/>
      <c r="B17" s="586" t="s">
        <v>2470</v>
      </c>
      <c r="C17" s="205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6"/>
      <c r="M17" s="2910"/>
      <c r="N17" s="2910"/>
      <c r="O17" s="2968"/>
      <c r="P17" s="3549"/>
      <c r="Q17" s="1502" t="str">
        <f>B17</f>
        <v>交通便捷度</v>
      </c>
      <c r="R17" s="712" t="s">
        <v>17</v>
      </c>
      <c r="S17" s="713">
        <f>F17</f>
        <v>100</v>
      </c>
      <c r="T17" s="712" t="s">
        <v>17</v>
      </c>
      <c r="U17" s="713">
        <f>H17</f>
        <v>100</v>
      </c>
      <c r="V17" s="712" t="s">
        <v>17</v>
      </c>
      <c r="W17" s="713">
        <f>J17</f>
        <v>100</v>
      </c>
      <c r="X17" s="1505"/>
      <c r="Y17" s="3549"/>
      <c r="Z17" s="1506" t="str">
        <f>Q17</f>
        <v>交通便捷度</v>
      </c>
      <c r="AA17" s="1503">
        <f t="shared" si="3"/>
        <v>1</v>
      </c>
      <c r="AB17" s="1503">
        <f t="shared" si="4"/>
        <v>1</v>
      </c>
      <c r="AC17" s="1503">
        <f t="shared" si="5"/>
        <v>1</v>
      </c>
    </row>
    <row r="18" spans="1:29" ht="15">
      <c r="A18" s="386"/>
      <c r="B18" s="587"/>
      <c r="C18" s="405"/>
      <c r="D18" s="406"/>
      <c r="E18" s="2050"/>
      <c r="F18" s="406"/>
      <c r="G18" s="2050"/>
      <c r="H18" s="406"/>
      <c r="I18" s="2049"/>
      <c r="J18" s="406"/>
      <c r="K18" s="627"/>
      <c r="L18" s="2916"/>
      <c r="M18" s="2910"/>
      <c r="N18" s="2910"/>
      <c r="O18" s="2968"/>
      <c r="P18" s="3549"/>
      <c r="Q18" s="1502"/>
      <c r="R18" s="712"/>
      <c r="S18" s="713"/>
      <c r="T18" s="712"/>
      <c r="U18" s="713"/>
      <c r="V18" s="712"/>
      <c r="W18" s="713"/>
      <c r="X18" s="1505"/>
      <c r="Y18" s="3549"/>
      <c r="Z18" s="1506"/>
      <c r="AA18" s="1503">
        <v>1</v>
      </c>
      <c r="AB18" s="1503">
        <v>1</v>
      </c>
      <c r="AC18" s="1503">
        <v>1</v>
      </c>
    </row>
    <row r="19" spans="1:29" ht="15">
      <c r="A19" s="386"/>
      <c r="B19" s="586" t="s">
        <v>2509</v>
      </c>
      <c r="C19" s="205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6"/>
      <c r="M19" s="2910"/>
      <c r="N19" s="2910"/>
      <c r="O19" s="2968"/>
      <c r="P19" s="3549"/>
      <c r="Q19" s="1502" t="str">
        <f t="shared" ref="Q19:Q33" si="8">B19</f>
        <v>区域土地利用方向</v>
      </c>
      <c r="R19" s="712" t="s">
        <v>17</v>
      </c>
      <c r="S19" s="713">
        <f>F19</f>
        <v>100</v>
      </c>
      <c r="T19" s="712" t="s">
        <v>17</v>
      </c>
      <c r="U19" s="713">
        <f>H19</f>
        <v>100</v>
      </c>
      <c r="V19" s="712" t="s">
        <v>17</v>
      </c>
      <c r="W19" s="713">
        <f>J19</f>
        <v>100</v>
      </c>
      <c r="X19" s="1505"/>
      <c r="Y19" s="3549"/>
      <c r="Z19" s="1506" t="str">
        <f>Q19</f>
        <v>区域土地利用方向</v>
      </c>
      <c r="AA19" s="1503">
        <f t="shared" si="3"/>
        <v>1</v>
      </c>
      <c r="AB19" s="1503">
        <f t="shared" si="4"/>
        <v>1</v>
      </c>
      <c r="AC19" s="1503">
        <f t="shared" si="5"/>
        <v>1</v>
      </c>
    </row>
    <row r="20" spans="1:29" ht="15">
      <c r="A20" s="363"/>
      <c r="B20" s="587"/>
      <c r="C20" s="405"/>
      <c r="D20" s="406"/>
      <c r="E20" s="2050"/>
      <c r="F20" s="406"/>
      <c r="G20" s="2050"/>
      <c r="H20" s="406"/>
      <c r="I20" s="2050"/>
      <c r="J20" s="406"/>
      <c r="K20" s="749"/>
      <c r="L20" s="2916"/>
      <c r="M20" s="2910"/>
      <c r="N20" s="2910"/>
      <c r="O20" s="2968"/>
      <c r="P20" s="3549"/>
      <c r="Q20" s="1502"/>
      <c r="R20" s="712"/>
      <c r="S20" s="713"/>
      <c r="T20" s="712"/>
      <c r="U20" s="713"/>
      <c r="V20" s="712"/>
      <c r="W20" s="713"/>
      <c r="X20" s="1505"/>
      <c r="Y20" s="3549"/>
      <c r="Z20" s="1506"/>
      <c r="AA20" s="1503"/>
      <c r="AB20" s="1503"/>
      <c r="AC20" s="1503"/>
    </row>
    <row r="21" spans="1:29" ht="71.25">
      <c r="A21" s="363"/>
      <c r="B21" s="586" t="s">
        <v>2559</v>
      </c>
      <c r="C21" s="205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6"/>
      <c r="M21" s="2910"/>
      <c r="N21" s="2910"/>
      <c r="O21" s="2968"/>
      <c r="P21" s="3549"/>
      <c r="Q21" s="1502" t="str">
        <f t="shared" si="8"/>
        <v>环境状况</v>
      </c>
      <c r="R21" s="712" t="s">
        <v>17</v>
      </c>
      <c r="S21" s="713">
        <f>F21</f>
        <v>100</v>
      </c>
      <c r="T21" s="712" t="s">
        <v>17</v>
      </c>
      <c r="U21" s="713">
        <f>H21</f>
        <v>100</v>
      </c>
      <c r="V21" s="712" t="s">
        <v>17</v>
      </c>
      <c r="W21" s="713">
        <f>J21</f>
        <v>100</v>
      </c>
      <c r="X21" s="1505"/>
      <c r="Y21" s="3549"/>
      <c r="Z21" s="1506" t="str">
        <f>Q21</f>
        <v>环境状况</v>
      </c>
      <c r="AA21" s="1503">
        <f t="shared" si="3"/>
        <v>1</v>
      </c>
      <c r="AB21" s="1503">
        <f t="shared" si="4"/>
        <v>1</v>
      </c>
      <c r="AC21" s="1503">
        <f t="shared" si="5"/>
        <v>1</v>
      </c>
    </row>
    <row r="22" spans="1:29" ht="15">
      <c r="A22" s="363"/>
      <c r="B22" s="587"/>
      <c r="C22" s="405"/>
      <c r="D22" s="406"/>
      <c r="E22" s="2056"/>
      <c r="F22" s="406"/>
      <c r="G22" s="2056"/>
      <c r="H22" s="406"/>
      <c r="I22" s="405"/>
      <c r="J22" s="406"/>
      <c r="K22" s="627"/>
      <c r="L22" s="2916"/>
      <c r="M22" s="2910"/>
      <c r="N22" s="2910"/>
      <c r="O22" s="2968"/>
      <c r="P22" s="3549"/>
      <c r="Q22" s="1502"/>
      <c r="R22" s="712"/>
      <c r="S22" s="713"/>
      <c r="T22" s="712"/>
      <c r="U22" s="713"/>
      <c r="V22" s="712"/>
      <c r="W22" s="713"/>
      <c r="X22" s="1505"/>
      <c r="Y22" s="3549"/>
      <c r="Z22" s="1506"/>
      <c r="AA22" s="1503">
        <v>1</v>
      </c>
      <c r="AB22" s="1503">
        <v>1</v>
      </c>
      <c r="AC22" s="1503">
        <v>1</v>
      </c>
    </row>
    <row r="23" spans="1:29" s="112" customFormat="1" ht="42.75">
      <c r="A23" s="604"/>
      <c r="B23" s="588" t="s">
        <v>2415</v>
      </c>
      <c r="C23" s="205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1"/>
      <c r="M23" s="2912"/>
      <c r="N23" s="2912"/>
      <c r="O23" s="2966"/>
      <c r="P23" s="3549"/>
      <c r="Q23" s="1493" t="str">
        <f t="shared" si="8"/>
        <v>公共配套设施</v>
      </c>
      <c r="R23" s="708" t="s">
        <v>17</v>
      </c>
      <c r="S23" s="709">
        <f>F23</f>
        <v>100</v>
      </c>
      <c r="T23" s="708" t="s">
        <v>17</v>
      </c>
      <c r="U23" s="709">
        <f>H23</f>
        <v>100</v>
      </c>
      <c r="V23" s="708" t="s">
        <v>17</v>
      </c>
      <c r="W23" s="709">
        <f>J23</f>
        <v>100</v>
      </c>
      <c r="X23" s="710"/>
      <c r="Y23" s="3549"/>
      <c r="Z23" s="55" t="str">
        <f>Q23</f>
        <v>公共配套设施</v>
      </c>
      <c r="AA23" s="1503">
        <f>D23/F23</f>
        <v>1</v>
      </c>
      <c r="AB23" s="1503">
        <f>D23/H23</f>
        <v>1</v>
      </c>
      <c r="AC23" s="1503">
        <f>D23/J23</f>
        <v>1</v>
      </c>
    </row>
    <row r="24" spans="1:29" s="112" customFormat="1" ht="15">
      <c r="A24" s="604"/>
      <c r="B24" s="587"/>
      <c r="C24" s="2130"/>
      <c r="D24" s="406"/>
      <c r="E24" s="2056"/>
      <c r="F24" s="406"/>
      <c r="G24" s="2056"/>
      <c r="H24" s="406"/>
      <c r="I24" s="405"/>
      <c r="J24" s="406"/>
      <c r="K24" s="627"/>
      <c r="L24" s="2911"/>
      <c r="M24" s="2912"/>
      <c r="N24" s="2912"/>
      <c r="O24" s="2966"/>
      <c r="P24" s="3549"/>
      <c r="Q24" s="1493"/>
      <c r="R24" s="708"/>
      <c r="S24" s="709"/>
      <c r="T24" s="708"/>
      <c r="U24" s="709"/>
      <c r="V24" s="708"/>
      <c r="W24" s="709"/>
      <c r="X24" s="710"/>
      <c r="Y24" s="3549"/>
      <c r="Z24" s="55"/>
      <c r="AA24" s="711">
        <v>1</v>
      </c>
      <c r="AB24" s="711">
        <v>1</v>
      </c>
      <c r="AC24" s="711">
        <v>1</v>
      </c>
    </row>
    <row r="25" spans="1:29" s="112" customFormat="1" ht="28.5">
      <c r="A25" s="604"/>
      <c r="B25" s="588" t="s">
        <v>2416</v>
      </c>
      <c r="C25" s="205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1"/>
      <c r="M25" s="2912"/>
      <c r="N25" s="2912"/>
      <c r="O25" s="2966"/>
      <c r="P25" s="3549"/>
      <c r="Q25" s="1493" t="str">
        <f t="shared" ref="Q25" si="9">B25</f>
        <v>基础设施水平</v>
      </c>
      <c r="R25" s="708" t="s">
        <v>17</v>
      </c>
      <c r="S25" s="709">
        <f>F25</f>
        <v>100</v>
      </c>
      <c r="T25" s="708" t="s">
        <v>17</v>
      </c>
      <c r="U25" s="709">
        <f>H25</f>
        <v>100</v>
      </c>
      <c r="V25" s="708" t="s">
        <v>17</v>
      </c>
      <c r="W25" s="709">
        <f>J25</f>
        <v>100</v>
      </c>
      <c r="X25" s="710"/>
      <c r="Y25" s="3549"/>
      <c r="Z25" s="55" t="str">
        <f>Q25</f>
        <v>基础设施水平</v>
      </c>
      <c r="AA25" s="1503">
        <f>D25/F25</f>
        <v>1</v>
      </c>
      <c r="AB25" s="1503">
        <f>D25/H25</f>
        <v>1</v>
      </c>
      <c r="AC25" s="1503">
        <f>D25/J25</f>
        <v>1</v>
      </c>
    </row>
    <row r="26" spans="1:29" s="112" customFormat="1" ht="15">
      <c r="A26" s="604"/>
      <c r="B26" s="587"/>
      <c r="C26" s="2130"/>
      <c r="D26" s="406"/>
      <c r="E26" s="2131"/>
      <c r="F26" s="406"/>
      <c r="G26" s="2131"/>
      <c r="H26" s="406"/>
      <c r="I26" s="2131"/>
      <c r="J26" s="406"/>
      <c r="K26" s="627"/>
      <c r="L26" s="2911"/>
      <c r="M26" s="2912"/>
      <c r="N26" s="2912"/>
      <c r="O26" s="2966"/>
      <c r="P26" s="3549"/>
      <c r="Q26" s="1493"/>
      <c r="R26" s="708"/>
      <c r="S26" s="709"/>
      <c r="T26" s="708"/>
      <c r="U26" s="709"/>
      <c r="V26" s="708"/>
      <c r="W26" s="709"/>
      <c r="X26" s="710"/>
      <c r="Y26" s="3549"/>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6"/>
      <c r="M27" s="2910"/>
      <c r="N27" s="2910"/>
      <c r="O27" s="2968"/>
      <c r="P27" s="3549"/>
      <c r="Q27" s="1502" t="str">
        <f t="shared" si="8"/>
        <v>临街状况</v>
      </c>
      <c r="R27" s="712" t="s">
        <v>17</v>
      </c>
      <c r="S27" s="713">
        <f t="shared" ref="S27:S40" si="10">F27</f>
        <v>100</v>
      </c>
      <c r="T27" s="712" t="s">
        <v>17</v>
      </c>
      <c r="U27" s="713">
        <f t="shared" ref="U27:U40" si="11">H27</f>
        <v>100</v>
      </c>
      <c r="V27" s="712" t="s">
        <v>17</v>
      </c>
      <c r="W27" s="713">
        <f t="shared" ref="W27:W40" si="12">J27</f>
        <v>100</v>
      </c>
      <c r="X27" s="1505"/>
      <c r="Y27" s="3549"/>
      <c r="Z27" s="1506" t="str">
        <f t="shared" ref="Z27:Z40" si="13">Q27</f>
        <v>临街状况</v>
      </c>
      <c r="AA27" s="1503">
        <f t="shared" si="3"/>
        <v>1</v>
      </c>
      <c r="AB27" s="1503">
        <f t="shared" si="4"/>
        <v>1</v>
      </c>
      <c r="AC27" s="1503">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6"/>
      <c r="M28" s="2910"/>
      <c r="N28" s="2910"/>
      <c r="O28" s="2968"/>
      <c r="P28" s="3549"/>
      <c r="Q28" s="1502" t="str">
        <f t="shared" si="8"/>
        <v>毗邻道路的类型与等级</v>
      </c>
      <c r="R28" s="712" t="s">
        <v>17</v>
      </c>
      <c r="S28" s="713">
        <f t="shared" si="10"/>
        <v>100</v>
      </c>
      <c r="T28" s="712" t="s">
        <v>17</v>
      </c>
      <c r="U28" s="713">
        <f t="shared" si="11"/>
        <v>100</v>
      </c>
      <c r="V28" s="712" t="s">
        <v>17</v>
      </c>
      <c r="W28" s="713">
        <f t="shared" si="12"/>
        <v>100</v>
      </c>
      <c r="X28" s="1505"/>
      <c r="Y28" s="3549"/>
      <c r="Z28" s="1506" t="str">
        <f t="shared" si="13"/>
        <v>毗邻道路的类型与等级</v>
      </c>
      <c r="AA28" s="1503">
        <f t="shared" si="3"/>
        <v>1</v>
      </c>
      <c r="AB28" s="1503">
        <f t="shared" si="4"/>
        <v>1</v>
      </c>
      <c r="AC28" s="1503">
        <f t="shared" si="5"/>
        <v>1</v>
      </c>
    </row>
    <row r="29" spans="1:29" ht="15">
      <c r="A29" s="386"/>
      <c r="B29" s="587"/>
      <c r="C29" s="405"/>
      <c r="D29" s="406"/>
      <c r="E29" s="2056"/>
      <c r="F29" s="406"/>
      <c r="G29" s="2056"/>
      <c r="H29" s="406"/>
      <c r="I29" s="2056"/>
      <c r="J29" s="406"/>
      <c r="K29" s="569"/>
      <c r="L29" s="2916"/>
      <c r="M29" s="2910"/>
      <c r="N29" s="2910"/>
      <c r="O29" s="2968"/>
      <c r="P29" s="3549"/>
      <c r="Q29" s="1502"/>
      <c r="R29" s="712"/>
      <c r="S29" s="713"/>
      <c r="T29" s="712"/>
      <c r="U29" s="713"/>
      <c r="V29" s="712"/>
      <c r="W29" s="713"/>
      <c r="X29" s="1505"/>
      <c r="Y29" s="3549"/>
      <c r="Z29" s="1506"/>
      <c r="AA29" s="1503">
        <v>1</v>
      </c>
      <c r="AB29" s="1503">
        <v>1</v>
      </c>
      <c r="AC29" s="1503">
        <v>1</v>
      </c>
    </row>
    <row r="30" spans="1:29" ht="15">
      <c r="A30" s="386"/>
      <c r="B30" s="609" t="s">
        <v>2511</v>
      </c>
      <c r="C30" s="126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6"/>
      <c r="M30" s="2910"/>
      <c r="N30" s="2910"/>
      <c r="O30" s="2968"/>
      <c r="P30" s="3549"/>
      <c r="Q30" s="1502" t="str">
        <f t="shared" si="8"/>
        <v>土地级别</v>
      </c>
      <c r="R30" s="712" t="s">
        <v>17</v>
      </c>
      <c r="S30" s="713">
        <f t="shared" si="10"/>
        <v>100</v>
      </c>
      <c r="T30" s="712" t="s">
        <v>17</v>
      </c>
      <c r="U30" s="713">
        <f t="shared" si="11"/>
        <v>100</v>
      </c>
      <c r="V30" s="712" t="s">
        <v>17</v>
      </c>
      <c r="W30" s="713">
        <f t="shared" si="12"/>
        <v>100</v>
      </c>
      <c r="X30" s="1505"/>
      <c r="Y30" s="3549"/>
      <c r="Z30" s="1506" t="str">
        <f t="shared" si="13"/>
        <v>土地级别</v>
      </c>
      <c r="AA30" s="1503">
        <f t="shared" si="3"/>
        <v>1</v>
      </c>
      <c r="AB30" s="1503">
        <f t="shared" si="4"/>
        <v>1</v>
      </c>
      <c r="AC30" s="1503">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6"/>
      <c r="M31" s="2910"/>
      <c r="N31" s="2910"/>
      <c r="O31" s="2968"/>
      <c r="P31" s="3549"/>
      <c r="Q31" s="1502">
        <f t="shared" si="8"/>
        <v>111</v>
      </c>
      <c r="R31" s="712" t="s">
        <v>17</v>
      </c>
      <c r="S31" s="713">
        <f t="shared" si="10"/>
        <v>100</v>
      </c>
      <c r="T31" s="712" t="s">
        <v>17</v>
      </c>
      <c r="U31" s="713">
        <f t="shared" si="11"/>
        <v>100</v>
      </c>
      <c r="V31" s="712" t="s">
        <v>17</v>
      </c>
      <c r="W31" s="713">
        <f t="shared" si="12"/>
        <v>100</v>
      </c>
      <c r="X31" s="1505"/>
      <c r="Y31" s="3549"/>
      <c r="Z31" s="1506">
        <f t="shared" si="13"/>
        <v>111</v>
      </c>
      <c r="AA31" s="1503">
        <f t="shared" si="3"/>
        <v>1</v>
      </c>
      <c r="AB31" s="1503">
        <f t="shared" si="4"/>
        <v>1</v>
      </c>
      <c r="AC31" s="1503">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6"/>
      <c r="M32" s="2910"/>
      <c r="N32" s="2910"/>
      <c r="O32" s="2968"/>
      <c r="P32" s="3605" t="s">
        <v>2326</v>
      </c>
      <c r="Q32" s="1502">
        <f t="shared" si="8"/>
        <v>111</v>
      </c>
      <c r="R32" s="712" t="s">
        <v>17</v>
      </c>
      <c r="S32" s="713">
        <f t="shared" si="10"/>
        <v>100</v>
      </c>
      <c r="T32" s="712" t="s">
        <v>17</v>
      </c>
      <c r="U32" s="713">
        <f t="shared" si="11"/>
        <v>100</v>
      </c>
      <c r="V32" s="712" t="s">
        <v>17</v>
      </c>
      <c r="W32" s="713">
        <f t="shared" si="12"/>
        <v>100</v>
      </c>
      <c r="X32" s="1505"/>
      <c r="Y32" s="3553" t="s">
        <v>2326</v>
      </c>
      <c r="Z32" s="1506">
        <f t="shared" si="13"/>
        <v>111</v>
      </c>
      <c r="AA32" s="1503">
        <f t="shared" si="3"/>
        <v>1</v>
      </c>
      <c r="AB32" s="1503">
        <f t="shared" si="4"/>
        <v>1</v>
      </c>
      <c r="AC32" s="1503">
        <f t="shared" si="5"/>
        <v>1</v>
      </c>
    </row>
    <row r="33" spans="1:31" s="429" customFormat="1" ht="15.75" thickBot="1">
      <c r="A33" s="631"/>
      <c r="B33" s="214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5"/>
      <c r="M33" s="2917"/>
      <c r="N33" s="2917"/>
      <c r="O33" s="2969"/>
      <c r="P33" s="3553"/>
      <c r="Q33" s="1502">
        <f t="shared" si="8"/>
        <v>111</v>
      </c>
      <c r="R33" s="715" t="s">
        <v>17</v>
      </c>
      <c r="S33" s="716">
        <f t="shared" si="10"/>
        <v>100</v>
      </c>
      <c r="T33" s="715" t="s">
        <v>17</v>
      </c>
      <c r="U33" s="716">
        <f t="shared" si="11"/>
        <v>100</v>
      </c>
      <c r="V33" s="715" t="s">
        <v>17</v>
      </c>
      <c r="W33" s="716">
        <f t="shared" si="12"/>
        <v>100</v>
      </c>
      <c r="X33" s="717"/>
      <c r="Y33" s="3553"/>
      <c r="Z33" s="718">
        <f t="shared" si="13"/>
        <v>111</v>
      </c>
      <c r="AA33" s="1503">
        <f t="shared" si="3"/>
        <v>1</v>
      </c>
      <c r="AB33" s="1503">
        <f t="shared" si="4"/>
        <v>1</v>
      </c>
      <c r="AC33" s="1503">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6"/>
      <c r="M34" s="2910"/>
      <c r="N34" s="2910"/>
      <c r="O34" s="2968"/>
      <c r="P34" s="3553"/>
      <c r="Q34" s="1502" t="str">
        <f>B34</f>
        <v>宗地面积</v>
      </c>
      <c r="R34" s="712" t="s">
        <v>17</v>
      </c>
      <c r="S34" s="713" t="e">
        <f t="shared" si="10"/>
        <v>#N/A</v>
      </c>
      <c r="T34" s="712" t="s">
        <v>17</v>
      </c>
      <c r="U34" s="713" t="e">
        <f t="shared" si="11"/>
        <v>#N/A</v>
      </c>
      <c r="V34" s="712" t="s">
        <v>17</v>
      </c>
      <c r="W34" s="713" t="e">
        <f t="shared" si="12"/>
        <v>#N/A</v>
      </c>
      <c r="X34" s="1505"/>
      <c r="Y34" s="3553"/>
      <c r="Z34" s="1506" t="str">
        <f t="shared" si="13"/>
        <v>宗地面积</v>
      </c>
      <c r="AA34" s="1503" t="e">
        <f t="shared" si="3"/>
        <v>#N/A</v>
      </c>
      <c r="AB34" s="1503" t="e">
        <f t="shared" si="4"/>
        <v>#N/A</v>
      </c>
      <c r="AC34" s="1503" t="e">
        <f t="shared" si="5"/>
        <v>#N/A</v>
      </c>
    </row>
    <row r="35" spans="1:31" ht="15">
      <c r="A35" s="430"/>
      <c r="B35" s="380" t="s">
        <v>2513</v>
      </c>
      <c r="C35" s="2058"/>
      <c r="D35" s="393">
        <v>100</v>
      </c>
      <c r="E35" s="2058"/>
      <c r="F35" s="393">
        <f>SUMIF(110:110,E35,111:111)-SUMIF(110:110,C35,111:111)+100</f>
        <v>100</v>
      </c>
      <c r="G35" s="2058"/>
      <c r="H35" s="393">
        <f>SUMIF(110:110,G35,111:111)-SUMIF(110:110,C35,111:111)+100</f>
        <v>100</v>
      </c>
      <c r="I35" s="2058"/>
      <c r="J35" s="393">
        <f>SUMIF(110:110,I35,111:111)-SUMIF(110:110,C35,111:111)+100</f>
        <v>100</v>
      </c>
      <c r="K35" s="568"/>
      <c r="L35" s="2916"/>
      <c r="M35" s="2910"/>
      <c r="N35" s="2910"/>
      <c r="O35" s="2968"/>
      <c r="P35" s="3553"/>
      <c r="Q35" s="1502" t="str">
        <f t="shared" ref="Q35:Q40" si="14">B35</f>
        <v>宗地形状</v>
      </c>
      <c r="R35" s="712" t="s">
        <v>17</v>
      </c>
      <c r="S35" s="713">
        <f t="shared" si="10"/>
        <v>100</v>
      </c>
      <c r="T35" s="712" t="s">
        <v>17</v>
      </c>
      <c r="U35" s="713">
        <f t="shared" si="11"/>
        <v>100</v>
      </c>
      <c r="V35" s="712" t="s">
        <v>17</v>
      </c>
      <c r="W35" s="713">
        <f t="shared" si="12"/>
        <v>100</v>
      </c>
      <c r="X35" s="1505"/>
      <c r="Y35" s="3553"/>
      <c r="Z35" s="1506" t="str">
        <f t="shared" si="13"/>
        <v>宗地形状</v>
      </c>
      <c r="AA35" s="1503">
        <f t="shared" si="3"/>
        <v>1</v>
      </c>
      <c r="AB35" s="1503">
        <f t="shared" si="4"/>
        <v>1</v>
      </c>
      <c r="AC35" s="1503">
        <f t="shared" si="5"/>
        <v>1</v>
      </c>
    </row>
    <row r="36" spans="1:31" s="112" customFormat="1" ht="15">
      <c r="A36" s="431"/>
      <c r="B36" s="380" t="s">
        <v>2515</v>
      </c>
      <c r="C36" s="2132"/>
      <c r="D36" s="131">
        <v>100</v>
      </c>
      <c r="E36" s="2132"/>
      <c r="F36" s="393">
        <f>SUMIF(112:112,E36,113:113)-SUMIF(112:112,C36,113:113)+100</f>
        <v>100</v>
      </c>
      <c r="G36" s="2132"/>
      <c r="H36" s="393">
        <f>SUMIF(112:112,G36,113:113)-SUMIF(112:112,C36,113:113)+100</f>
        <v>100</v>
      </c>
      <c r="I36" s="2132"/>
      <c r="J36" s="393">
        <f>SUMIF(112:112,I36,113:113)-SUMIF(112:112,C36,113:113)+100</f>
        <v>100</v>
      </c>
      <c r="K36" s="568"/>
      <c r="L36" s="2911"/>
      <c r="M36" s="2912"/>
      <c r="N36" s="2912"/>
      <c r="O36" s="2966"/>
      <c r="P36" s="3553"/>
      <c r="Q36" s="1502" t="str">
        <f t="shared" si="14"/>
        <v>宗地开发程度</v>
      </c>
      <c r="R36" s="708" t="s">
        <v>17</v>
      </c>
      <c r="S36" s="709">
        <f t="shared" si="10"/>
        <v>100</v>
      </c>
      <c r="T36" s="708" t="s">
        <v>17</v>
      </c>
      <c r="U36" s="709">
        <f t="shared" si="11"/>
        <v>100</v>
      </c>
      <c r="V36" s="708" t="s">
        <v>17</v>
      </c>
      <c r="W36" s="709">
        <f t="shared" si="12"/>
        <v>100</v>
      </c>
      <c r="X36" s="710"/>
      <c r="Y36" s="3553"/>
      <c r="Z36" s="55" t="str">
        <f t="shared" si="13"/>
        <v>宗地开发程度</v>
      </c>
      <c r="AA36" s="711">
        <f t="shared" si="3"/>
        <v>1</v>
      </c>
      <c r="AB36" s="711">
        <f t="shared" si="4"/>
        <v>1</v>
      </c>
      <c r="AC36" s="711">
        <f t="shared" si="5"/>
        <v>1</v>
      </c>
    </row>
    <row r="37" spans="1:31" ht="15">
      <c r="A37" s="430"/>
      <c r="B37" s="380" t="s">
        <v>2516</v>
      </c>
      <c r="C37" s="2058"/>
      <c r="D37" s="393">
        <v>100</v>
      </c>
      <c r="E37" s="2058"/>
      <c r="F37" s="393">
        <f>SUMIF(114:114,E37,115:115)-SUMIF(114:114,C37,115:115)+100</f>
        <v>100</v>
      </c>
      <c r="G37" s="2058"/>
      <c r="H37" s="393">
        <f>SUMIF(114:114,G37,115:115)-SUMIF(114:114,C37,115:115)+100</f>
        <v>100</v>
      </c>
      <c r="I37" s="2058"/>
      <c r="J37" s="393">
        <f>SUMIF(114:114,I37,115:115)-SUMIF(114:114,C37,115:115)+100</f>
        <v>100</v>
      </c>
      <c r="K37" s="568"/>
      <c r="L37" s="2916"/>
      <c r="M37" s="2910"/>
      <c r="N37" s="2910"/>
      <c r="O37" s="2968"/>
      <c r="P37" s="3553" t="s">
        <v>2326</v>
      </c>
      <c r="Q37" s="1502" t="str">
        <f t="shared" si="14"/>
        <v>工程地质条件</v>
      </c>
      <c r="R37" s="712" t="s">
        <v>17</v>
      </c>
      <c r="S37" s="713">
        <f t="shared" si="10"/>
        <v>100</v>
      </c>
      <c r="T37" s="712" t="s">
        <v>17</v>
      </c>
      <c r="U37" s="713">
        <f t="shared" si="11"/>
        <v>100</v>
      </c>
      <c r="V37" s="712" t="s">
        <v>17</v>
      </c>
      <c r="W37" s="713">
        <f t="shared" si="12"/>
        <v>100</v>
      </c>
      <c r="X37" s="1505"/>
      <c r="Y37" s="3553" t="s">
        <v>2326</v>
      </c>
      <c r="Z37" s="1506" t="str">
        <f t="shared" si="13"/>
        <v>工程地质条件</v>
      </c>
      <c r="AA37" s="1503">
        <f t="shared" si="3"/>
        <v>1</v>
      </c>
      <c r="AB37" s="1503">
        <f t="shared" si="4"/>
        <v>1</v>
      </c>
      <c r="AC37" s="1503">
        <f t="shared" si="5"/>
        <v>1</v>
      </c>
    </row>
    <row r="38" spans="1:31" ht="15">
      <c r="A38" s="430"/>
      <c r="B38" s="126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6"/>
      <c r="M38" s="2910"/>
      <c r="N38" s="2910"/>
      <c r="O38" s="2968"/>
      <c r="P38" s="3553"/>
      <c r="Q38" s="1502">
        <f t="shared" si="14"/>
        <v>111</v>
      </c>
      <c r="R38" s="712" t="s">
        <v>17</v>
      </c>
      <c r="S38" s="713">
        <f t="shared" si="10"/>
        <v>100</v>
      </c>
      <c r="T38" s="712" t="s">
        <v>17</v>
      </c>
      <c r="U38" s="713">
        <f t="shared" si="11"/>
        <v>100</v>
      </c>
      <c r="V38" s="712" t="s">
        <v>17</v>
      </c>
      <c r="W38" s="713">
        <f t="shared" si="12"/>
        <v>100</v>
      </c>
      <c r="X38" s="1505"/>
      <c r="Y38" s="3553"/>
      <c r="Z38" s="1506">
        <f t="shared" si="13"/>
        <v>111</v>
      </c>
      <c r="AA38" s="1503">
        <f t="shared" si="3"/>
        <v>1</v>
      </c>
      <c r="AB38" s="1503">
        <f t="shared" si="4"/>
        <v>1</v>
      </c>
      <c r="AC38" s="1503">
        <f t="shared" si="5"/>
        <v>1</v>
      </c>
    </row>
    <row r="39" spans="1:31" ht="15">
      <c r="A39" s="430"/>
      <c r="B39" s="126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6"/>
      <c r="M39" s="2910"/>
      <c r="N39" s="2910"/>
      <c r="O39" s="2968"/>
      <c r="P39" s="3553"/>
      <c r="Q39" s="1502">
        <f t="shared" si="14"/>
        <v>111</v>
      </c>
      <c r="R39" s="712" t="s">
        <v>17</v>
      </c>
      <c r="S39" s="713">
        <f t="shared" si="10"/>
        <v>100</v>
      </c>
      <c r="T39" s="712" t="s">
        <v>17</v>
      </c>
      <c r="U39" s="713">
        <f t="shared" si="11"/>
        <v>100</v>
      </c>
      <c r="V39" s="712" t="s">
        <v>17</v>
      </c>
      <c r="W39" s="713">
        <f t="shared" si="12"/>
        <v>100</v>
      </c>
      <c r="X39" s="1505"/>
      <c r="Y39" s="3553"/>
      <c r="Z39" s="1506">
        <f t="shared" si="13"/>
        <v>111</v>
      </c>
      <c r="AA39" s="1503">
        <f t="shared" si="3"/>
        <v>1</v>
      </c>
      <c r="AB39" s="1503">
        <f t="shared" si="4"/>
        <v>1</v>
      </c>
      <c r="AC39" s="1503">
        <f t="shared" si="5"/>
        <v>1</v>
      </c>
    </row>
    <row r="40" spans="1:31" s="429" customFormat="1" ht="15.75" thickBot="1">
      <c r="A40" s="426"/>
      <c r="B40" s="1264">
        <v>111</v>
      </c>
      <c r="C40" s="2133"/>
      <c r="D40" s="132">
        <v>100</v>
      </c>
      <c r="E40" s="629"/>
      <c r="F40" s="396">
        <f>SUMIF(120:120,E40,121:121)-SUMIF(120:120,C40,121:121)+100</f>
        <v>100</v>
      </c>
      <c r="G40" s="629"/>
      <c r="H40" s="396">
        <f>SUMIF(120:120,G40,121:121)-SUMIF(120:120,C40,121:121)+100</f>
        <v>100</v>
      </c>
      <c r="I40" s="505"/>
      <c r="J40" s="396">
        <f>SUMIF(120:120,I40,121:121)-SUMIF(120:120,C40,121:121)+100</f>
        <v>100</v>
      </c>
      <c r="K40" s="636"/>
      <c r="L40" s="2915"/>
      <c r="M40" s="2917"/>
      <c r="N40" s="2917"/>
      <c r="O40" s="2969"/>
      <c r="P40" s="3553"/>
      <c r="Q40" s="1502">
        <f t="shared" si="14"/>
        <v>111</v>
      </c>
      <c r="R40" s="715" t="s">
        <v>17</v>
      </c>
      <c r="S40" s="716">
        <f t="shared" si="10"/>
        <v>100</v>
      </c>
      <c r="T40" s="715" t="s">
        <v>17</v>
      </c>
      <c r="U40" s="716">
        <f t="shared" si="11"/>
        <v>100</v>
      </c>
      <c r="V40" s="715" t="s">
        <v>17</v>
      </c>
      <c r="W40" s="716">
        <f t="shared" si="12"/>
        <v>100</v>
      </c>
      <c r="X40" s="717"/>
      <c r="Y40" s="3553"/>
      <c r="Z40" s="718">
        <f t="shared" si="13"/>
        <v>111</v>
      </c>
      <c r="AA40" s="1503">
        <f t="shared" si="3"/>
        <v>1</v>
      </c>
      <c r="AB40" s="1503">
        <f t="shared" si="4"/>
        <v>1</v>
      </c>
      <c r="AC40" s="1503">
        <f t="shared" si="5"/>
        <v>1</v>
      </c>
    </row>
    <row r="41" spans="1:31" ht="15">
      <c r="A41" s="437" t="s">
        <v>2481</v>
      </c>
      <c r="B41" s="2134" t="s">
        <v>2560</v>
      </c>
      <c r="C41" s="637" t="s">
        <v>1</v>
      </c>
      <c r="D41" s="439"/>
      <c r="E41" s="440"/>
      <c r="F41" s="441"/>
      <c r="G41" s="442"/>
      <c r="H41" s="443"/>
      <c r="I41" s="440"/>
      <c r="J41" s="443"/>
      <c r="K41" s="721"/>
      <c r="L41" s="2918"/>
      <c r="M41" s="2910"/>
      <c r="N41" s="2910"/>
      <c r="O41" s="2919"/>
      <c r="P41" s="3546" t="str">
        <f>A41</f>
        <v>成交单价</v>
      </c>
      <c r="Q41" s="3546"/>
      <c r="R41" s="3578">
        <f>E41</f>
        <v>0</v>
      </c>
      <c r="S41" s="3578"/>
      <c r="T41" s="3578">
        <f>G41</f>
        <v>0</v>
      </c>
      <c r="U41" s="3578"/>
      <c r="V41" s="3578">
        <f>I41</f>
        <v>0</v>
      </c>
      <c r="W41" s="3578"/>
      <c r="X41" s="697"/>
      <c r="Y41" s="719"/>
      <c r="Z41" s="697"/>
      <c r="AA41" s="697"/>
      <c r="AB41" s="697"/>
      <c r="AC41" s="697"/>
    </row>
    <row r="42" spans="1:31" ht="15.75" thickBot="1">
      <c r="A42" s="444" t="s">
        <v>2430</v>
      </c>
      <c r="B42" s="638"/>
      <c r="C42" s="447" t="e">
        <f>R43</f>
        <v>#DIV/0!</v>
      </c>
      <c r="D42" s="2504" t="s">
        <v>2819</v>
      </c>
      <c r="E42" s="447" t="e">
        <f>R42</f>
        <v>#DIV/0!</v>
      </c>
      <c r="F42" s="2505"/>
      <c r="G42" s="446" t="e">
        <f>T42</f>
        <v>#DIV/0!</v>
      </c>
      <c r="H42" s="2505"/>
      <c r="I42" s="447" t="e">
        <f>V42</f>
        <v>#DIV/0!</v>
      </c>
      <c r="J42" s="2505"/>
      <c r="K42" s="2507">
        <f>F42+H42+J42</f>
        <v>0</v>
      </c>
      <c r="L42" s="2918"/>
      <c r="M42" s="2910"/>
      <c r="N42" s="2910"/>
      <c r="O42" s="2919"/>
      <c r="P42" s="3546" t="str">
        <f>A42</f>
        <v>比较价值（元/平方米）</v>
      </c>
      <c r="Q42" s="3546"/>
      <c r="R42" s="3607" t="e">
        <f>ROUND(PRODUCT(R41,AA7:AA40),0)</f>
        <v>#DIV/0!</v>
      </c>
      <c r="S42" s="3607"/>
      <c r="T42" s="3607" t="e">
        <f>ROUND(PRODUCT(T41,AB7:AB40),0)</f>
        <v>#DIV/0!</v>
      </c>
      <c r="U42" s="3607"/>
      <c r="V42" s="3607" t="e">
        <f>ROUND(PRODUCT(V41,AC7:AC40),0)</f>
        <v>#DIV/0!</v>
      </c>
      <c r="W42" s="3607"/>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8"/>
      <c r="M43" s="2910"/>
      <c r="N43" s="2910"/>
      <c r="O43" s="2919"/>
      <c r="P43" s="3543" t="str">
        <f>A43</f>
        <v>估价对象XX用房的比较价值（楼面单价，元/平方米）</v>
      </c>
      <c r="Q43" s="3544"/>
      <c r="R43" s="3608" t="e">
        <f>ROUND(IF(D42="简单平均",AVERAGE(R42:W42),R42*F42+T42*H42+V42*J42),0)</f>
        <v>#DIV/0!</v>
      </c>
      <c r="S43" s="3608"/>
      <c r="T43" s="3608"/>
      <c r="U43" s="3608"/>
      <c r="V43" s="3608"/>
      <c r="W43" s="3608"/>
      <c r="X43" s="697"/>
      <c r="Y43" s="697"/>
      <c r="Z43" s="697"/>
      <c r="AA43" s="697"/>
      <c r="AB43" s="697"/>
      <c r="AC43" s="697"/>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8" customFormat="1" ht="13.5" customHeight="1">
      <c r="A48" s="2922"/>
      <c r="B48" s="2922"/>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8" customFormat="1" ht="15" thickBot="1">
      <c r="A49" s="2922"/>
      <c r="B49" s="2925"/>
      <c r="C49" s="700"/>
      <c r="D49" s="698"/>
      <c r="E49" s="698"/>
      <c r="F49" s="698"/>
      <c r="G49" s="698"/>
      <c r="H49" s="698"/>
      <c r="I49" s="698"/>
      <c r="J49" s="698"/>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39" t="s">
        <v>2518</v>
      </c>
      <c r="B50" s="640" t="s">
        <v>2519</v>
      </c>
      <c r="C50" s="2135" t="s">
        <v>2520</v>
      </c>
      <c r="D50" s="2136" t="s">
        <v>2521</v>
      </c>
      <c r="E50" s="641" t="s">
        <v>2522</v>
      </c>
      <c r="F50" s="642" t="s">
        <v>2523</v>
      </c>
      <c r="G50" s="3562" t="s">
        <v>2524</v>
      </c>
      <c r="H50" s="3609"/>
      <c r="I50" s="1506" t="s">
        <v>2561</v>
      </c>
      <c r="J50" s="1506">
        <f>项目基本情况!F35</f>
        <v>0</v>
      </c>
      <c r="K50" s="2138"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7" customFormat="1">
      <c r="A51" s="643" t="s">
        <v>2527</v>
      </c>
      <c r="B51" s="644" t="e">
        <f>C43</f>
        <v>#DIV/0!</v>
      </c>
      <c r="C51" s="645">
        <v>1</v>
      </c>
      <c r="D51" s="1073">
        <v>1</v>
      </c>
      <c r="E51" s="645">
        <f>'数据-汇总表'!E8+'数据-汇总表'!E9</f>
        <v>47461.850000000006</v>
      </c>
      <c r="F51" s="646" t="e">
        <f t="shared" ref="F51:F60" si="15">ROUND(B51*E51/10000,0)</f>
        <v>#DIV/0!</v>
      </c>
      <c r="G51" s="3557"/>
      <c r="H51" s="3546"/>
      <c r="I51" s="877">
        <v>1</v>
      </c>
      <c r="J51" s="877">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7" customFormat="1">
      <c r="A52" s="648" t="s">
        <v>2528</v>
      </c>
      <c r="B52" s="223" t="e">
        <f>ROUND($C$43*C52*D52,0)</f>
        <v>#DIV/0!</v>
      </c>
      <c r="C52" s="175">
        <f t="shared" ref="C52:C60" si="16">IF($C$50="北京市系数",I52,J52)</f>
        <v>0.7</v>
      </c>
      <c r="D52" s="1074">
        <v>0.25</v>
      </c>
      <c r="E52" s="649"/>
      <c r="F52" s="646" t="e">
        <f t="shared" si="15"/>
        <v>#DIV/0!</v>
      </c>
      <c r="G52" s="3610" t="s">
        <v>2529</v>
      </c>
      <c r="H52" s="1016" t="str">
        <f>项目基本情况!B37</f>
        <v>七级</v>
      </c>
      <c r="I52" s="877">
        <f>SUMIF(修正!A45:A56,H52,修正!B45:B56)</f>
        <v>0.7</v>
      </c>
      <c r="J52" s="878"/>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7" customFormat="1">
      <c r="A53" s="648" t="s">
        <v>2530</v>
      </c>
      <c r="B53" s="223" t="e">
        <f t="shared" ref="B53:B60" si="17">ROUND($C$43*C53*D53,0)</f>
        <v>#DIV/0!</v>
      </c>
      <c r="C53" s="175">
        <f t="shared" si="16"/>
        <v>0.4</v>
      </c>
      <c r="D53" s="1074">
        <v>0.25</v>
      </c>
      <c r="E53" s="649"/>
      <c r="F53" s="646" t="e">
        <f t="shared" si="15"/>
        <v>#DIV/0!</v>
      </c>
      <c r="G53" s="3610"/>
      <c r="H53" s="1016" t="str">
        <f>项目基本情况!B37</f>
        <v>七级</v>
      </c>
      <c r="I53" s="877">
        <f>SUMIF(修正!A45:A56,H53,修正!C45:C56)</f>
        <v>0.4</v>
      </c>
      <c r="J53" s="878"/>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7" customFormat="1">
      <c r="A54" s="648" t="s">
        <v>2531</v>
      </c>
      <c r="B54" s="223" t="e">
        <f t="shared" si="17"/>
        <v>#DIV/0!</v>
      </c>
      <c r="C54" s="175">
        <f t="shared" si="16"/>
        <v>0.28000000000000003</v>
      </c>
      <c r="D54" s="1074">
        <v>0.25</v>
      </c>
      <c r="E54" s="649"/>
      <c r="F54" s="646" t="e">
        <f t="shared" si="15"/>
        <v>#DIV/0!</v>
      </c>
      <c r="G54" s="3610"/>
      <c r="H54" s="1016" t="str">
        <f>项目基本情况!B37</f>
        <v>七级</v>
      </c>
      <c r="I54" s="877">
        <f>SUMIF(修正!A45:A56,H54,修正!D45:D56)</f>
        <v>0.28000000000000003</v>
      </c>
      <c r="J54" s="878"/>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7" customFormat="1">
      <c r="A55" s="648" t="s">
        <v>2532</v>
      </c>
      <c r="B55" s="223" t="e">
        <f t="shared" si="17"/>
        <v>#DIV/0!</v>
      </c>
      <c r="C55" s="175">
        <f t="shared" si="16"/>
        <v>0.25</v>
      </c>
      <c r="D55" s="1074">
        <v>0.25</v>
      </c>
      <c r="E55" s="649"/>
      <c r="F55" s="646" t="e">
        <f t="shared" si="15"/>
        <v>#DIV/0!</v>
      </c>
      <c r="G55" s="3610"/>
      <c r="H55" s="1016" t="str">
        <f>项目基本情况!B37</f>
        <v>七级</v>
      </c>
      <c r="I55" s="877">
        <f>SUMIF(修正!A45:A56,H55,修正!E45:E56)</f>
        <v>0.25</v>
      </c>
      <c r="J55" s="878"/>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7" customFormat="1">
      <c r="A56" s="648" t="s">
        <v>2533</v>
      </c>
      <c r="B56" s="223" t="e">
        <f t="shared" si="17"/>
        <v>#DIV/0!</v>
      </c>
      <c r="C56" s="175">
        <f t="shared" si="16"/>
        <v>0.25</v>
      </c>
      <c r="D56" s="1074">
        <v>0.25</v>
      </c>
      <c r="E56" s="222">
        <f>'数据-汇总表'!E11</f>
        <v>0</v>
      </c>
      <c r="F56" s="646" t="e">
        <f t="shared" si="15"/>
        <v>#DIV/0!</v>
      </c>
      <c r="G56" s="2139" t="s">
        <v>2534</v>
      </c>
      <c r="H56" s="1016" t="str">
        <f>项目基本情况!C37</f>
        <v>七级</v>
      </c>
      <c r="I56" s="877">
        <f>SUMIF(修正!A45:A56,H56,修正!F45:F56)</f>
        <v>0.25</v>
      </c>
      <c r="J56" s="878"/>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7" customFormat="1">
      <c r="A57" s="648" t="s">
        <v>2535</v>
      </c>
      <c r="B57" s="223" t="e">
        <f t="shared" si="17"/>
        <v>#DIV/0!</v>
      </c>
      <c r="C57" s="175">
        <f t="shared" si="16"/>
        <v>0.25</v>
      </c>
      <c r="D57" s="1074">
        <v>0.25</v>
      </c>
      <c r="E57" s="222">
        <f>'数据-汇总表'!E12</f>
        <v>0</v>
      </c>
      <c r="F57" s="646" t="e">
        <f t="shared" si="15"/>
        <v>#DIV/0!</v>
      </c>
      <c r="G57" s="1021" t="s">
        <v>2536</v>
      </c>
      <c r="H57" s="1016" t="str">
        <f>IF(G57="商业",项目基本情况!B37,IF(G57="办公",项目基本情况!C37,IF(G57="住宅",项目基本情况!D37,项目基本情况!E37)))</f>
        <v>七级</v>
      </c>
      <c r="I57" s="877">
        <f>SUMIF(修正!A45:A56,H57,修正!G45:G56)</f>
        <v>0.25</v>
      </c>
      <c r="J57" s="878"/>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7" customFormat="1">
      <c r="A58" s="648" t="s">
        <v>2537</v>
      </c>
      <c r="B58" s="223" t="e">
        <f t="shared" si="17"/>
        <v>#DIV/0!</v>
      </c>
      <c r="C58" s="175">
        <f t="shared" si="16"/>
        <v>0.2</v>
      </c>
      <c r="D58" s="1074">
        <v>0.25</v>
      </c>
      <c r="E58" s="222">
        <f>'数据-汇总表'!E13</f>
        <v>0</v>
      </c>
      <c r="F58" s="646" t="e">
        <f t="shared" si="15"/>
        <v>#DIV/0!</v>
      </c>
      <c r="G58" s="1021" t="s">
        <v>2538</v>
      </c>
      <c r="H58" s="1016" t="str">
        <f>IF(G58="商业",项目基本情况!B37,IF(G58="办公",项目基本情况!C37,IF(G58="住宅",项目基本情况!D37,项目基本情况!E37)))</f>
        <v>七级</v>
      </c>
      <c r="I58" s="877">
        <f>SUMIF(修正!A45:A56,H58,修正!H45:H56)</f>
        <v>0.2</v>
      </c>
      <c r="J58" s="878"/>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7" customFormat="1">
      <c r="A59" s="648" t="s">
        <v>2539</v>
      </c>
      <c r="B59" s="223" t="e">
        <f t="shared" si="17"/>
        <v>#DIV/0!</v>
      </c>
      <c r="C59" s="175">
        <f t="shared" si="16"/>
        <v>0.2</v>
      </c>
      <c r="D59" s="1074">
        <v>0.25</v>
      </c>
      <c r="E59" s="222">
        <f>'数据-汇总表'!E14</f>
        <v>0</v>
      </c>
      <c r="F59" s="646" t="e">
        <f t="shared" si="15"/>
        <v>#DIV/0!</v>
      </c>
      <c r="G59" s="2139" t="s">
        <v>2529</v>
      </c>
      <c r="H59" s="1016" t="str">
        <f>项目基本情况!B37</f>
        <v>七级</v>
      </c>
      <c r="I59" s="877">
        <f>SUMIF(修正!A45:A56,H59,修正!H45:H56)</f>
        <v>0.2</v>
      </c>
      <c r="J59" s="878"/>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7" customFormat="1" ht="15" thickBot="1">
      <c r="A60" s="648" t="s">
        <v>2540</v>
      </c>
      <c r="B60" s="223" t="e">
        <f t="shared" si="17"/>
        <v>#DIV/0!</v>
      </c>
      <c r="C60" s="175">
        <f t="shared" si="16"/>
        <v>0.2</v>
      </c>
      <c r="D60" s="1074">
        <v>0.25</v>
      </c>
      <c r="E60" s="222">
        <f>'数据-汇总表'!E15</f>
        <v>0</v>
      </c>
      <c r="F60" s="646" t="e">
        <f t="shared" si="15"/>
        <v>#DIV/0!</v>
      </c>
      <c r="G60" s="2140" t="s">
        <v>2534</v>
      </c>
      <c r="H60" s="1026" t="str">
        <f>项目基本情况!C37</f>
        <v>七级</v>
      </c>
      <c r="I60" s="877">
        <f>SUMIF(修正!A45:A56,H60,修正!H45:H56)</f>
        <v>0.2</v>
      </c>
      <c r="J60" s="878"/>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7" customFormat="1" ht="15" thickBot="1">
      <c r="A61" s="650" t="s">
        <v>2541</v>
      </c>
      <c r="B61" s="651" t="s">
        <v>28</v>
      </c>
      <c r="C61" s="651" t="s">
        <v>29</v>
      </c>
      <c r="D61" s="651" t="s">
        <v>997</v>
      </c>
      <c r="E61" s="651">
        <f>IF(B41="楼面地价",SUM(E51:E60),'数据-汇总表'!D3)</f>
        <v>25000</v>
      </c>
      <c r="F61" s="652" t="e">
        <f>IF(B41="楼面地价",SUM(F51:F60),ROUND(C43*E61/10000,0))</f>
        <v>#DIV/0!</v>
      </c>
      <c r="G61" s="1068"/>
      <c r="H61" s="1068"/>
      <c r="I61" s="1068"/>
      <c r="J61" s="1068"/>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6"/>
      <c r="B62" s="1058"/>
      <c r="C62" s="1060"/>
      <c r="D62" s="1056"/>
      <c r="E62" s="1056"/>
      <c r="F62" s="1056"/>
      <c r="G62" s="1056"/>
      <c r="H62" s="1056"/>
      <c r="I62" s="1056"/>
      <c r="J62" s="1056"/>
      <c r="K62" s="1017"/>
      <c r="L62" s="1018"/>
      <c r="M62" s="1056"/>
      <c r="N62" s="1056"/>
      <c r="O62" s="1056"/>
      <c r="P62" s="2919"/>
      <c r="Q62" s="2919"/>
      <c r="R62" s="2919"/>
      <c r="S62" s="2919"/>
      <c r="T62" s="2919"/>
      <c r="U62" s="2919"/>
      <c r="V62" s="2919"/>
      <c r="W62" s="2919"/>
      <c r="X62" s="2919"/>
      <c r="Y62" s="2919"/>
      <c r="Z62" s="2919"/>
      <c r="AA62" s="2919"/>
      <c r="AB62" s="2919"/>
      <c r="AC62" s="2919"/>
      <c r="AD62" s="2919"/>
      <c r="AE62" s="2919"/>
    </row>
    <row r="63" spans="1:31">
      <c r="A63" s="1056"/>
      <c r="B63" s="1058"/>
      <c r="C63" s="699" t="str">
        <f>YEAR(C7)&amp;"-"&amp;MONTH(C7)&amp;"-1"</f>
        <v>2022-2-1</v>
      </c>
      <c r="D63" s="699">
        <f>EDATE(C63,-3)</f>
        <v>44501</v>
      </c>
      <c r="E63" s="699">
        <f>EDATE(D63,-3)</f>
        <v>44409</v>
      </c>
      <c r="F63" s="699">
        <f t="shared" ref="F63:O63" si="18">EDATE(E63,-3)</f>
        <v>44317</v>
      </c>
      <c r="G63" s="699">
        <f t="shared" si="18"/>
        <v>44228</v>
      </c>
      <c r="H63" s="699">
        <f t="shared" si="18"/>
        <v>44136</v>
      </c>
      <c r="I63" s="699">
        <f t="shared" si="18"/>
        <v>44044</v>
      </c>
      <c r="J63" s="699">
        <f t="shared" si="18"/>
        <v>43952</v>
      </c>
      <c r="K63" s="699">
        <f t="shared" si="18"/>
        <v>43862</v>
      </c>
      <c r="L63" s="699">
        <f t="shared" si="18"/>
        <v>43770</v>
      </c>
      <c r="M63" s="699">
        <f t="shared" si="18"/>
        <v>43678</v>
      </c>
      <c r="N63" s="699">
        <f t="shared" si="18"/>
        <v>43586</v>
      </c>
      <c r="O63" s="699">
        <f t="shared" si="18"/>
        <v>43497</v>
      </c>
      <c r="P63" s="2919"/>
      <c r="Q63" s="2919"/>
      <c r="R63" s="2919"/>
      <c r="S63" s="2919"/>
      <c r="T63" s="2919"/>
      <c r="U63" s="2919"/>
      <c r="V63" s="2919"/>
      <c r="W63" s="2919"/>
      <c r="X63" s="2919"/>
      <c r="Y63" s="2919"/>
      <c r="Z63" s="2919"/>
      <c r="AA63" s="2919"/>
      <c r="AB63" s="2919"/>
      <c r="AC63" s="2919"/>
      <c r="AD63" s="2919"/>
      <c r="AE63" s="2919"/>
    </row>
    <row r="64" spans="1:31" ht="21.75" thickBot="1">
      <c r="A64" s="701" t="s">
        <v>2435</v>
      </c>
      <c r="B64" s="697"/>
      <c r="C64" s="702"/>
      <c r="D64" s="702"/>
      <c r="E64" s="702"/>
      <c r="F64" s="703"/>
      <c r="G64" s="703"/>
      <c r="H64" s="702"/>
      <c r="I64" s="702"/>
      <c r="J64" s="702"/>
      <c r="K64" s="704"/>
      <c r="L64" s="705"/>
      <c r="M64" s="702"/>
      <c r="N64" s="702"/>
      <c r="O64" s="1069"/>
      <c r="P64" s="2963"/>
      <c r="Q64" s="2933"/>
      <c r="R64" s="2919"/>
      <c r="S64" s="2919"/>
      <c r="T64" s="2919"/>
      <c r="U64" s="2919"/>
      <c r="V64" s="2919"/>
      <c r="W64" s="2919"/>
      <c r="X64" s="2919"/>
      <c r="Y64" s="2919"/>
      <c r="Z64" s="2919"/>
      <c r="AA64" s="2919"/>
      <c r="AB64" s="2919"/>
      <c r="AC64" s="2919"/>
      <c r="AD64" s="2919"/>
      <c r="AE64" s="2919"/>
    </row>
    <row r="65" spans="1:31" s="464" customFormat="1" ht="15">
      <c r="A65" s="2141" t="s">
        <v>2542</v>
      </c>
      <c r="B65" s="1237"/>
      <c r="C65" s="1312" t="str">
        <f>YEAR(C63)&amp;"-"&amp;ROUNDUP(MONTH(C63)/3,0)</f>
        <v>2022-1</v>
      </c>
      <c r="D65" s="1312" t="str">
        <f t="shared" ref="D65:O65" si="19">YEAR(D63)&amp;"-"&amp;ROUNDUP(MONTH(D63)/3,0)</f>
        <v>2021-4</v>
      </c>
      <c r="E65" s="1312" t="str">
        <f t="shared" si="19"/>
        <v>2021-3</v>
      </c>
      <c r="F65" s="1312" t="str">
        <f t="shared" si="19"/>
        <v>2021-2</v>
      </c>
      <c r="G65" s="1312" t="str">
        <f t="shared" si="19"/>
        <v>2021-1</v>
      </c>
      <c r="H65" s="1312" t="str">
        <f t="shared" si="19"/>
        <v>2020-4</v>
      </c>
      <c r="I65" s="1312" t="str">
        <f t="shared" si="19"/>
        <v>2020-3</v>
      </c>
      <c r="J65" s="1312" t="str">
        <f t="shared" si="19"/>
        <v>2020-2</v>
      </c>
      <c r="K65" s="1312" t="str">
        <f t="shared" si="19"/>
        <v>2020-1</v>
      </c>
      <c r="L65" s="1312" t="str">
        <f t="shared" si="19"/>
        <v>2019-4</v>
      </c>
      <c r="M65" s="1312" t="str">
        <f t="shared" si="19"/>
        <v>2019-3</v>
      </c>
      <c r="N65" s="1312" t="str">
        <f t="shared" si="19"/>
        <v>2019-2</v>
      </c>
      <c r="O65" s="1312" t="str">
        <f t="shared" si="19"/>
        <v>2019-1</v>
      </c>
      <c r="P65" s="2970"/>
      <c r="Q65" s="2935"/>
      <c r="R65" s="2935"/>
      <c r="S65" s="2935"/>
      <c r="T65" s="2935"/>
      <c r="U65" s="2935"/>
      <c r="V65" s="2935"/>
      <c r="W65" s="2935"/>
      <c r="X65" s="2935"/>
      <c r="Y65" s="2935"/>
      <c r="Z65" s="2935"/>
      <c r="AA65" s="2935"/>
      <c r="AB65" s="2935"/>
      <c r="AC65" s="2935"/>
      <c r="AD65" s="2935"/>
      <c r="AE65" s="2935"/>
    </row>
    <row r="66" spans="1:31" s="112" customFormat="1" ht="30.75" customHeight="1">
      <c r="A66" s="2146" t="s">
        <v>2562</v>
      </c>
      <c r="B66" s="293" t="str">
        <f>"北京市平均增长率"&amp;TEXT(基准地价修正!P24,"0.00%")</f>
        <v>北京市平均增长率1.18%</v>
      </c>
      <c r="C66" s="559">
        <v>100</v>
      </c>
      <c r="D66" s="551"/>
      <c r="E66" s="551"/>
      <c r="F66" s="551"/>
      <c r="G66" s="551"/>
      <c r="H66" s="551"/>
      <c r="I66" s="551"/>
      <c r="J66" s="551"/>
      <c r="K66" s="551"/>
      <c r="L66" s="551"/>
      <c r="M66" s="1308"/>
      <c r="N66" s="1308"/>
      <c r="O66" s="1310"/>
      <c r="P66" s="2933"/>
      <c r="Q66" s="2853"/>
      <c r="R66" s="2853"/>
      <c r="S66" s="2853"/>
      <c r="T66" s="2853"/>
      <c r="U66" s="2853"/>
      <c r="V66" s="2853"/>
      <c r="W66" s="2853"/>
      <c r="X66" s="2853"/>
      <c r="Y66" s="2853"/>
      <c r="Z66" s="2853"/>
      <c r="AA66" s="2853"/>
      <c r="AB66" s="2853"/>
      <c r="AC66" s="2853"/>
      <c r="AD66" s="2853"/>
      <c r="AE66" s="2853"/>
    </row>
    <row r="67" spans="1:31" s="112" customFormat="1" ht="15.75" thickBot="1">
      <c r="A67" s="471" t="s">
        <v>2346</v>
      </c>
      <c r="B67" s="472"/>
      <c r="C67" s="473"/>
      <c r="D67" s="474"/>
      <c r="E67" s="474"/>
      <c r="F67" s="474"/>
      <c r="G67" s="474"/>
      <c r="H67" s="474"/>
      <c r="I67" s="474"/>
      <c r="J67" s="474"/>
      <c r="K67" s="474"/>
      <c r="L67" s="474"/>
      <c r="M67" s="475"/>
      <c r="N67" s="475"/>
      <c r="O67" s="476"/>
      <c r="P67" s="2933"/>
      <c r="Q67" s="2933"/>
      <c r="R67" s="2853"/>
      <c r="S67" s="2853"/>
      <c r="T67" s="2853"/>
      <c r="U67" s="2853"/>
      <c r="V67" s="2853"/>
      <c r="W67" s="2853"/>
      <c r="X67" s="2853"/>
      <c r="Y67" s="2853"/>
      <c r="Z67" s="2853"/>
      <c r="AA67" s="2853"/>
      <c r="AB67" s="2853"/>
      <c r="AC67" s="2853"/>
      <c r="AD67" s="2853"/>
      <c r="AE67" s="2853"/>
    </row>
    <row r="68" spans="1:31" s="112" customFormat="1" ht="15">
      <c r="A68" s="477" t="s">
        <v>2311</v>
      </c>
      <c r="B68" s="466"/>
      <c r="C68" s="478" t="s">
        <v>2413</v>
      </c>
      <c r="D68" s="479"/>
      <c r="E68" s="479"/>
      <c r="F68" s="479"/>
      <c r="G68" s="479"/>
      <c r="H68" s="479"/>
      <c r="I68" s="479"/>
      <c r="J68" s="479"/>
      <c r="K68" s="479"/>
      <c r="L68" s="480"/>
      <c r="M68" s="481"/>
      <c r="N68" s="2946"/>
      <c r="O68" s="2946"/>
      <c r="P68" s="2971"/>
      <c r="Q68" s="2933"/>
      <c r="R68" s="2853"/>
      <c r="S68" s="2853"/>
      <c r="T68" s="2853"/>
      <c r="U68" s="2853"/>
      <c r="V68" s="2853"/>
      <c r="W68" s="2853"/>
      <c r="X68" s="2853"/>
      <c r="Y68" s="2853"/>
      <c r="Z68" s="2853"/>
      <c r="AA68" s="2853"/>
      <c r="AB68" s="2853"/>
      <c r="AC68" s="2853"/>
      <c r="AD68" s="2853"/>
      <c r="AE68" s="2853"/>
    </row>
    <row r="69" spans="1:31" s="112" customFormat="1" ht="15.75" thickBot="1">
      <c r="A69" s="477"/>
      <c r="B69" s="466"/>
      <c r="C69" s="594">
        <v>100</v>
      </c>
      <c r="D69" s="468"/>
      <c r="E69" s="468"/>
      <c r="F69" s="468"/>
      <c r="G69" s="468"/>
      <c r="H69" s="468"/>
      <c r="I69" s="468"/>
      <c r="J69" s="468"/>
      <c r="K69" s="468"/>
      <c r="L69" s="468"/>
      <c r="M69" s="470"/>
      <c r="N69" s="2946"/>
      <c r="O69" s="2946"/>
      <c r="P69" s="2933"/>
      <c r="Q69" s="2933"/>
      <c r="R69" s="2853"/>
      <c r="S69" s="2853"/>
      <c r="T69" s="2853"/>
      <c r="U69" s="2853"/>
      <c r="V69" s="2853"/>
      <c r="W69" s="2853"/>
      <c r="X69" s="2853"/>
      <c r="Y69" s="2853"/>
      <c r="Z69" s="2853"/>
      <c r="AA69" s="2853"/>
      <c r="AB69" s="2853"/>
      <c r="AC69" s="2853"/>
      <c r="AD69" s="2853"/>
      <c r="AE69" s="2853"/>
    </row>
    <row r="70" spans="1:31">
      <c r="A70" s="483" t="s">
        <v>2349</v>
      </c>
      <c r="B70" s="484" t="s">
        <v>2315</v>
      </c>
      <c r="C70" s="486"/>
      <c r="D70" s="486"/>
      <c r="E70" s="486"/>
      <c r="F70" s="486"/>
      <c r="G70" s="486"/>
      <c r="H70" s="486"/>
      <c r="I70" s="486"/>
      <c r="J70" s="486"/>
      <c r="K70" s="487"/>
      <c r="L70" s="488"/>
      <c r="M70" s="489"/>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0"/>
      <c r="B71" s="491"/>
      <c r="C71" s="492"/>
      <c r="D71" s="492"/>
      <c r="E71" s="492"/>
      <c r="F71" s="492"/>
      <c r="G71" s="492"/>
      <c r="H71" s="492"/>
      <c r="I71" s="492"/>
      <c r="J71" s="492"/>
      <c r="K71" s="492"/>
      <c r="L71" s="492"/>
      <c r="M71" s="493"/>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0"/>
      <c r="B72" s="494" t="s">
        <v>2318</v>
      </c>
      <c r="C72" s="495"/>
      <c r="D72" s="495"/>
      <c r="E72" s="495"/>
      <c r="F72" s="495"/>
      <c r="G72" s="495"/>
      <c r="H72" s="495"/>
      <c r="I72" s="495"/>
      <c r="J72" s="495"/>
      <c r="K72" s="496"/>
      <c r="L72" s="497"/>
      <c r="M72" s="498"/>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0"/>
      <c r="B73" s="499"/>
      <c r="C73" s="500"/>
      <c r="D73" s="500"/>
      <c r="E73" s="500"/>
      <c r="F73" s="500"/>
      <c r="G73" s="500"/>
      <c r="H73" s="500"/>
      <c r="I73" s="500"/>
      <c r="J73" s="500"/>
      <c r="K73" s="500"/>
      <c r="L73" s="500"/>
      <c r="M73" s="501"/>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0"/>
      <c r="B75" s="504"/>
      <c r="C75" s="505"/>
      <c r="D75" s="505"/>
      <c r="E75" s="505"/>
      <c r="F75" s="505"/>
      <c r="G75" s="505"/>
      <c r="H75" s="505"/>
      <c r="I75" s="505"/>
      <c r="J75" s="505"/>
      <c r="K75" s="506"/>
      <c r="L75" s="507"/>
      <c r="M75" s="508"/>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29" customFormat="1" ht="15.75" thickTop="1">
      <c r="A77" s="509"/>
      <c r="B77" s="494">
        <f>B12</f>
        <v>111</v>
      </c>
      <c r="C77" s="510"/>
      <c r="D77" s="510"/>
      <c r="E77" s="510"/>
      <c r="F77" s="510"/>
      <c r="G77" s="510"/>
      <c r="H77" s="511"/>
      <c r="I77" s="511"/>
      <c r="J77" s="511"/>
      <c r="K77" s="511"/>
      <c r="L77" s="512"/>
      <c r="M77" s="513"/>
      <c r="N77" s="2949"/>
      <c r="O77" s="2949"/>
      <c r="P77" s="2973"/>
      <c r="Q77" s="2940"/>
      <c r="R77" s="2941"/>
      <c r="S77" s="2941"/>
      <c r="T77" s="2941"/>
      <c r="U77" s="2941"/>
      <c r="V77" s="2941"/>
      <c r="W77" s="2941"/>
      <c r="X77" s="2941"/>
      <c r="Y77" s="2941"/>
      <c r="Z77" s="2941"/>
      <c r="AA77" s="2941"/>
      <c r="AB77" s="2941"/>
      <c r="AC77" s="2941"/>
      <c r="AD77" s="2941"/>
      <c r="AE77" s="2941"/>
    </row>
    <row r="78" spans="1:31" s="429" customFormat="1" ht="15.75" thickBot="1">
      <c r="A78" s="509"/>
      <c r="B78" s="499"/>
      <c r="C78" s="516"/>
      <c r="D78" s="492"/>
      <c r="E78" s="492"/>
      <c r="F78" s="492"/>
      <c r="G78" s="492"/>
      <c r="H78" s="492"/>
      <c r="I78" s="492"/>
      <c r="J78" s="492"/>
      <c r="K78" s="492"/>
      <c r="L78" s="492"/>
      <c r="M78" s="493"/>
      <c r="N78" s="2948"/>
      <c r="O78" s="2948"/>
      <c r="P78" s="2973"/>
      <c r="Q78" s="2940"/>
      <c r="R78" s="2941"/>
      <c r="S78" s="2941"/>
      <c r="T78" s="2941"/>
      <c r="U78" s="2941"/>
      <c r="V78" s="2941"/>
      <c r="W78" s="2941"/>
      <c r="X78" s="2941"/>
      <c r="Y78" s="2941"/>
      <c r="Z78" s="2941"/>
      <c r="AA78" s="2941"/>
      <c r="AB78" s="2941"/>
      <c r="AC78" s="2941"/>
      <c r="AD78" s="2941"/>
      <c r="AE78" s="2941"/>
    </row>
    <row r="79" spans="1:31" s="429" customFormat="1" ht="15.75" thickTop="1">
      <c r="A79" s="509"/>
      <c r="B79" s="494">
        <f>B13</f>
        <v>111</v>
      </c>
      <c r="C79" s="510"/>
      <c r="D79" s="510"/>
      <c r="E79" s="510"/>
      <c r="F79" s="510"/>
      <c r="G79" s="510"/>
      <c r="H79" s="511"/>
      <c r="I79" s="511"/>
      <c r="J79" s="511"/>
      <c r="K79" s="511"/>
      <c r="L79" s="512"/>
      <c r="M79" s="513"/>
      <c r="N79" s="2949"/>
      <c r="O79" s="2949"/>
      <c r="P79" s="2917"/>
      <c r="Q79" s="2943"/>
      <c r="R79" s="2941"/>
      <c r="S79" s="2941"/>
      <c r="T79" s="2941"/>
      <c r="U79" s="2941"/>
      <c r="V79" s="2941"/>
      <c r="W79" s="2941"/>
      <c r="X79" s="2941"/>
      <c r="Y79" s="2941"/>
      <c r="Z79" s="2941"/>
      <c r="AA79" s="2941"/>
      <c r="AB79" s="2941"/>
      <c r="AC79" s="2941"/>
      <c r="AD79" s="2941"/>
      <c r="AE79" s="2941"/>
    </row>
    <row r="80" spans="1:31" s="429" customFormat="1" ht="15.75" thickBot="1">
      <c r="A80" s="509"/>
      <c r="B80" s="499"/>
      <c r="C80" s="516"/>
      <c r="D80" s="516"/>
      <c r="E80" s="516"/>
      <c r="F80" s="516"/>
      <c r="G80" s="516"/>
      <c r="H80" s="518"/>
      <c r="I80" s="518"/>
      <c r="J80" s="518"/>
      <c r="K80" s="518"/>
      <c r="L80" s="518"/>
      <c r="M80" s="519"/>
      <c r="N80" s="2949"/>
      <c r="O80" s="2949"/>
      <c r="P80" s="2973"/>
      <c r="Q80" s="2940"/>
      <c r="R80" s="2941"/>
      <c r="S80" s="2941"/>
      <c r="T80" s="2941"/>
      <c r="U80" s="2941"/>
      <c r="V80" s="2941"/>
      <c r="W80" s="2941"/>
      <c r="X80" s="2941"/>
      <c r="Y80" s="2941"/>
      <c r="Z80" s="2941"/>
      <c r="AA80" s="2941"/>
      <c r="AB80" s="2941"/>
      <c r="AC80" s="2941"/>
      <c r="AD80" s="2941"/>
      <c r="AE80" s="2941"/>
    </row>
    <row r="81" spans="1:31" s="429" customFormat="1" ht="15.75" thickTop="1">
      <c r="A81" s="509"/>
      <c r="B81" s="502">
        <f>B14</f>
        <v>111</v>
      </c>
      <c r="C81" s="479"/>
      <c r="D81" s="479"/>
      <c r="E81" s="479"/>
      <c r="F81" s="479"/>
      <c r="G81" s="479"/>
      <c r="H81" s="520"/>
      <c r="I81" s="520"/>
      <c r="J81" s="520"/>
      <c r="K81" s="520"/>
      <c r="L81" s="521"/>
      <c r="M81" s="522"/>
      <c r="N81" s="2949"/>
      <c r="O81" s="2949"/>
      <c r="P81" s="2978"/>
      <c r="Q81" s="2940"/>
      <c r="R81" s="2941"/>
      <c r="S81" s="2941"/>
      <c r="T81" s="2941"/>
      <c r="U81" s="2941"/>
      <c r="V81" s="2941"/>
      <c r="W81" s="2941"/>
      <c r="X81" s="2941"/>
      <c r="Y81" s="2941"/>
      <c r="Z81" s="2941"/>
      <c r="AA81" s="2941"/>
      <c r="AB81" s="2941"/>
      <c r="AC81" s="2941"/>
      <c r="AD81" s="2941"/>
      <c r="AE81" s="2941"/>
    </row>
    <row r="82" spans="1:31" s="429" customFormat="1" ht="15.75" thickBot="1">
      <c r="A82" s="524"/>
      <c r="B82" s="525"/>
      <c r="C82" s="526"/>
      <c r="D82" s="526"/>
      <c r="E82" s="526"/>
      <c r="F82" s="526"/>
      <c r="G82" s="526"/>
      <c r="H82" s="527"/>
      <c r="I82" s="527"/>
      <c r="J82" s="527"/>
      <c r="K82" s="527"/>
      <c r="L82" s="527"/>
      <c r="M82" s="528"/>
      <c r="N82" s="2949"/>
      <c r="O82" s="2949"/>
      <c r="P82" s="2973"/>
      <c r="Q82" s="2940"/>
      <c r="R82" s="2941"/>
      <c r="S82" s="2941"/>
      <c r="T82" s="2941"/>
      <c r="U82" s="2941"/>
      <c r="V82" s="2941"/>
      <c r="W82" s="2941"/>
      <c r="X82" s="2941"/>
      <c r="Y82" s="2941"/>
      <c r="Z82" s="2941"/>
      <c r="AA82" s="2941"/>
      <c r="AB82" s="2941"/>
      <c r="AC82" s="2941"/>
      <c r="AD82" s="2941"/>
      <c r="AE82" s="2941"/>
    </row>
    <row r="83" spans="1:31">
      <c r="A83" s="483" t="s">
        <v>2320</v>
      </c>
      <c r="B83" s="484" t="s">
        <v>2466</v>
      </c>
      <c r="C83" s="529" t="s">
        <v>2358</v>
      </c>
      <c r="D83" s="529" t="s">
        <v>2359</v>
      </c>
      <c r="E83" s="529" t="s">
        <v>2360</v>
      </c>
      <c r="F83" s="529" t="s">
        <v>2361</v>
      </c>
      <c r="G83" s="529" t="s">
        <v>2362</v>
      </c>
      <c r="H83" s="485"/>
      <c r="I83" s="485"/>
      <c r="J83" s="485"/>
      <c r="K83" s="530"/>
      <c r="L83" s="531"/>
      <c r="M83" s="532"/>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0"/>
      <c r="B85" s="494" t="s">
        <v>2363</v>
      </c>
      <c r="C85" s="534" t="s">
        <v>2358</v>
      </c>
      <c r="D85" s="534" t="s">
        <v>2359</v>
      </c>
      <c r="E85" s="534" t="s">
        <v>2360</v>
      </c>
      <c r="F85" s="534" t="s">
        <v>2361</v>
      </c>
      <c r="G85" s="534" t="s">
        <v>2362</v>
      </c>
      <c r="H85" s="495"/>
      <c r="I85" s="495"/>
      <c r="J85" s="495"/>
      <c r="K85" s="496"/>
      <c r="L85" s="497"/>
      <c r="M85" s="498"/>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8"/>
      <c r="O86" s="2948"/>
      <c r="P86" s="2972"/>
      <c r="Q86" s="2933"/>
      <c r="R86" s="2919"/>
      <c r="S86" s="2919"/>
      <c r="T86" s="2919"/>
      <c r="U86" s="2919"/>
      <c r="V86" s="2919"/>
      <c r="W86" s="2919"/>
      <c r="X86" s="2919"/>
      <c r="Y86" s="2919"/>
      <c r="Z86" s="2919"/>
      <c r="AA86" s="2919"/>
      <c r="AB86" s="2919"/>
      <c r="AC86" s="2919"/>
      <c r="AD86" s="2919"/>
      <c r="AE86" s="2919"/>
    </row>
    <row r="87" spans="1:31" s="112" customFormat="1" ht="15.75" thickTop="1">
      <c r="A87" s="535"/>
      <c r="B87" s="494" t="s">
        <v>2545</v>
      </c>
      <c r="C87" s="529" t="s">
        <v>2358</v>
      </c>
      <c r="D87" s="529" t="s">
        <v>2359</v>
      </c>
      <c r="E87" s="529" t="s">
        <v>2360</v>
      </c>
      <c r="F87" s="529" t="s">
        <v>2361</v>
      </c>
      <c r="G87" s="529" t="s">
        <v>2362</v>
      </c>
      <c r="H87" s="534"/>
      <c r="I87" s="534"/>
      <c r="J87" s="534"/>
      <c r="K87" s="534"/>
      <c r="L87" s="653"/>
      <c r="M87" s="577"/>
      <c r="N87" s="2946"/>
      <c r="O87" s="2946"/>
      <c r="P87" s="2972"/>
      <c r="Q87" s="2933"/>
      <c r="R87" s="2853"/>
      <c r="S87" s="2853"/>
      <c r="T87" s="2853"/>
      <c r="U87" s="2853"/>
      <c r="V87" s="2853"/>
      <c r="W87" s="2853"/>
      <c r="X87" s="2853"/>
      <c r="Y87" s="2853"/>
      <c r="Z87" s="2853"/>
      <c r="AA87" s="2853"/>
      <c r="AB87" s="2853"/>
      <c r="AC87" s="2853"/>
      <c r="AD87" s="2853"/>
      <c r="AE87" s="285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48"/>
      <c r="O88" s="2948"/>
      <c r="P88" s="2972"/>
      <c r="Q88" s="2933"/>
      <c r="R88" s="2853"/>
      <c r="S88" s="2853"/>
      <c r="T88" s="2853"/>
      <c r="U88" s="2853"/>
      <c r="V88" s="2853"/>
      <c r="W88" s="2853"/>
      <c r="X88" s="2853"/>
      <c r="Y88" s="2853"/>
      <c r="Z88" s="2853"/>
      <c r="AA88" s="2853"/>
      <c r="AB88" s="2853"/>
      <c r="AC88" s="2853"/>
      <c r="AD88" s="2853"/>
      <c r="AE88" s="2853"/>
    </row>
    <row r="89" spans="1:31" s="112" customFormat="1" ht="27.75" thickTop="1">
      <c r="A89" s="535"/>
      <c r="B89" s="494" t="s">
        <v>2546</v>
      </c>
      <c r="C89" s="529" t="s">
        <v>2358</v>
      </c>
      <c r="D89" s="529" t="s">
        <v>2359</v>
      </c>
      <c r="E89" s="529" t="s">
        <v>2360</v>
      </c>
      <c r="F89" s="529" t="s">
        <v>2361</v>
      </c>
      <c r="G89" s="529" t="s">
        <v>2362</v>
      </c>
      <c r="H89" s="534"/>
      <c r="I89" s="534"/>
      <c r="J89" s="534"/>
      <c r="K89" s="534"/>
      <c r="L89" s="534"/>
      <c r="M89" s="577"/>
      <c r="N89" s="2946"/>
      <c r="O89" s="2946"/>
      <c r="P89" s="2972"/>
      <c r="Q89" s="2933"/>
      <c r="R89" s="2853"/>
      <c r="S89" s="2853"/>
      <c r="T89" s="2853"/>
      <c r="U89" s="2853"/>
      <c r="V89" s="2853"/>
      <c r="W89" s="2853"/>
      <c r="X89" s="2853"/>
      <c r="Y89" s="2853"/>
      <c r="Z89" s="2853"/>
      <c r="AA89" s="2853"/>
      <c r="AB89" s="2853"/>
      <c r="AC89" s="2853"/>
      <c r="AD89" s="2853"/>
      <c r="AE89" s="285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48"/>
      <c r="O90" s="2948"/>
      <c r="P90" s="2972"/>
      <c r="Q90" s="2933"/>
      <c r="R90" s="2853"/>
      <c r="S90" s="2853"/>
      <c r="T90" s="2853"/>
      <c r="U90" s="2853"/>
      <c r="V90" s="2853"/>
      <c r="W90" s="2853"/>
      <c r="X90" s="2853"/>
      <c r="Y90" s="2853"/>
      <c r="Z90" s="2853"/>
      <c r="AA90" s="2853"/>
      <c r="AB90" s="2853"/>
      <c r="AC90" s="2853"/>
      <c r="AD90" s="2853"/>
      <c r="AE90" s="2853"/>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49"/>
      <c r="O91" s="2949"/>
      <c r="P91" s="2973"/>
      <c r="Q91" s="2940"/>
      <c r="R91" s="2941"/>
      <c r="S91" s="2941"/>
      <c r="T91" s="2941"/>
      <c r="U91" s="2941"/>
      <c r="V91" s="2941"/>
      <c r="W91" s="2941"/>
      <c r="X91" s="2941"/>
      <c r="Y91" s="2941"/>
      <c r="Z91" s="2941"/>
      <c r="AA91" s="2941"/>
      <c r="AB91" s="2941"/>
      <c r="AC91" s="2941"/>
      <c r="AD91" s="2941"/>
      <c r="AE91" s="294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49"/>
      <c r="O92" s="2949"/>
      <c r="P92" s="2973"/>
      <c r="Q92" s="2940"/>
      <c r="R92" s="2941"/>
      <c r="S92" s="2941"/>
      <c r="T92" s="2941"/>
      <c r="U92" s="2941"/>
      <c r="V92" s="2941"/>
      <c r="W92" s="2941"/>
      <c r="X92" s="2941"/>
      <c r="Y92" s="2941"/>
      <c r="Z92" s="2941"/>
      <c r="AA92" s="2941"/>
      <c r="AB92" s="2941"/>
      <c r="AC92" s="2941"/>
      <c r="AD92" s="2941"/>
      <c r="AE92" s="2941"/>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49"/>
      <c r="O93" s="2949"/>
      <c r="P93" s="2973"/>
      <c r="Q93" s="2940"/>
      <c r="R93" s="2941"/>
      <c r="S93" s="2941"/>
      <c r="T93" s="2941"/>
      <c r="U93" s="2941"/>
      <c r="V93" s="2941"/>
      <c r="W93" s="2941"/>
      <c r="X93" s="2941"/>
      <c r="Y93" s="2941"/>
      <c r="Z93" s="2941"/>
      <c r="AA93" s="2941"/>
      <c r="AB93" s="2941"/>
      <c r="AC93" s="2941"/>
      <c r="AD93" s="2941"/>
      <c r="AE93" s="294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2"/>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0"/>
      <c r="B97" s="494" t="s">
        <v>2452</v>
      </c>
      <c r="C97" s="510"/>
      <c r="D97" s="510"/>
      <c r="E97" s="510"/>
      <c r="F97" s="510"/>
      <c r="G97" s="510"/>
      <c r="H97" s="539"/>
      <c r="I97" s="539"/>
      <c r="J97" s="539"/>
      <c r="K97" s="540"/>
      <c r="L97" s="541"/>
      <c r="M97" s="542"/>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0"/>
      <c r="B99" s="494" t="s">
        <v>2511</v>
      </c>
      <c r="C99" s="539"/>
      <c r="D99" s="539"/>
      <c r="E99" s="539"/>
      <c r="F99" s="539"/>
      <c r="G99" s="539"/>
      <c r="H99" s="539"/>
      <c r="I99" s="539"/>
      <c r="J99" s="539"/>
      <c r="K99" s="540"/>
      <c r="L99" s="541"/>
      <c r="M99" s="542"/>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0"/>
      <c r="B101" s="502">
        <f>B31</f>
        <v>111</v>
      </c>
      <c r="C101" s="510"/>
      <c r="D101" s="510"/>
      <c r="E101" s="510"/>
      <c r="F101" s="510"/>
      <c r="G101" s="543"/>
      <c r="H101" s="543"/>
      <c r="I101" s="543"/>
      <c r="J101" s="543"/>
      <c r="K101" s="544"/>
      <c r="L101" s="545"/>
      <c r="M101" s="546"/>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0"/>
      <c r="B102" s="525"/>
      <c r="C102" s="516"/>
      <c r="D102" s="492"/>
      <c r="E102" s="492"/>
      <c r="F102" s="492"/>
      <c r="G102" s="547"/>
      <c r="H102" s="547"/>
      <c r="I102" s="547"/>
      <c r="J102" s="547"/>
      <c r="K102" s="547"/>
      <c r="L102" s="547"/>
      <c r="M102" s="548"/>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0"/>
      <c r="B103" s="494">
        <f>B32</f>
        <v>111</v>
      </c>
      <c r="C103" s="510"/>
      <c r="D103" s="510"/>
      <c r="E103" s="510"/>
      <c r="F103" s="510"/>
      <c r="G103" s="539"/>
      <c r="H103" s="539"/>
      <c r="I103" s="539"/>
      <c r="J103" s="539"/>
      <c r="K103" s="540"/>
      <c r="L103" s="541"/>
      <c r="M103" s="542"/>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0"/>
      <c r="B104" s="499"/>
      <c r="C104" s="516"/>
      <c r="D104" s="516"/>
      <c r="E104" s="516"/>
      <c r="F104" s="516"/>
      <c r="G104" s="492"/>
      <c r="H104" s="492"/>
      <c r="I104" s="492"/>
      <c r="J104" s="492"/>
      <c r="K104" s="492"/>
      <c r="L104" s="492"/>
      <c r="M104" s="493"/>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29" customFormat="1" ht="15" thickTop="1">
      <c r="A105" s="549"/>
      <c r="B105" s="550">
        <f>B33</f>
        <v>111</v>
      </c>
      <c r="C105" s="479"/>
      <c r="D105" s="479"/>
      <c r="E105" s="479"/>
      <c r="F105" s="479"/>
      <c r="G105" s="551"/>
      <c r="H105" s="551"/>
      <c r="I105" s="551"/>
      <c r="J105" s="552"/>
      <c r="K105" s="552"/>
      <c r="L105" s="553"/>
      <c r="M105" s="554"/>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29" customFormat="1" ht="15.75" thickBot="1">
      <c r="A106" s="509"/>
      <c r="B106" s="502"/>
      <c r="C106" s="526"/>
      <c r="D106" s="526"/>
      <c r="E106" s="526"/>
      <c r="F106" s="526"/>
      <c r="G106" s="632"/>
      <c r="H106" s="632"/>
      <c r="I106" s="632"/>
      <c r="J106" s="632"/>
      <c r="K106" s="632"/>
      <c r="L106" s="632"/>
      <c r="M106" s="654"/>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69" t="str">
        <f t="shared" si="25"/>
        <v>(含)-</v>
      </c>
      <c r="L107" s="1469" t="str">
        <f t="shared" si="25"/>
        <v>(含)-</v>
      </c>
      <c r="M107" s="1470"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0"/>
      <c r="B108" s="502"/>
      <c r="C108" s="551"/>
      <c r="D108" s="551"/>
      <c r="E108" s="551"/>
      <c r="F108" s="551"/>
      <c r="G108" s="551"/>
      <c r="H108" s="551"/>
      <c r="I108" s="551"/>
      <c r="J108" s="552"/>
      <c r="K108" s="552"/>
      <c r="L108" s="553"/>
      <c r="M108" s="554"/>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0"/>
      <c r="B109" s="499"/>
      <c r="C109" s="526"/>
      <c r="D109" s="547"/>
      <c r="E109" s="547"/>
      <c r="F109" s="547"/>
      <c r="G109" s="547"/>
      <c r="H109" s="547"/>
      <c r="I109" s="547"/>
      <c r="J109" s="547"/>
      <c r="K109" s="547"/>
      <c r="L109" s="547"/>
      <c r="M109" s="548"/>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5"/>
      <c r="B110" s="494" t="s">
        <v>2552</v>
      </c>
      <c r="C110" s="539"/>
      <c r="D110" s="539"/>
      <c r="E110" s="539"/>
      <c r="F110" s="539"/>
      <c r="G110" s="539"/>
      <c r="H110" s="539"/>
      <c r="I110" s="539"/>
      <c r="J110" s="539"/>
      <c r="K110" s="540"/>
      <c r="L110" s="541"/>
      <c r="M110" s="542"/>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29" customFormat="1" ht="15" thickTop="1">
      <c r="A112" s="549"/>
      <c r="B112" s="494" t="s">
        <v>2554</v>
      </c>
      <c r="C112" s="510"/>
      <c r="D112" s="510"/>
      <c r="E112" s="510"/>
      <c r="F112" s="510"/>
      <c r="G112" s="510"/>
      <c r="H112" s="539"/>
      <c r="I112" s="539"/>
      <c r="J112" s="539"/>
      <c r="K112" s="540"/>
      <c r="L112" s="541"/>
      <c r="M112" s="542"/>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5"/>
      <c r="B114" s="494" t="s">
        <v>2555</v>
      </c>
      <c r="C114" s="510"/>
      <c r="D114" s="510"/>
      <c r="E114" s="539"/>
      <c r="F114" s="539"/>
      <c r="G114" s="539"/>
      <c r="H114" s="539"/>
      <c r="I114" s="539"/>
      <c r="J114" s="539"/>
      <c r="K114" s="540"/>
      <c r="L114" s="541"/>
      <c r="M114" s="542"/>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5"/>
      <c r="B116" s="494">
        <f>B38</f>
        <v>111</v>
      </c>
      <c r="C116" s="510"/>
      <c r="D116" s="510"/>
      <c r="E116" s="510"/>
      <c r="F116" s="510"/>
      <c r="G116" s="510"/>
      <c r="H116" s="539"/>
      <c r="I116" s="539"/>
      <c r="J116" s="539"/>
      <c r="K116" s="540"/>
      <c r="L116" s="541"/>
      <c r="M116" s="542"/>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0"/>
      <c r="B117" s="499"/>
      <c r="C117" s="516"/>
      <c r="D117" s="492"/>
      <c r="E117" s="492"/>
      <c r="F117" s="492"/>
      <c r="G117" s="492"/>
      <c r="H117" s="492"/>
      <c r="I117" s="492"/>
      <c r="J117" s="492"/>
      <c r="K117" s="492"/>
      <c r="L117" s="492"/>
      <c r="M117" s="493"/>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5"/>
      <c r="B118" s="494">
        <f>B39</f>
        <v>111</v>
      </c>
      <c r="C118" s="510"/>
      <c r="D118" s="510"/>
      <c r="E118" s="510"/>
      <c r="F118" s="510"/>
      <c r="G118" s="539"/>
      <c r="H118" s="539"/>
      <c r="I118" s="539"/>
      <c r="J118" s="539"/>
      <c r="K118" s="540"/>
      <c r="L118" s="541"/>
      <c r="M118" s="542"/>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0"/>
      <c r="B119" s="499"/>
      <c r="C119" s="516"/>
      <c r="D119" s="516"/>
      <c r="E119" s="516"/>
      <c r="F119" s="516"/>
      <c r="G119" s="492"/>
      <c r="H119" s="492"/>
      <c r="I119" s="492"/>
      <c r="J119" s="492"/>
      <c r="K119" s="492"/>
      <c r="L119" s="492"/>
      <c r="M119" s="493"/>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29" customFormat="1" ht="15" thickTop="1">
      <c r="A120" s="549"/>
      <c r="B120" s="494">
        <f>B40</f>
        <v>111</v>
      </c>
      <c r="C120" s="479"/>
      <c r="D120" s="479"/>
      <c r="E120" s="479"/>
      <c r="F120" s="479"/>
      <c r="G120" s="511"/>
      <c r="H120" s="511"/>
      <c r="I120" s="511"/>
      <c r="J120" s="511"/>
      <c r="K120" s="511"/>
      <c r="L120" s="512"/>
      <c r="M120" s="513"/>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29" customFormat="1" ht="15.75" thickBot="1">
      <c r="A121" s="524"/>
      <c r="B121" s="655"/>
      <c r="C121" s="526"/>
      <c r="D121" s="526"/>
      <c r="E121" s="526"/>
      <c r="F121" s="526"/>
      <c r="G121" s="547"/>
      <c r="H121" s="547"/>
      <c r="I121" s="547"/>
      <c r="J121" s="547"/>
      <c r="K121" s="547"/>
      <c r="L121" s="547"/>
      <c r="M121" s="548"/>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618" t="s">
        <v>183</v>
      </c>
      <c r="B18" s="819" t="s">
        <v>560</v>
      </c>
      <c r="C18" s="820" t="s">
        <v>561</v>
      </c>
      <c r="D18" s="821"/>
      <c r="E18" s="819">
        <v>1</v>
      </c>
      <c r="F18" s="822" t="s">
        <v>562</v>
      </c>
      <c r="G18" s="823"/>
      <c r="H18" s="815"/>
      <c r="I18" s="815"/>
    </row>
    <row r="19" spans="1:9" s="824" customFormat="1" ht="19.5" customHeight="1">
      <c r="A19" s="3618"/>
      <c r="B19" s="3618" t="s">
        <v>563</v>
      </c>
      <c r="C19" s="820" t="s">
        <v>564</v>
      </c>
      <c r="D19" s="821"/>
      <c r="E19" s="819">
        <v>0.9</v>
      </c>
      <c r="F19" s="822" t="s">
        <v>565</v>
      </c>
      <c r="G19" s="823"/>
      <c r="H19" s="815"/>
      <c r="I19" s="815"/>
    </row>
    <row r="20" spans="1:9" s="824" customFormat="1" ht="19.5" customHeight="1">
      <c r="A20" s="3618"/>
      <c r="B20" s="3618"/>
      <c r="C20" s="820" t="s">
        <v>566</v>
      </c>
      <c r="D20" s="821"/>
      <c r="E20" s="819">
        <v>1.1000000000000001</v>
      </c>
      <c r="F20" s="822" t="s">
        <v>567</v>
      </c>
      <c r="G20" s="823"/>
      <c r="H20" s="815"/>
      <c r="I20" s="815"/>
    </row>
    <row r="21" spans="1:9" s="824" customFormat="1" ht="19.5" customHeight="1">
      <c r="A21" s="3618"/>
      <c r="B21" s="3618"/>
      <c r="C21" s="820" t="s">
        <v>568</v>
      </c>
      <c r="D21" s="821"/>
      <c r="E21" s="819">
        <v>0.8</v>
      </c>
      <c r="F21" s="822" t="s">
        <v>569</v>
      </c>
      <c r="G21" s="823"/>
      <c r="H21" s="815"/>
      <c r="I21" s="815"/>
    </row>
    <row r="22" spans="1:9" s="824" customFormat="1" ht="19.5" customHeight="1">
      <c r="A22" s="3618"/>
      <c r="B22" s="3618"/>
      <c r="C22" s="820" t="s">
        <v>570</v>
      </c>
      <c r="D22" s="821"/>
      <c r="E22" s="819">
        <v>0.5</v>
      </c>
      <c r="F22" s="822"/>
      <c r="G22" s="823"/>
      <c r="H22" s="815"/>
      <c r="I22" s="815"/>
    </row>
    <row r="23" spans="1:9" s="824" customFormat="1" ht="19.5" customHeight="1">
      <c r="A23" s="3618" t="s">
        <v>184</v>
      </c>
      <c r="B23" s="819" t="s">
        <v>560</v>
      </c>
      <c r="C23" s="820" t="s">
        <v>571</v>
      </c>
      <c r="D23" s="821"/>
      <c r="E23" s="819">
        <v>1</v>
      </c>
      <c r="F23" s="822" t="s">
        <v>572</v>
      </c>
      <c r="G23" s="823"/>
      <c r="H23" s="815"/>
      <c r="I23" s="815"/>
    </row>
    <row r="24" spans="1:9" s="824" customFormat="1" ht="19.5" customHeight="1">
      <c r="A24" s="3618"/>
      <c r="B24" s="3618" t="s">
        <v>563</v>
      </c>
      <c r="C24" s="820" t="s">
        <v>573</v>
      </c>
      <c r="D24" s="821"/>
      <c r="E24" s="819">
        <v>0.5</v>
      </c>
      <c r="F24" s="822"/>
      <c r="G24" s="823"/>
      <c r="H24" s="815"/>
      <c r="I24" s="815"/>
    </row>
    <row r="25" spans="1:9" s="824" customFormat="1" ht="19.5" customHeight="1">
      <c r="A25" s="3618"/>
      <c r="B25" s="3618"/>
      <c r="C25" s="820" t="s">
        <v>574</v>
      </c>
      <c r="D25" s="821"/>
      <c r="E25" s="819">
        <v>1.1000000000000001</v>
      </c>
      <c r="F25" s="822"/>
      <c r="G25" s="823"/>
      <c r="H25" s="815"/>
      <c r="I25" s="815"/>
    </row>
    <row r="26" spans="1:9" s="824" customFormat="1" ht="19.5" customHeight="1">
      <c r="A26" s="3618"/>
      <c r="B26" s="3618"/>
      <c r="C26" s="820" t="s">
        <v>575</v>
      </c>
      <c r="D26" s="821"/>
      <c r="E26" s="819">
        <v>1.1000000000000001</v>
      </c>
      <c r="F26" s="822"/>
      <c r="G26" s="823"/>
      <c r="H26" s="815"/>
      <c r="I26" s="815"/>
    </row>
    <row r="27" spans="1:9" s="824" customFormat="1" ht="19.5" customHeight="1">
      <c r="A27" s="3618"/>
      <c r="B27" s="3618"/>
      <c r="C27" s="820" t="s">
        <v>576</v>
      </c>
      <c r="D27" s="821"/>
      <c r="E27" s="819">
        <v>0.9</v>
      </c>
      <c r="F27" s="822" t="s">
        <v>577</v>
      </c>
      <c r="G27" s="823"/>
      <c r="H27" s="815"/>
      <c r="I27" s="815"/>
    </row>
    <row r="28" spans="1:9" s="824" customFormat="1" ht="19.5" customHeight="1">
      <c r="A28" s="3618"/>
      <c r="B28" s="3618"/>
      <c r="C28" s="820" t="s">
        <v>578</v>
      </c>
      <c r="D28" s="821"/>
      <c r="E28" s="819">
        <v>0.9</v>
      </c>
      <c r="F28" s="822" t="s">
        <v>579</v>
      </c>
      <c r="G28" s="823"/>
      <c r="H28" s="815"/>
      <c r="I28" s="815"/>
    </row>
    <row r="29" spans="1:9" s="824" customFormat="1" ht="19.5" customHeight="1">
      <c r="A29" s="3618"/>
      <c r="B29" s="3618"/>
      <c r="C29" s="820" t="s">
        <v>580</v>
      </c>
      <c r="D29" s="821"/>
      <c r="E29" s="819">
        <v>0.9</v>
      </c>
      <c r="F29" s="822" t="s">
        <v>581</v>
      </c>
      <c r="G29" s="823"/>
      <c r="H29" s="815"/>
      <c r="I29" s="815"/>
    </row>
    <row r="30" spans="1:9" s="824" customFormat="1" ht="19.5" customHeight="1">
      <c r="A30" s="3618"/>
      <c r="B30" s="3618"/>
      <c r="C30" s="820" t="s">
        <v>582</v>
      </c>
      <c r="D30" s="821"/>
      <c r="E30" s="819">
        <v>0.9</v>
      </c>
      <c r="F30" s="822" t="s">
        <v>583</v>
      </c>
      <c r="G30" s="823"/>
      <c r="H30" s="815"/>
      <c r="I30" s="815"/>
    </row>
    <row r="31" spans="1:9" s="824" customFormat="1" ht="19.5" customHeight="1">
      <c r="A31" s="3618"/>
      <c r="B31" s="3618"/>
      <c r="C31" s="820" t="s">
        <v>584</v>
      </c>
      <c r="D31" s="821"/>
      <c r="E31" s="819">
        <v>0.8</v>
      </c>
      <c r="F31" s="822" t="s">
        <v>585</v>
      </c>
      <c r="G31" s="823"/>
      <c r="H31" s="815"/>
      <c r="I31" s="815"/>
    </row>
    <row r="32" spans="1:9" s="824" customFormat="1" ht="19.5" customHeight="1">
      <c r="A32" s="3618"/>
      <c r="B32" s="3618"/>
      <c r="C32" s="820" t="s">
        <v>586</v>
      </c>
      <c r="D32" s="821"/>
      <c r="E32" s="819">
        <v>0.8</v>
      </c>
      <c r="F32" s="822" t="s">
        <v>587</v>
      </c>
      <c r="G32" s="823"/>
      <c r="H32" s="815"/>
      <c r="I32" s="815"/>
    </row>
    <row r="33" spans="1:9" s="824" customFormat="1" ht="19.5" customHeight="1">
      <c r="A33" s="3618" t="s">
        <v>185</v>
      </c>
      <c r="B33" s="819" t="s">
        <v>560</v>
      </c>
      <c r="C33" s="820" t="s">
        <v>588</v>
      </c>
      <c r="D33" s="821"/>
      <c r="E33" s="819">
        <v>1</v>
      </c>
      <c r="F33" s="822" t="s">
        <v>589</v>
      </c>
      <c r="G33" s="823"/>
      <c r="H33" s="815"/>
      <c r="I33" s="815"/>
    </row>
    <row r="34" spans="1:9" s="824" customFormat="1" ht="19.5" customHeight="1">
      <c r="A34" s="3618"/>
      <c r="B34" s="819" t="s">
        <v>563</v>
      </c>
      <c r="C34" s="820" t="s">
        <v>590</v>
      </c>
      <c r="D34" s="821"/>
      <c r="E34" s="819">
        <v>1.5</v>
      </c>
      <c r="F34" s="822" t="s">
        <v>591</v>
      </c>
      <c r="G34" s="823"/>
      <c r="H34" s="815"/>
      <c r="I34" s="815"/>
    </row>
    <row r="35" spans="1:9" s="824" customFormat="1" ht="19.5" customHeight="1">
      <c r="A35" s="3618" t="s">
        <v>186</v>
      </c>
      <c r="B35" s="819" t="s">
        <v>560</v>
      </c>
      <c r="C35" s="820" t="s">
        <v>592</v>
      </c>
      <c r="D35" s="821"/>
      <c r="E35" s="819">
        <v>1</v>
      </c>
      <c r="F35" s="822" t="s">
        <v>593</v>
      </c>
      <c r="G35" s="823"/>
      <c r="H35" s="815"/>
      <c r="I35" s="815"/>
    </row>
    <row r="36" spans="1:9" s="824" customFormat="1" ht="19.5" customHeight="1">
      <c r="A36" s="3618"/>
      <c r="B36" s="3618" t="s">
        <v>563</v>
      </c>
      <c r="C36" s="820" t="s">
        <v>594</v>
      </c>
      <c r="D36" s="821"/>
      <c r="E36" s="819">
        <v>1</v>
      </c>
      <c r="F36" s="822" t="s">
        <v>595</v>
      </c>
      <c r="G36" s="823"/>
      <c r="H36" s="815"/>
      <c r="I36" s="815"/>
    </row>
    <row r="37" spans="1:9" s="824" customFormat="1" ht="19.5" customHeight="1">
      <c r="A37" s="3618"/>
      <c r="B37" s="3618"/>
      <c r="C37" s="820" t="s">
        <v>596</v>
      </c>
      <c r="D37" s="821"/>
      <c r="E37" s="819">
        <v>1.5</v>
      </c>
      <c r="F37" s="822" t="s">
        <v>597</v>
      </c>
      <c r="G37" s="823"/>
      <c r="H37" s="815"/>
      <c r="I37" s="815"/>
    </row>
    <row r="38" spans="1:9" s="824" customFormat="1" ht="19.5" customHeight="1">
      <c r="A38" s="3618"/>
      <c r="B38" s="3618"/>
      <c r="C38" s="820" t="s">
        <v>598</v>
      </c>
      <c r="D38" s="821"/>
      <c r="E38" s="819">
        <v>1</v>
      </c>
      <c r="F38" s="822" t="s">
        <v>599</v>
      </c>
      <c r="G38" s="823"/>
      <c r="H38" s="815"/>
      <c r="I38" s="815"/>
    </row>
    <row r="39" spans="1:9" s="824" customFormat="1" ht="19.5" customHeight="1">
      <c r="A39" s="3618"/>
      <c r="B39" s="361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618" t="s">
        <v>614</v>
      </c>
      <c r="C61" s="755" t="s">
        <v>615</v>
      </c>
      <c r="D61" s="755" t="s">
        <v>616</v>
      </c>
      <c r="E61" s="832">
        <v>0.5</v>
      </c>
      <c r="F61" s="819">
        <v>80</v>
      </c>
    </row>
    <row r="62" spans="1:8" s="815" customFormat="1" ht="24">
      <c r="A62" s="819">
        <v>2</v>
      </c>
      <c r="B62" s="3618"/>
      <c r="C62" s="755" t="s">
        <v>617</v>
      </c>
      <c r="D62" s="755" t="s">
        <v>618</v>
      </c>
      <c r="E62" s="832">
        <v>0.5</v>
      </c>
      <c r="F62" s="819">
        <v>80</v>
      </c>
    </row>
    <row r="63" spans="1:8" s="815" customFormat="1" ht="36">
      <c r="A63" s="819">
        <v>3</v>
      </c>
      <c r="B63" s="3618"/>
      <c r="C63" s="755" t="s">
        <v>619</v>
      </c>
      <c r="D63" s="755" t="s">
        <v>620</v>
      </c>
      <c r="E63" s="832">
        <v>0.5</v>
      </c>
      <c r="F63" s="819">
        <v>80</v>
      </c>
    </row>
    <row r="64" spans="1:8" s="815" customFormat="1" ht="36">
      <c r="A64" s="819">
        <v>4</v>
      </c>
      <c r="B64" s="3618"/>
      <c r="C64" s="755" t="s">
        <v>621</v>
      </c>
      <c r="D64" s="755" t="s">
        <v>622</v>
      </c>
      <c r="E64" s="832">
        <v>0.4</v>
      </c>
      <c r="F64" s="819">
        <v>60</v>
      </c>
    </row>
    <row r="65" spans="1:6" s="815" customFormat="1" ht="36">
      <c r="A65" s="819">
        <v>5</v>
      </c>
      <c r="B65" s="3618"/>
      <c r="C65" s="755" t="s">
        <v>623</v>
      </c>
      <c r="D65" s="755" t="s">
        <v>624</v>
      </c>
      <c r="E65" s="832">
        <v>0.2</v>
      </c>
      <c r="F65" s="819">
        <v>30</v>
      </c>
    </row>
    <row r="66" spans="1:6" s="815" customFormat="1" ht="36">
      <c r="A66" s="819">
        <v>6</v>
      </c>
      <c r="B66" s="3618"/>
      <c r="C66" s="755" t="s">
        <v>625</v>
      </c>
      <c r="D66" s="755" t="s">
        <v>626</v>
      </c>
      <c r="E66" s="832">
        <v>0.3</v>
      </c>
      <c r="F66" s="819">
        <v>50</v>
      </c>
    </row>
    <row r="67" spans="1:6" s="815" customFormat="1" ht="36">
      <c r="A67" s="819">
        <v>7</v>
      </c>
      <c r="B67" s="3618"/>
      <c r="C67" s="755" t="s">
        <v>627</v>
      </c>
      <c r="D67" s="755" t="s">
        <v>628</v>
      </c>
      <c r="E67" s="832">
        <v>0.2</v>
      </c>
      <c r="F67" s="819">
        <v>30</v>
      </c>
    </row>
    <row r="68" spans="1:6" s="815" customFormat="1" ht="36">
      <c r="A68" s="819">
        <v>8</v>
      </c>
      <c r="B68" s="3618"/>
      <c r="C68" s="755" t="s">
        <v>629</v>
      </c>
      <c r="D68" s="755" t="s">
        <v>630</v>
      </c>
      <c r="E68" s="832">
        <v>0.2</v>
      </c>
      <c r="F68" s="819">
        <v>30</v>
      </c>
    </row>
    <row r="69" spans="1:6" s="815" customFormat="1" ht="36">
      <c r="A69" s="819">
        <v>9</v>
      </c>
      <c r="B69" s="3618"/>
      <c r="C69" s="755" t="s">
        <v>631</v>
      </c>
      <c r="D69" s="755" t="s">
        <v>632</v>
      </c>
      <c r="E69" s="832">
        <v>0.2</v>
      </c>
      <c r="F69" s="819">
        <v>30</v>
      </c>
    </row>
    <row r="70" spans="1:6" s="815" customFormat="1" ht="48">
      <c r="A70" s="819">
        <v>10</v>
      </c>
      <c r="B70" s="3618"/>
      <c r="C70" s="755" t="s">
        <v>633</v>
      </c>
      <c r="D70" s="755" t="s">
        <v>634</v>
      </c>
      <c r="E70" s="832">
        <v>0.2</v>
      </c>
      <c r="F70" s="819">
        <v>30</v>
      </c>
    </row>
    <row r="71" spans="1:6" s="815" customFormat="1" ht="48">
      <c r="A71" s="819">
        <v>11</v>
      </c>
      <c r="B71" s="3618"/>
      <c r="C71" s="755" t="s">
        <v>635</v>
      </c>
      <c r="D71" s="755" t="s">
        <v>636</v>
      </c>
      <c r="E71" s="832">
        <v>0.2</v>
      </c>
      <c r="F71" s="819">
        <v>30</v>
      </c>
    </row>
    <row r="72" spans="1:6" s="815" customFormat="1" ht="36">
      <c r="A72" s="819">
        <v>12</v>
      </c>
      <c r="B72" s="3618"/>
      <c r="C72" s="755" t="s">
        <v>637</v>
      </c>
      <c r="D72" s="755" t="s">
        <v>638</v>
      </c>
      <c r="E72" s="832">
        <v>0.5</v>
      </c>
      <c r="F72" s="819">
        <v>80</v>
      </c>
    </row>
    <row r="73" spans="1:6" s="815" customFormat="1" ht="24">
      <c r="A73" s="819">
        <v>13</v>
      </c>
      <c r="B73" s="3618"/>
      <c r="C73" s="755" t="s">
        <v>639</v>
      </c>
      <c r="D73" s="755" t="s">
        <v>640</v>
      </c>
      <c r="E73" s="832">
        <v>0.4</v>
      </c>
      <c r="F73" s="819">
        <v>60</v>
      </c>
    </row>
    <row r="74" spans="1:6" s="815" customFormat="1" ht="24">
      <c r="A74" s="819">
        <v>14</v>
      </c>
      <c r="B74" s="3618"/>
      <c r="C74" s="755" t="s">
        <v>641</v>
      </c>
      <c r="D74" s="755" t="s">
        <v>642</v>
      </c>
      <c r="E74" s="832">
        <v>0.2</v>
      </c>
      <c r="F74" s="819">
        <v>30</v>
      </c>
    </row>
    <row r="75" spans="1:6" s="815" customFormat="1" ht="24">
      <c r="A75" s="819">
        <v>15</v>
      </c>
      <c r="B75" s="3618"/>
      <c r="C75" s="755" t="s">
        <v>643</v>
      </c>
      <c r="D75" s="755" t="s">
        <v>644</v>
      </c>
      <c r="E75" s="832">
        <v>0.2</v>
      </c>
      <c r="F75" s="819">
        <v>30</v>
      </c>
    </row>
    <row r="76" spans="1:6" s="815" customFormat="1" ht="24">
      <c r="A76" s="819">
        <v>16</v>
      </c>
      <c r="B76" s="3618" t="s">
        <v>645</v>
      </c>
      <c r="C76" s="755" t="s">
        <v>646</v>
      </c>
      <c r="D76" s="755" t="s">
        <v>647</v>
      </c>
      <c r="E76" s="832">
        <v>0.5</v>
      </c>
      <c r="F76" s="819">
        <v>80</v>
      </c>
    </row>
    <row r="77" spans="1:6" s="815" customFormat="1" ht="24">
      <c r="A77" s="819">
        <v>17</v>
      </c>
      <c r="B77" s="3618"/>
      <c r="C77" s="755" t="s">
        <v>648</v>
      </c>
      <c r="D77" s="755" t="s">
        <v>649</v>
      </c>
      <c r="E77" s="832">
        <v>0.5</v>
      </c>
      <c r="F77" s="819">
        <v>80</v>
      </c>
    </row>
    <row r="78" spans="1:6" s="815" customFormat="1" ht="24">
      <c r="A78" s="819">
        <v>18</v>
      </c>
      <c r="B78" s="3618"/>
      <c r="C78" s="755" t="s">
        <v>650</v>
      </c>
      <c r="D78" s="755" t="s">
        <v>651</v>
      </c>
      <c r="E78" s="832">
        <v>0.2</v>
      </c>
      <c r="F78" s="819">
        <v>30</v>
      </c>
    </row>
    <row r="79" spans="1:6" s="815" customFormat="1" ht="24">
      <c r="A79" s="819">
        <v>19</v>
      </c>
      <c r="B79" s="3618"/>
      <c r="C79" s="755" t="s">
        <v>652</v>
      </c>
      <c r="D79" s="755" t="s">
        <v>653</v>
      </c>
      <c r="E79" s="832">
        <v>0.5</v>
      </c>
      <c r="F79" s="819">
        <v>80</v>
      </c>
    </row>
    <row r="80" spans="1:6" s="815" customFormat="1" ht="36">
      <c r="A80" s="819">
        <v>20</v>
      </c>
      <c r="B80" s="3618"/>
      <c r="C80" s="755" t="s">
        <v>654</v>
      </c>
      <c r="D80" s="755" t="s">
        <v>655</v>
      </c>
      <c r="E80" s="832">
        <v>0.2</v>
      </c>
      <c r="F80" s="819">
        <v>30</v>
      </c>
    </row>
    <row r="81" spans="1:6" s="815" customFormat="1" ht="36">
      <c r="A81" s="819">
        <v>21</v>
      </c>
      <c r="B81" s="3618"/>
      <c r="C81" s="755" t="s">
        <v>656</v>
      </c>
      <c r="D81" s="755" t="s">
        <v>657</v>
      </c>
      <c r="E81" s="832">
        <v>0.2</v>
      </c>
      <c r="F81" s="819">
        <v>30</v>
      </c>
    </row>
    <row r="82" spans="1:6" s="815" customFormat="1" ht="48">
      <c r="A82" s="819">
        <v>22</v>
      </c>
      <c r="B82" s="3618"/>
      <c r="C82" s="755" t="s">
        <v>658</v>
      </c>
      <c r="D82" s="755" t="s">
        <v>659</v>
      </c>
      <c r="E82" s="832">
        <v>0.2</v>
      </c>
      <c r="F82" s="819">
        <v>30</v>
      </c>
    </row>
    <row r="83" spans="1:6" s="815" customFormat="1" ht="48">
      <c r="A83" s="819">
        <v>23</v>
      </c>
      <c r="B83" s="3618"/>
      <c r="C83" s="755" t="s">
        <v>660</v>
      </c>
      <c r="D83" s="755" t="s">
        <v>661</v>
      </c>
      <c r="E83" s="832">
        <v>0.2</v>
      </c>
      <c r="F83" s="819">
        <v>30</v>
      </c>
    </row>
    <row r="84" spans="1:6" s="815" customFormat="1" ht="36">
      <c r="A84" s="819">
        <v>24</v>
      </c>
      <c r="B84" s="3618"/>
      <c r="C84" s="755" t="s">
        <v>662</v>
      </c>
      <c r="D84" s="755" t="s">
        <v>663</v>
      </c>
      <c r="E84" s="832">
        <v>0.2</v>
      </c>
      <c r="F84" s="819">
        <v>30</v>
      </c>
    </row>
    <row r="85" spans="1:6" s="815" customFormat="1" ht="36">
      <c r="A85" s="819">
        <v>25</v>
      </c>
      <c r="B85" s="3618"/>
      <c r="C85" s="755" t="s">
        <v>664</v>
      </c>
      <c r="D85" s="755" t="s">
        <v>665</v>
      </c>
      <c r="E85" s="832">
        <v>0.5</v>
      </c>
      <c r="F85" s="819">
        <v>80</v>
      </c>
    </row>
    <row r="86" spans="1:6" s="815" customFormat="1" ht="36">
      <c r="A86" s="819">
        <v>26</v>
      </c>
      <c r="B86" s="3618"/>
      <c r="C86" s="755" t="s">
        <v>666</v>
      </c>
      <c r="D86" s="755" t="s">
        <v>667</v>
      </c>
      <c r="E86" s="832">
        <v>0.2</v>
      </c>
      <c r="F86" s="819">
        <v>30</v>
      </c>
    </row>
    <row r="87" spans="1:6" s="815" customFormat="1" ht="36">
      <c r="A87" s="819">
        <v>27</v>
      </c>
      <c r="B87" s="3618"/>
      <c r="C87" s="755" t="s">
        <v>668</v>
      </c>
      <c r="D87" s="755" t="s">
        <v>669</v>
      </c>
      <c r="E87" s="832">
        <v>0.2</v>
      </c>
      <c r="F87" s="819">
        <v>30</v>
      </c>
    </row>
    <row r="88" spans="1:6" s="815" customFormat="1" ht="36">
      <c r="A88" s="819">
        <v>28</v>
      </c>
      <c r="B88" s="3618"/>
      <c r="C88" s="755" t="s">
        <v>670</v>
      </c>
      <c r="D88" s="755" t="s">
        <v>671</v>
      </c>
      <c r="E88" s="832">
        <v>0.2</v>
      </c>
      <c r="F88" s="819">
        <v>30</v>
      </c>
    </row>
    <row r="89" spans="1:6" s="815" customFormat="1" ht="24">
      <c r="A89" s="819">
        <v>29</v>
      </c>
      <c r="B89" s="3618"/>
      <c r="C89" s="755" t="s">
        <v>672</v>
      </c>
      <c r="D89" s="755" t="s">
        <v>673</v>
      </c>
      <c r="E89" s="832">
        <v>0.2</v>
      </c>
      <c r="F89" s="819">
        <v>30</v>
      </c>
    </row>
    <row r="90" spans="1:6" s="815" customFormat="1" ht="24">
      <c r="A90" s="819">
        <v>30</v>
      </c>
      <c r="B90" s="3618"/>
      <c r="C90" s="755" t="s">
        <v>674</v>
      </c>
      <c r="D90" s="755" t="s">
        <v>675</v>
      </c>
      <c r="E90" s="832">
        <v>0.2</v>
      </c>
      <c r="F90" s="819">
        <v>30</v>
      </c>
    </row>
    <row r="91" spans="1:6" s="815" customFormat="1" ht="36">
      <c r="A91" s="819">
        <v>31</v>
      </c>
      <c r="B91" s="3618"/>
      <c r="C91" s="755" t="s">
        <v>676</v>
      </c>
      <c r="D91" s="755" t="s">
        <v>677</v>
      </c>
      <c r="E91" s="832">
        <v>0.2</v>
      </c>
      <c r="F91" s="819">
        <v>30</v>
      </c>
    </row>
    <row r="92" spans="1:6" s="815" customFormat="1" ht="24">
      <c r="A92" s="819">
        <v>32</v>
      </c>
      <c r="B92" s="3618" t="s">
        <v>678</v>
      </c>
      <c r="C92" s="819" t="s">
        <v>679</v>
      </c>
      <c r="D92" s="755" t="s">
        <v>680</v>
      </c>
      <c r="E92" s="832">
        <v>0.2</v>
      </c>
      <c r="F92" s="819">
        <v>30</v>
      </c>
    </row>
    <row r="93" spans="1:6" s="815" customFormat="1" ht="36">
      <c r="A93" s="819">
        <v>33</v>
      </c>
      <c r="B93" s="3618"/>
      <c r="C93" s="819" t="s">
        <v>681</v>
      </c>
      <c r="D93" s="755" t="s">
        <v>682</v>
      </c>
      <c r="E93" s="832">
        <v>0.2</v>
      </c>
      <c r="F93" s="819">
        <v>30</v>
      </c>
    </row>
    <row r="94" spans="1:6" s="815" customFormat="1" ht="48">
      <c r="A94" s="819">
        <v>34</v>
      </c>
      <c r="B94" s="3618"/>
      <c r="C94" s="819" t="s">
        <v>683</v>
      </c>
      <c r="D94" s="755" t="s">
        <v>684</v>
      </c>
      <c r="E94" s="832">
        <v>0.2</v>
      </c>
      <c r="F94" s="819">
        <v>30</v>
      </c>
    </row>
    <row r="95" spans="1:6" s="815" customFormat="1" ht="36">
      <c r="A95" s="819">
        <v>35</v>
      </c>
      <c r="B95" s="3618"/>
      <c r="C95" s="819" t="s">
        <v>685</v>
      </c>
      <c r="D95" s="755" t="s">
        <v>686</v>
      </c>
      <c r="E95" s="832">
        <v>0.2</v>
      </c>
      <c r="F95" s="819">
        <v>30</v>
      </c>
    </row>
    <row r="96" spans="1:6" s="815" customFormat="1" ht="48">
      <c r="A96" s="819">
        <v>36</v>
      </c>
      <c r="B96" s="3618"/>
      <c r="C96" s="755" t="s">
        <v>687</v>
      </c>
      <c r="D96" s="755" t="s">
        <v>688</v>
      </c>
      <c r="E96" s="832">
        <v>0.2</v>
      </c>
      <c r="F96" s="819">
        <v>30</v>
      </c>
    </row>
    <row r="97" spans="1:6" s="815" customFormat="1" ht="36">
      <c r="A97" s="819">
        <v>37</v>
      </c>
      <c r="B97" s="3618"/>
      <c r="C97" s="819" t="s">
        <v>689</v>
      </c>
      <c r="D97" s="755" t="s">
        <v>690</v>
      </c>
      <c r="E97" s="832">
        <v>0.2</v>
      </c>
      <c r="F97" s="819">
        <v>30</v>
      </c>
    </row>
    <row r="98" spans="1:6" s="815" customFormat="1" ht="36">
      <c r="A98" s="819">
        <v>38</v>
      </c>
      <c r="B98" s="3618"/>
      <c r="C98" s="819" t="s">
        <v>691</v>
      </c>
      <c r="D98" s="755" t="s">
        <v>692</v>
      </c>
      <c r="E98" s="832">
        <v>0.2</v>
      </c>
      <c r="F98" s="819">
        <v>30</v>
      </c>
    </row>
    <row r="99" spans="1:6" s="815" customFormat="1" ht="36">
      <c r="A99" s="819">
        <v>39</v>
      </c>
      <c r="B99" s="3618" t="s">
        <v>693</v>
      </c>
      <c r="C99" s="819" t="s">
        <v>694</v>
      </c>
      <c r="D99" s="755" t="s">
        <v>695</v>
      </c>
      <c r="E99" s="832">
        <v>0.3</v>
      </c>
      <c r="F99" s="819">
        <v>50</v>
      </c>
    </row>
    <row r="100" spans="1:6" s="815" customFormat="1" ht="24">
      <c r="A100" s="819">
        <v>40</v>
      </c>
      <c r="B100" s="3618"/>
      <c r="C100" s="819" t="s">
        <v>696</v>
      </c>
      <c r="D100" s="755" t="s">
        <v>697</v>
      </c>
      <c r="E100" s="832">
        <v>0.2</v>
      </c>
      <c r="F100" s="819">
        <v>30</v>
      </c>
    </row>
    <row r="101" spans="1:6" s="815" customFormat="1" ht="36">
      <c r="A101" s="819">
        <v>41</v>
      </c>
      <c r="B101" s="361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618" t="s">
        <v>708</v>
      </c>
      <c r="C105" s="819" t="s">
        <v>709</v>
      </c>
      <c r="D105" s="755" t="s">
        <v>710</v>
      </c>
      <c r="E105" s="832">
        <v>0.2</v>
      </c>
      <c r="F105" s="819">
        <v>30</v>
      </c>
    </row>
    <row r="106" spans="1:6" s="815" customFormat="1" ht="36">
      <c r="A106" s="819">
        <v>46</v>
      </c>
      <c r="B106" s="3618"/>
      <c r="C106" s="819" t="s">
        <v>711</v>
      </c>
      <c r="D106" s="755" t="s">
        <v>712</v>
      </c>
      <c r="E106" s="832">
        <v>0.2</v>
      </c>
      <c r="F106" s="819">
        <v>30</v>
      </c>
    </row>
    <row r="107" spans="1:6" s="815" customFormat="1" ht="36">
      <c r="A107" s="819">
        <v>47</v>
      </c>
      <c r="B107" s="3618" t="s">
        <v>713</v>
      </c>
      <c r="C107" s="819" t="s">
        <v>714</v>
      </c>
      <c r="D107" s="755" t="s">
        <v>715</v>
      </c>
      <c r="E107" s="832">
        <v>0.3</v>
      </c>
      <c r="F107" s="819">
        <v>50</v>
      </c>
    </row>
    <row r="108" spans="1:6" s="815" customFormat="1" ht="36">
      <c r="A108" s="819">
        <v>48</v>
      </c>
      <c r="B108" s="361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618" t="s">
        <v>724</v>
      </c>
      <c r="C111" s="819" t="s">
        <v>725</v>
      </c>
      <c r="D111" s="755" t="s">
        <v>726</v>
      </c>
      <c r="E111" s="832">
        <v>0.2</v>
      </c>
      <c r="F111" s="819">
        <v>30</v>
      </c>
    </row>
    <row r="112" spans="1:6" s="815" customFormat="1" ht="24">
      <c r="A112" s="819">
        <v>52</v>
      </c>
      <c r="B112" s="3618"/>
      <c r="C112" s="819" t="s">
        <v>727</v>
      </c>
      <c r="D112" s="755" t="s">
        <v>728</v>
      </c>
      <c r="E112" s="832">
        <v>0.2</v>
      </c>
      <c r="F112" s="819">
        <v>30</v>
      </c>
    </row>
    <row r="113" spans="1:6" s="815" customFormat="1" ht="24">
      <c r="A113" s="819">
        <v>53</v>
      </c>
      <c r="B113" s="361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618" t="s">
        <v>737</v>
      </c>
      <c r="C116" s="819" t="s">
        <v>738</v>
      </c>
      <c r="D116" s="755" t="s">
        <v>739</v>
      </c>
      <c r="E116" s="832">
        <v>0.2</v>
      </c>
      <c r="F116" s="819">
        <v>30</v>
      </c>
    </row>
    <row r="117" spans="1:6" ht="36">
      <c r="A117" s="819">
        <v>57</v>
      </c>
      <c r="B117" s="361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1.0901000000000001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2761</v>
      </c>
      <c r="B1" s="2329"/>
      <c r="C1" s="2329"/>
      <c r="D1" s="2329"/>
      <c r="E1" s="2329"/>
      <c r="F1" s="2989"/>
      <c r="G1" s="2989"/>
      <c r="H1" s="2989"/>
      <c r="I1" s="2989"/>
      <c r="J1" s="2989"/>
      <c r="K1" s="2989"/>
      <c r="L1" s="2989"/>
      <c r="M1" s="2989"/>
      <c r="N1" s="2989"/>
      <c r="O1" s="2989"/>
      <c r="P1" s="2989"/>
    </row>
    <row r="2" spans="1:16" ht="15.75">
      <c r="A2" s="2327" t="s">
        <v>2753</v>
      </c>
      <c r="B2" s="2793">
        <f ca="1">SUMIF(B6:B13,"&lt;&gt;#ref!",B6:B13)</f>
        <v>0</v>
      </c>
      <c r="C2" s="2327" t="s">
        <v>2754</v>
      </c>
      <c r="D2" s="2327" t="s">
        <v>2755</v>
      </c>
      <c r="E2" s="2803">
        <f ca="1">SUMIF(E6:E13,"&lt;&gt;#ref!",E6:E13)</f>
        <v>0</v>
      </c>
      <c r="F2" s="2989"/>
      <c r="G2" s="2989"/>
      <c r="H2" s="2989"/>
      <c r="I2" s="2989"/>
      <c r="J2" s="2989"/>
      <c r="K2" s="2989"/>
      <c r="L2" s="2989"/>
      <c r="M2" s="2989"/>
      <c r="N2" s="2989"/>
      <c r="O2" s="2989"/>
      <c r="P2" s="2989"/>
    </row>
    <row r="3" spans="1:16" ht="15.75">
      <c r="A3" s="2327" t="s">
        <v>2756</v>
      </c>
      <c r="B3" s="2793" t="e">
        <f ca="1">ROUND(B2*10000/E2,0)</f>
        <v>#DIV/0!</v>
      </c>
      <c r="C3" s="2327" t="s">
        <v>2762</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2757</v>
      </c>
      <c r="B5" s="2801" t="s">
        <v>2758</v>
      </c>
      <c r="C5" s="2328"/>
      <c r="D5" s="2989"/>
      <c r="E5" s="2802" t="s">
        <v>2759</v>
      </c>
      <c r="F5" s="2989"/>
      <c r="G5" s="2989"/>
      <c r="H5" s="2989"/>
      <c r="I5" s="2989"/>
      <c r="J5" s="2989"/>
      <c r="K5" s="2989"/>
      <c r="L5" s="2989"/>
      <c r="M5" s="2989"/>
      <c r="N5" s="2989"/>
      <c r="O5" s="2989"/>
      <c r="P5" s="2989"/>
    </row>
    <row r="6" spans="1:16" ht="15.75">
      <c r="A6" s="2800" t="s">
        <v>2760</v>
      </c>
      <c r="B6" s="2793">
        <f ca="1">SUMIF(INDIRECT("'"&amp;A6&amp;"'"&amp;"!A:A"),"总价",INDIRECT("'"&amp;A6&amp;"'"&amp;"!B:B"))</f>
        <v>0</v>
      </c>
      <c r="C6" s="2327" t="s">
        <v>2754</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27"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7" t="s">
        <v>2754</v>
      </c>
      <c r="D8" s="2989"/>
      <c r="E8" s="2803" t="e">
        <f t="shared" ca="1" si="0"/>
        <v>#REF!</v>
      </c>
      <c r="F8" s="2989"/>
      <c r="G8" s="2989"/>
      <c r="H8" s="2989"/>
      <c r="I8" s="2989"/>
      <c r="J8" s="2989"/>
      <c r="K8" s="2989"/>
      <c r="L8" s="2989"/>
      <c r="M8" s="2989"/>
      <c r="N8" s="2989"/>
      <c r="O8" s="2989"/>
      <c r="P8" s="2989"/>
    </row>
    <row r="9" spans="1:16" ht="15.75">
      <c r="A9" s="2800"/>
      <c r="B9" s="2793" t="e">
        <f t="shared" ca="1" si="1"/>
        <v>#REF!</v>
      </c>
      <c r="C9" s="2327" t="s">
        <v>2754</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7" t="s">
        <v>2754</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7" t="s">
        <v>2754</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7" t="s">
        <v>2754</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7"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2763</v>
      </c>
      <c r="C1" s="3622" t="s">
        <v>2764</v>
      </c>
      <c r="D1" s="3623"/>
      <c r="E1" s="3623"/>
      <c r="F1" s="3623"/>
      <c r="G1" s="3623"/>
      <c r="H1" s="3623"/>
      <c r="I1" s="3623"/>
      <c r="J1" s="3623"/>
      <c r="K1" s="3623"/>
      <c r="L1" s="3623"/>
      <c r="M1" s="3623"/>
      <c r="N1" s="3623"/>
      <c r="O1" s="3623"/>
      <c r="P1" s="3623"/>
      <c r="Q1" s="3623"/>
      <c r="R1" s="3623"/>
      <c r="S1" s="3624"/>
      <c r="T1" s="1112" t="s">
        <v>2765</v>
      </c>
    </row>
    <row r="2" spans="1:45" s="662" customFormat="1">
      <c r="A2" s="1113"/>
      <c r="B2" s="658" t="s">
        <v>2766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3"/>
      <c r="C3" s="664"/>
      <c r="D3" s="665"/>
      <c r="E3" s="665"/>
      <c r="F3" s="1441"/>
      <c r="G3" s="1441"/>
      <c r="H3" s="1441"/>
      <c r="I3" s="1441"/>
      <c r="J3" s="1441"/>
      <c r="K3" s="1441"/>
      <c r="L3" s="1442"/>
      <c r="M3" s="1443"/>
      <c r="N3" s="1443"/>
      <c r="O3" s="1441"/>
      <c r="P3" s="1441"/>
      <c r="Q3" s="1441"/>
      <c r="R3" s="1441"/>
      <c r="S3" s="1444"/>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c r="D4" s="1119"/>
      <c r="E4" s="1119"/>
      <c r="F4" s="1445"/>
      <c r="G4" s="1445"/>
      <c r="H4" s="1445"/>
      <c r="I4" s="1445"/>
      <c r="J4" s="1445"/>
      <c r="K4" s="1445"/>
      <c r="L4" s="1445"/>
      <c r="M4" s="1446"/>
      <c r="N4" s="1446"/>
      <c r="O4" s="1445"/>
      <c r="P4" s="1445"/>
      <c r="Q4" s="1445"/>
      <c r="R4" s="1445"/>
      <c r="S4" s="144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472" t="s">
        <v>2767</v>
      </c>
      <c r="C5" s="1124"/>
      <c r="D5" s="1125"/>
      <c r="E5" s="1125"/>
      <c r="F5" s="1448"/>
      <c r="G5" s="1448"/>
      <c r="H5" s="1448"/>
      <c r="I5" s="1448"/>
      <c r="J5" s="1448"/>
      <c r="K5" s="1448"/>
      <c r="L5" s="1449"/>
      <c r="M5" s="1450"/>
      <c r="N5" s="1450"/>
      <c r="O5" s="1448"/>
      <c r="P5" s="1448"/>
      <c r="Q5" s="1448"/>
      <c r="R5" s="1448"/>
      <c r="S5" s="145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473" t="s">
        <v>2768</v>
      </c>
      <c r="C7" s="1033"/>
      <c r="D7" s="1027"/>
      <c r="E7" s="1027"/>
      <c r="F7" s="1453"/>
      <c r="G7" s="1453"/>
      <c r="H7" s="1453"/>
      <c r="I7" s="1453"/>
      <c r="J7" s="1453"/>
      <c r="K7" s="1453"/>
      <c r="L7" s="1453"/>
      <c r="M7" s="1454"/>
      <c r="N7" s="1455"/>
      <c r="O7" s="1456"/>
      <c r="P7" s="1457"/>
      <c r="Q7" s="1458"/>
      <c r="R7" s="1459"/>
      <c r="S7" s="1460"/>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473" t="s">
        <v>2769</v>
      </c>
      <c r="C9" s="1033"/>
      <c r="D9" s="1027"/>
      <c r="E9" s="1027"/>
      <c r="F9" s="1453"/>
      <c r="G9" s="1453"/>
      <c r="H9" s="1453"/>
      <c r="I9" s="1453"/>
      <c r="J9" s="1453"/>
      <c r="K9" s="1453"/>
      <c r="L9" s="1461"/>
      <c r="M9" s="1454"/>
      <c r="N9" s="1455"/>
      <c r="O9" s="1456"/>
      <c r="P9" s="1457"/>
      <c r="Q9" s="1458"/>
      <c r="R9" s="1459"/>
      <c r="S9" s="1460"/>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472" t="s">
        <v>2770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472" t="s">
        <v>2771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472" t="s">
        <v>2772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2773</v>
      </c>
      <c r="B17" s="2331" t="s">
        <v>2774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3"/>
      <c r="C19" s="163"/>
      <c r="D19" s="2332" t="s">
        <v>2775</v>
      </c>
      <c r="E19" s="1490"/>
      <c r="F19" s="1490"/>
      <c r="G19" s="1490"/>
      <c r="H19" s="1187"/>
      <c r="I19" s="163"/>
      <c r="J19" s="163"/>
      <c r="K19" s="163"/>
      <c r="L19" s="163"/>
      <c r="M19" s="163"/>
      <c r="N19" s="163"/>
      <c r="O19" s="163"/>
      <c r="P19" s="163"/>
      <c r="Q19" s="163"/>
      <c r="R19" s="725"/>
      <c r="S19" s="133"/>
    </row>
    <row r="20" spans="1:45" ht="16.5" thickBot="1">
      <c r="A20" s="670" t="s">
        <v>2776</v>
      </c>
      <c r="B20" s="299" t="e">
        <f ca="1">IF(D20="——",S22,S22-F20)</f>
        <v>#REF!</v>
      </c>
      <c r="C20" s="163"/>
      <c r="D20" s="2333"/>
      <c r="E20" s="1491"/>
      <c r="F20" s="1112" t="e">
        <f ca="1">SUMIF(INDIRECT("'"&amp;H20&amp;"'"&amp;"!A:A"),"承租人权益价值",INDIRECT("'"&amp;H20&amp;"'"&amp;"!c:c"))</f>
        <v>#REF!</v>
      </c>
      <c r="G20" s="1112" t="s">
        <v>2777</v>
      </c>
      <c r="H20" s="2334"/>
      <c r="I20" s="163"/>
      <c r="J20" s="163"/>
      <c r="K20" s="163"/>
      <c r="L20" s="163"/>
      <c r="M20" s="163"/>
      <c r="N20" s="163"/>
      <c r="O20" s="163"/>
      <c r="P20" s="163"/>
      <c r="Q20" s="163"/>
      <c r="R20" s="725"/>
      <c r="S20" s="133"/>
    </row>
    <row r="21" spans="1:45" ht="15.75">
      <c r="A21" s="670" t="s">
        <v>2778</v>
      </c>
      <c r="B21" s="299" t="e">
        <f ca="1">ROUND(B20*10000/B22,0)</f>
        <v>#REF!</v>
      </c>
      <c r="C21" s="163"/>
      <c r="D21" s="163"/>
      <c r="E21" s="163"/>
      <c r="F21" s="163"/>
      <c r="G21" s="163"/>
      <c r="H21" s="163"/>
      <c r="I21" s="163"/>
      <c r="J21" s="163"/>
      <c r="K21" s="163"/>
      <c r="L21" s="163"/>
      <c r="M21" s="163"/>
      <c r="N21" s="163"/>
      <c r="O21" s="163"/>
      <c r="P21" s="163"/>
      <c r="Q21" s="163"/>
      <c r="R21" s="725"/>
      <c r="S21" s="133"/>
    </row>
    <row r="22" spans="1:45">
      <c r="A22" s="321" t="s">
        <v>2779</v>
      </c>
      <c r="B22" s="24">
        <f>SUM(B24:B10000)</f>
        <v>100</v>
      </c>
      <c r="C22" s="3619" t="s">
        <v>33</v>
      </c>
      <c r="D22" s="3620"/>
      <c r="E22" s="3620"/>
      <c r="F22" s="3620"/>
      <c r="G22" s="3620"/>
      <c r="H22" s="3620"/>
      <c r="I22" s="3620"/>
      <c r="J22" s="3620"/>
      <c r="K22" s="3620"/>
      <c r="L22" s="3620"/>
      <c r="M22" s="3620"/>
      <c r="N22" s="3620"/>
      <c r="O22" s="3620"/>
      <c r="P22" s="3620"/>
      <c r="Q22" s="3621"/>
      <c r="R22" s="671">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2"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7" customFormat="1">
      <c r="A24" s="673" t="s">
        <v>2785</v>
      </c>
      <c r="B24" s="673">
        <v>100</v>
      </c>
      <c r="C24" s="3006">
        <v>1</v>
      </c>
      <c r="D24" s="3007"/>
      <c r="E24" s="3006">
        <v>1</v>
      </c>
      <c r="F24" s="3007"/>
      <c r="G24" s="3006">
        <v>1</v>
      </c>
      <c r="H24" s="3007"/>
      <c r="I24" s="3006">
        <v>1</v>
      </c>
      <c r="J24" s="3007"/>
      <c r="K24" s="3006">
        <v>1</v>
      </c>
      <c r="L24" s="3007"/>
      <c r="M24" s="3006">
        <v>1</v>
      </c>
      <c r="N24" s="3007"/>
      <c r="O24" s="3006">
        <v>1</v>
      </c>
      <c r="P24" s="3007"/>
      <c r="Q24" s="3006">
        <v>1</v>
      </c>
      <c r="R24" s="676">
        <v>10000</v>
      </c>
      <c r="S24" s="674">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71767</v>
      </c>
      <c r="C2" s="2" t="s">
        <v>133</v>
      </c>
      <c r="D2" s="204"/>
      <c r="E2" s="204"/>
      <c r="F2" s="204"/>
      <c r="G2" s="204"/>
    </row>
    <row r="3" spans="1:7" s="205" customFormat="1" ht="18" customHeight="1" thickBot="1">
      <c r="A3" s="208" t="s">
        <v>85</v>
      </c>
      <c r="B3" s="209">
        <f>ROUND(B2*10000/'数据-汇总表'!E3,0)</f>
        <v>11256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759</v>
      </c>
      <c r="D9" s="952">
        <f>'数据-汇总表'!E5</f>
        <v>47461.850000000006</v>
      </c>
      <c r="E9" s="230">
        <f>'数据-取费表'!B27</f>
        <v>160</v>
      </c>
      <c r="F9" s="226"/>
      <c r="G9" s="231"/>
    </row>
    <row r="10" spans="1:7" s="219" customFormat="1" ht="13.5" customHeight="1">
      <c r="A10" s="885" t="s">
        <v>801</v>
      </c>
      <c r="B10" s="229" t="s">
        <v>94</v>
      </c>
      <c r="C10" s="230">
        <f>ROUND(D10*E10/10000,0)</f>
        <v>326</v>
      </c>
      <c r="D10" s="952">
        <f>'数据-汇总表'!E6</f>
        <v>16299.169999999991</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1275</v>
      </c>
      <c r="D19" s="956">
        <f>'数据-汇总表'!E3</f>
        <v>63761.02</v>
      </c>
      <c r="E19" s="216">
        <f>'数据-取费表'!B31</f>
        <v>200</v>
      </c>
      <c r="F19" s="236"/>
      <c r="G19" s="1" t="s">
        <v>1042</v>
      </c>
    </row>
    <row r="20" spans="1:7" s="219" customFormat="1" ht="13.5" customHeight="1">
      <c r="A20" s="883" t="s">
        <v>1025</v>
      </c>
      <c r="B20" s="215" t="s">
        <v>104</v>
      </c>
      <c r="C20" s="237">
        <f>ROUND((C5+C19)*F20,0)</f>
        <v>438</v>
      </c>
      <c r="D20" s="237"/>
      <c r="E20" s="237"/>
      <c r="F20" s="238">
        <f>'数据-取费表'!B37</f>
        <v>0.02</v>
      </c>
      <c r="G20" s="1196" t="s">
        <v>1036</v>
      </c>
    </row>
    <row r="21" spans="1:7" s="219" customFormat="1" ht="13.5" customHeight="1">
      <c r="A21" s="883" t="s">
        <v>1027</v>
      </c>
      <c r="B21" s="215" t="s">
        <v>105</v>
      </c>
      <c r="C21" s="240">
        <f>F21</f>
        <v>0</v>
      </c>
      <c r="D21" s="241" t="s">
        <v>126</v>
      </c>
      <c r="E21" s="237"/>
      <c r="F21" s="238">
        <f>'数据-取费表'!B38</f>
        <v>0</v>
      </c>
      <c r="G21" s="239" t="s">
        <v>106</v>
      </c>
    </row>
    <row r="22" spans="1:7" s="219" customFormat="1" ht="13.5" customHeight="1">
      <c r="A22" s="883" t="s">
        <v>786</v>
      </c>
      <c r="B22" s="215" t="s">
        <v>107</v>
      </c>
      <c r="C22" s="1232">
        <f>ROUND(SUM(C23:C25),0)</f>
        <v>2133</v>
      </c>
      <c r="D22" s="240">
        <f>C26</f>
        <v>0</v>
      </c>
      <c r="E22" s="241" t="s">
        <v>126</v>
      </c>
      <c r="F22" s="242">
        <f>'数据-取费表'!B40</f>
        <v>4.7500000000000001E-2</v>
      </c>
      <c r="G22" s="1196" t="str">
        <f>IF('数据-取费表'!B22&lt;=1,"单利计息","复利计息")</f>
        <v>复利计息</v>
      </c>
    </row>
    <row r="23" spans="1:7" s="219" customFormat="1" ht="13.5" customHeight="1">
      <c r="A23" s="886" t="s">
        <v>794</v>
      </c>
      <c r="B23" s="220" t="s">
        <v>1029</v>
      </c>
      <c r="C23" s="1233">
        <f>ROUND(IF('数据-取费表'!B22&lt;=1,C5*F22*'数据-取费表'!B23,C5*(POWER((1+F22),'数据-取费表'!B23)-1)),0)</f>
        <v>2004</v>
      </c>
      <c r="D23" s="243"/>
      <c r="E23" s="243"/>
      <c r="F23" s="244"/>
      <c r="G23" s="245" t="s">
        <v>108</v>
      </c>
    </row>
    <row r="24" spans="1:7" s="219" customFormat="1" ht="13.5" customHeight="1">
      <c r="A24" s="886" t="s">
        <v>792</v>
      </c>
      <c r="B24" s="220" t="s">
        <v>1024</v>
      </c>
      <c r="C24" s="1233">
        <f>ROUND(IF('数据-取费表'!B22&lt;=1,C19*F22*('数据-取费表'!B19/2+'数据-取费表'!B21),C19*(POWER((1+F22),('数据-取费表'!B19/2+'数据-取费表'!B21))-1)),0)</f>
        <v>108</v>
      </c>
      <c r="D24" s="243"/>
      <c r="E24" s="243"/>
      <c r="F24" s="244"/>
      <c r="G24" s="245" t="s">
        <v>109</v>
      </c>
    </row>
    <row r="25" spans="1:7" s="219" customFormat="1" ht="24">
      <c r="A25" s="886" t="s">
        <v>793</v>
      </c>
      <c r="B25" s="220" t="s">
        <v>1026</v>
      </c>
      <c r="C25" s="1233">
        <f>ROUND(IF('数据-取费表'!B22&lt;=1,C20*F22*'数据-取费表'!B23/2,C20*(POWER((1+F22),'数据-取费表'!B23/2)-1)),0)</f>
        <v>21</v>
      </c>
      <c r="D25" s="243"/>
      <c r="E25" s="246"/>
      <c r="F25" s="244"/>
      <c r="G25" s="247" t="s">
        <v>110</v>
      </c>
    </row>
    <row r="26" spans="1:7" s="219" customFormat="1">
      <c r="A26" s="886" t="s">
        <v>795</v>
      </c>
      <c r="B26" s="220" t="s">
        <v>1028</v>
      </c>
      <c r="C26" s="243">
        <f>ROUND(IF('数据-取费表'!B22&lt;=1,F21*F22*'数据-取费表'!B23/2,F21*(POWER((1+F22),'数据-取费表'!B23/2)-1)),4)</f>
        <v>0</v>
      </c>
      <c r="D26" s="243"/>
      <c r="E26" s="246"/>
      <c r="F26" s="244"/>
      <c r="G26" s="248"/>
    </row>
    <row r="27" spans="1:7" s="219" customFormat="1" ht="24.75">
      <c r="A27" s="883" t="s">
        <v>787</v>
      </c>
      <c r="B27" s="249" t="s">
        <v>112</v>
      </c>
      <c r="C27" s="250">
        <f>C28</f>
        <v>670</v>
      </c>
      <c r="D27" s="240">
        <f>C29</f>
        <v>0</v>
      </c>
      <c r="E27" s="241" t="s">
        <v>126</v>
      </c>
      <c r="F27" s="251">
        <f>'数据-取费表'!Q16</f>
        <v>0.03</v>
      </c>
      <c r="G27" s="252" t="s">
        <v>1037</v>
      </c>
    </row>
    <row r="28" spans="1:7" s="219" customFormat="1" ht="13.5" customHeight="1">
      <c r="A28" s="886" t="s">
        <v>794</v>
      </c>
      <c r="B28" s="253" t="s">
        <v>1030</v>
      </c>
      <c r="C28" s="254">
        <f>ROUND((C5+C19+C20)*F27*'数据-取费表'!B21/'数据-取费表'!B20,0)</f>
        <v>670</v>
      </c>
      <c r="D28" s="240"/>
      <c r="E28" s="241"/>
      <c r="F28" s="251"/>
      <c r="G28" s="252"/>
    </row>
    <row r="29" spans="1:7" s="219" customFormat="1" ht="13.5" customHeight="1">
      <c r="A29" s="886" t="s">
        <v>792</v>
      </c>
      <c r="B29" s="253" t="s">
        <v>1031</v>
      </c>
      <c r="C29" s="243">
        <f>ROUND(C21*F27*'数据-取费表'!B21/'数据-取费表'!B20,4)</f>
        <v>0</v>
      </c>
      <c r="D29" s="240"/>
      <c r="E29" s="241"/>
      <c r="F29" s="251"/>
      <c r="G29" s="252"/>
    </row>
    <row r="30" spans="1:7" s="219" customFormat="1" ht="13.5" customHeight="1">
      <c r="A30" s="883" t="s">
        <v>788</v>
      </c>
      <c r="B30" s="215" t="s">
        <v>58</v>
      </c>
      <c r="C30" s="240">
        <f>F30</f>
        <v>0</v>
      </c>
      <c r="D30" s="241" t="s">
        <v>127</v>
      </c>
      <c r="E30" s="246"/>
      <c r="F30" s="242">
        <f>'数据-取费表'!B41</f>
        <v>0</v>
      </c>
      <c r="G30" s="239" t="s">
        <v>113</v>
      </c>
    </row>
    <row r="31" spans="1:7" ht="16.5" customHeight="1">
      <c r="A31" s="214">
        <v>1</v>
      </c>
      <c r="B31" s="215" t="s">
        <v>128</v>
      </c>
      <c r="C31" s="216">
        <f>ROUND((C5+C19+C20+C22+C27)/(1-C21-D22-D27-C30/(1+'数据-取费表'!B42)),0)</f>
        <v>25126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42920</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34182</v>
      </c>
      <c r="D34" s="222"/>
      <c r="E34" s="225"/>
      <c r="F34" s="262">
        <f>IF('数据-取费表'!B24=0,1,'数据-取费表'!N16)</f>
        <v>1</v>
      </c>
      <c r="G34" s="224" t="s">
        <v>116</v>
      </c>
    </row>
    <row r="35" spans="1:7" ht="13.5" customHeight="1">
      <c r="A35" s="886" t="s">
        <v>796</v>
      </c>
      <c r="B35" s="220" t="s">
        <v>60</v>
      </c>
      <c r="C35" s="225">
        <f>ROUND(C34*F35,0)</f>
        <v>4102</v>
      </c>
      <c r="D35" s="225"/>
      <c r="E35" s="225"/>
      <c r="F35" s="264">
        <f>'数据-取费表'!B33</f>
        <v>0.12</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2848</v>
      </c>
      <c r="D36" s="225"/>
      <c r="E36" s="225"/>
      <c r="F36" s="264">
        <f>'数据-取费表'!B34</f>
        <v>0.1</v>
      </c>
      <c r="G36" s="265" t="s">
        <v>62</v>
      </c>
    </row>
    <row r="37" spans="1:7" s="263" customFormat="1" ht="13.5" customHeight="1">
      <c r="A37" s="886" t="s">
        <v>798</v>
      </c>
      <c r="B37" s="220" t="s">
        <v>118</v>
      </c>
      <c r="C37" s="254">
        <f>ROUND(E37*D37*F34/10000,0)</f>
        <v>1275</v>
      </c>
      <c r="D37" s="222">
        <f>'数据-汇总表'!E3</f>
        <v>63761.02</v>
      </c>
      <c r="E37" s="254">
        <f>'数据-取费表'!B35</f>
        <v>200</v>
      </c>
      <c r="F37" s="264"/>
      <c r="G37" s="266" t="s">
        <v>119</v>
      </c>
    </row>
    <row r="38" spans="1:7" ht="13.5" customHeight="1">
      <c r="A38" s="886" t="s">
        <v>799</v>
      </c>
      <c r="B38" s="220" t="s">
        <v>63</v>
      </c>
      <c r="C38" s="225">
        <f>ROUND(C34*F38,0)</f>
        <v>513</v>
      </c>
      <c r="D38" s="225"/>
      <c r="E38" s="225"/>
      <c r="F38" s="264">
        <f>'数据-取费表'!B36</f>
        <v>1.4999999999999999E-2</v>
      </c>
      <c r="G38" s="224" t="s">
        <v>117</v>
      </c>
    </row>
    <row r="39" spans="1:7" s="219" customFormat="1" ht="13.5" customHeight="1">
      <c r="A39" s="883" t="s">
        <v>783</v>
      </c>
      <c r="B39" s="215" t="s">
        <v>104</v>
      </c>
      <c r="C39" s="237">
        <f>ROUND(C33*F20,0)</f>
        <v>858</v>
      </c>
      <c r="D39" s="237"/>
      <c r="E39" s="237"/>
      <c r="F39" s="238"/>
      <c r="G39" s="1196" t="s">
        <v>1039</v>
      </c>
    </row>
    <row r="40" spans="1:7" s="219" customFormat="1" ht="13.5" customHeight="1">
      <c r="A40" s="883" t="s">
        <v>784</v>
      </c>
      <c r="B40" s="215" t="s">
        <v>105</v>
      </c>
      <c r="C40" s="267">
        <f>F21</f>
        <v>0</v>
      </c>
      <c r="D40" s="241" t="s">
        <v>129</v>
      </c>
      <c r="E40" s="237"/>
      <c r="F40" s="238"/>
      <c r="G40" s="239" t="s">
        <v>120</v>
      </c>
    </row>
    <row r="41" spans="1:7" s="219" customFormat="1" ht="13.5" customHeight="1">
      <c r="A41" s="883" t="s">
        <v>785</v>
      </c>
      <c r="B41" s="215" t="s">
        <v>107</v>
      </c>
      <c r="C41" s="237">
        <f>ROUND(SUM(C42:C43),0)</f>
        <v>1550</v>
      </c>
      <c r="D41" s="240">
        <f>C44</f>
        <v>0</v>
      </c>
      <c r="E41" s="241" t="s">
        <v>129</v>
      </c>
      <c r="F41" s="242"/>
      <c r="G41" s="1196" t="str">
        <f>IF('数据-取费表'!B22&lt;=1,"单利计息","复利计息")</f>
        <v>复利计息</v>
      </c>
    </row>
    <row r="42" spans="1:7" ht="13.5" customHeight="1">
      <c r="A42" s="886" t="s">
        <v>794</v>
      </c>
      <c r="B42" s="220" t="s">
        <v>1029</v>
      </c>
      <c r="C42" s="243">
        <f>ROUND(IF('数据-取费表'!B22&lt;=1,C33*F22*'数据-取费表'!B21/2,C33*(POWER((1+F22),'数据-取费表'!B21/2)-1)),0)</f>
        <v>1520</v>
      </c>
      <c r="D42" s="243"/>
      <c r="E42" s="243"/>
      <c r="F42" s="244"/>
      <c r="G42" s="3514" t="s">
        <v>121</v>
      </c>
    </row>
    <row r="43" spans="1:7" ht="13.5" customHeight="1">
      <c r="A43" s="886" t="s">
        <v>792</v>
      </c>
      <c r="B43" s="220" t="s">
        <v>1032</v>
      </c>
      <c r="C43" s="243">
        <f>ROUND(IF('数据-取费表'!B22&lt;=1,C39*F22*'数据-取费表'!B21/2,C39*(POWER((1+F22),'数据-取费表'!B21/2)-1)),0)</f>
        <v>30</v>
      </c>
      <c r="D43" s="243"/>
      <c r="E43" s="243"/>
      <c r="F43" s="244"/>
      <c r="G43" s="3515"/>
    </row>
    <row r="44" spans="1:7" ht="13.5" customHeight="1">
      <c r="A44" s="886" t="s">
        <v>793</v>
      </c>
      <c r="B44" s="220" t="s">
        <v>1034</v>
      </c>
      <c r="C44" s="243">
        <f>ROUND(IF('数据-取费表'!B22&lt;=1,C40*F22*'数据-取费表'!B21/2,C40*(POWER((1+F22),'数据-取费表'!B21/2)-1)),4)</f>
        <v>0</v>
      </c>
      <c r="D44" s="243"/>
      <c r="E44" s="243"/>
      <c r="F44" s="244"/>
      <c r="G44" s="3516"/>
    </row>
    <row r="45" spans="1:7" s="219" customFormat="1" ht="13.5" customHeight="1">
      <c r="A45" s="883" t="s">
        <v>786</v>
      </c>
      <c r="B45" s="249" t="s">
        <v>112</v>
      </c>
      <c r="C45" s="250">
        <f>C46</f>
        <v>1313</v>
      </c>
      <c r="D45" s="240">
        <f>C47</f>
        <v>0</v>
      </c>
      <c r="E45" s="241" t="s">
        <v>129</v>
      </c>
      <c r="F45" s="251"/>
      <c r="G45" s="252" t="s">
        <v>1040</v>
      </c>
    </row>
    <row r="46" spans="1:7" s="219" customFormat="1" ht="13.5" customHeight="1">
      <c r="A46" s="886" t="s">
        <v>794</v>
      </c>
      <c r="B46" s="253" t="s">
        <v>1033</v>
      </c>
      <c r="C46" s="254">
        <f>ROUND((C33+C39)*F27,0)</f>
        <v>1313</v>
      </c>
      <c r="D46" s="268"/>
      <c r="E46" s="241"/>
      <c r="F46" s="251"/>
      <c r="G46" s="252"/>
    </row>
    <row r="47" spans="1:7" s="219" customFormat="1" ht="13.5" customHeight="1">
      <c r="A47" s="886" t="s">
        <v>792</v>
      </c>
      <c r="B47" s="253" t="s">
        <v>1035</v>
      </c>
      <c r="C47" s="243">
        <f>ROUND(C40*F27,4)</f>
        <v>0</v>
      </c>
      <c r="D47" s="268"/>
      <c r="E47" s="241"/>
      <c r="F47" s="251"/>
      <c r="G47" s="252"/>
    </row>
    <row r="48" spans="1:7" s="219" customFormat="1" ht="13.5" customHeight="1">
      <c r="A48" s="883" t="s">
        <v>787</v>
      </c>
      <c r="B48" s="215" t="s">
        <v>122</v>
      </c>
      <c r="C48" s="267">
        <f>F30</f>
        <v>0</v>
      </c>
      <c r="D48" s="241" t="s">
        <v>130</v>
      </c>
      <c r="E48" s="237"/>
      <c r="F48" s="242"/>
      <c r="G48" s="239" t="s">
        <v>123</v>
      </c>
    </row>
    <row r="49" spans="1:7" ht="16.5" customHeight="1">
      <c r="A49" s="883" t="s">
        <v>788</v>
      </c>
      <c r="B49" s="215" t="s">
        <v>131</v>
      </c>
      <c r="C49" s="237">
        <f>ROUND((C33+C39+C41+C45)/(1-C40-D41-D45-C48/(1+'数据-取费表'!B42)),0)</f>
        <v>46641</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ROUND(C49*F50,0)</f>
        <v>46641</v>
      </c>
      <c r="D51" s="237"/>
      <c r="E51" s="237"/>
      <c r="F51" s="269"/>
      <c r="G51" s="239" t="s">
        <v>64</v>
      </c>
    </row>
    <row r="52" spans="1:7" s="213" customFormat="1" ht="16.5" thickBot="1">
      <c r="A52" s="270" t="s">
        <v>65</v>
      </c>
      <c r="B52" s="271"/>
      <c r="C52" s="272">
        <f>C31+C51</f>
        <v>71767</v>
      </c>
      <c r="D52" s="271"/>
      <c r="E52" s="271"/>
      <c r="F52" s="271"/>
      <c r="G52" s="273"/>
    </row>
    <row r="55" spans="1:7" ht="15">
      <c r="B55" s="275" t="s">
        <v>66</v>
      </c>
      <c r="C55" s="276"/>
    </row>
    <row r="56" spans="1:7">
      <c r="B56" s="278" t="s">
        <v>67</v>
      </c>
      <c r="C56" s="279">
        <f>ROUND(C51/C52,3)</f>
        <v>0.65</v>
      </c>
    </row>
    <row r="57" spans="1:7">
      <c r="B57" s="278" t="s">
        <v>68</v>
      </c>
      <c r="C57" s="280">
        <f>1-C56</f>
        <v>0.35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625" t="s">
        <v>156</v>
      </c>
      <c r="B1" s="3625"/>
      <c r="C1" s="3625"/>
      <c r="D1" s="3625"/>
      <c r="E1" s="3625"/>
      <c r="F1" s="362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626" t="s">
        <v>169</v>
      </c>
      <c r="B2" s="3626"/>
      <c r="C2" s="3626"/>
      <c r="D2" s="3626"/>
      <c r="E2" s="3626"/>
      <c r="F2" s="362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2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62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1526</v>
      </c>
      <c r="B1" s="1642"/>
      <c r="C1" s="1642"/>
      <c r="D1" s="1642"/>
      <c r="E1" s="1642"/>
    </row>
    <row r="2" spans="1:5" ht="78" customHeight="1">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64"/>
      <c r="C2" s="3364"/>
      <c r="D2" s="3364"/>
      <c r="E2" s="3364"/>
    </row>
    <row r="3" spans="1:5" ht="18">
      <c r="A3" s="3365" t="str">
        <f>IF(项目基本情况!B9="房地产市场价值","估价结果一览表（市场价值不需“结果表-1”）","估价结果一览表")</f>
        <v>估价结果一览表（市场价值不需“结果表-1”）</v>
      </c>
      <c r="B3" s="3365"/>
      <c r="C3" s="3365"/>
      <c r="D3" s="3365"/>
      <c r="E3" s="3365"/>
    </row>
    <row r="4" spans="1:5" ht="19.5" thickBot="1">
      <c r="A4" s="1644"/>
      <c r="B4" s="3363" t="s">
        <v>1535</v>
      </c>
      <c r="C4" s="3363"/>
      <c r="D4" s="3363"/>
      <c r="E4" s="1644"/>
    </row>
    <row r="5" spans="1:5" ht="16.5" thickTop="1">
      <c r="A5" s="1642"/>
      <c r="B5" s="3361" t="s">
        <v>1527</v>
      </c>
      <c r="C5" s="1645" t="s">
        <v>1528</v>
      </c>
      <c r="D5" s="957" t="e">
        <f ca="1">结果表!H101</f>
        <v>#REF!</v>
      </c>
      <c r="E5" s="1642"/>
    </row>
    <row r="6" spans="1:5" ht="15.75">
      <c r="A6" s="1642"/>
      <c r="B6" s="3361"/>
      <c r="C6" s="1645" t="s">
        <v>1529</v>
      </c>
      <c r="D6" s="957" t="e">
        <f ca="1">NUMBERSTRING(INT(D5*10000),2)&amp;"元整"</f>
        <v>#REF!</v>
      </c>
      <c r="E6" s="1642"/>
    </row>
    <row r="7" spans="1:5" ht="15.75">
      <c r="A7" s="1642"/>
      <c r="B7" s="3366"/>
      <c r="C7" s="1646" t="s">
        <v>1530</v>
      </c>
      <c r="D7" s="958" t="e">
        <f ca="1">结果表!H102</f>
        <v>#REF!</v>
      </c>
      <c r="E7" s="1642"/>
    </row>
    <row r="8" spans="1:5" ht="15.75">
      <c r="A8" s="1642"/>
      <c r="B8" s="3367" t="str">
        <f>结果表!E103</f>
        <v>2.估价师知悉的法定优先受偿款</v>
      </c>
      <c r="C8" s="1647" t="s">
        <v>1531</v>
      </c>
      <c r="D8" s="958">
        <f>结果表!H103</f>
        <v>0</v>
      </c>
      <c r="E8" s="1642"/>
    </row>
    <row r="9" spans="1:5" ht="15.75">
      <c r="A9" s="1642"/>
      <c r="B9" s="3369"/>
      <c r="C9" s="1645" t="s">
        <v>1529</v>
      </c>
      <c r="D9" s="957" t="str">
        <f>NUMBERSTRING(INT(D8*10000),2)&amp;"元整"</f>
        <v>零元整</v>
      </c>
      <c r="E9" s="1642"/>
    </row>
    <row r="10" spans="1:5" ht="15">
      <c r="A10" s="1642"/>
      <c r="B10" s="1648" t="s">
        <v>1534</v>
      </c>
      <c r="C10" s="1649" t="s">
        <v>1532</v>
      </c>
      <c r="D10" s="959">
        <f>结果表!H104</f>
        <v>0</v>
      </c>
      <c r="E10" s="1642"/>
    </row>
    <row r="11" spans="1:5" ht="15">
      <c r="A11" s="1642"/>
      <c r="B11" s="1648" t="s">
        <v>1536</v>
      </c>
      <c r="C11" s="1649" t="s">
        <v>1537</v>
      </c>
      <c r="D11" s="959">
        <f>结果表!H105</f>
        <v>0</v>
      </c>
      <c r="E11" s="1642"/>
    </row>
    <row r="12" spans="1:5" ht="15">
      <c r="A12" s="1642"/>
      <c r="B12" s="1648" t="s">
        <v>1538</v>
      </c>
      <c r="C12" s="1649" t="s">
        <v>1537</v>
      </c>
      <c r="D12" s="959">
        <f>结果表!H106</f>
        <v>0</v>
      </c>
      <c r="E12" s="1642"/>
    </row>
    <row r="13" spans="1:5" ht="15.75">
      <c r="A13" s="1642"/>
      <c r="B13" s="3360" t="str">
        <f>结果表!E107</f>
        <v>3.房地产抵押价值</v>
      </c>
      <c r="C13" s="1650" t="s">
        <v>1528</v>
      </c>
      <c r="D13" s="960" t="e">
        <f ca="1">结果表!H107</f>
        <v>#REF!</v>
      </c>
      <c r="E13" s="1642"/>
    </row>
    <row r="14" spans="1:5" ht="15.75">
      <c r="A14" s="1642"/>
      <c r="B14" s="3361"/>
      <c r="C14" s="1645" t="s">
        <v>1529</v>
      </c>
      <c r="D14" s="957" t="e">
        <f ca="1">NUMBERSTRING(INT(D13*10000),2)&amp;"元整"</f>
        <v>#REF!</v>
      </c>
      <c r="E14" s="1642"/>
    </row>
    <row r="15" spans="1:5" ht="15">
      <c r="A15" s="1642"/>
      <c r="B15" s="3366"/>
      <c r="C15" s="1646" t="s">
        <v>1539</v>
      </c>
      <c r="D15" s="966" t="e">
        <f ca="1">结果表!H108</f>
        <v>#REF!</v>
      </c>
      <c r="E15" s="1642"/>
    </row>
    <row r="16" spans="1:5" ht="15">
      <c r="A16" s="1642"/>
      <c r="B16" s="3367" t="str">
        <f>结果表!E109</f>
        <v>——</v>
      </c>
      <c r="C16" s="1650" t="s">
        <v>1540</v>
      </c>
      <c r="D16" s="1651" t="str">
        <f>结果表!H109</f>
        <v>——</v>
      </c>
      <c r="E16" s="1642"/>
    </row>
    <row r="17" spans="1:5" ht="15.75">
      <c r="A17" s="1642"/>
      <c r="B17" s="3368"/>
      <c r="C17" s="1645" t="s">
        <v>1541</v>
      </c>
      <c r="D17" s="957" t="e">
        <f>NUMBERSTRING(INT(D16*10000),2)&amp;"元整"</f>
        <v>#VALUE!</v>
      </c>
      <c r="E17" s="1642"/>
    </row>
    <row r="18" spans="1:5" ht="15">
      <c r="A18" s="1642"/>
      <c r="B18" s="3369"/>
      <c r="C18" s="1646" t="s">
        <v>1530</v>
      </c>
      <c r="D18" s="966" t="str">
        <f>结果表!H110</f>
        <v>——</v>
      </c>
      <c r="E18" s="1642"/>
    </row>
    <row r="19" spans="1:5" ht="15.75">
      <c r="A19" s="1642"/>
      <c r="B19" s="3360" t="str">
        <f>结果表!E111</f>
        <v>——</v>
      </c>
      <c r="C19" s="1650" t="s">
        <v>1528</v>
      </c>
      <c r="D19" s="958" t="str">
        <f>结果表!H111</f>
        <v>——</v>
      </c>
      <c r="E19" s="1642"/>
    </row>
    <row r="20" spans="1:5" ht="15.75">
      <c r="A20" s="1642"/>
      <c r="B20" s="3361"/>
      <c r="C20" s="1645" t="s">
        <v>1541</v>
      </c>
      <c r="D20" s="957" t="e">
        <f>NUMBERSTRING(INT(D19*10000),2)&amp;"元整"</f>
        <v>#VALUE!</v>
      </c>
      <c r="E20" s="1642"/>
    </row>
    <row r="21" spans="1:5" ht="15.75" thickBot="1">
      <c r="A21" s="1642"/>
      <c r="B21" s="3362"/>
      <c r="C21" s="1652" t="s">
        <v>1539</v>
      </c>
      <c r="D21" s="967" t="str">
        <f>结果表!H112</f>
        <v>——</v>
      </c>
      <c r="E21" s="1642"/>
    </row>
    <row r="22" spans="1:5" ht="15" thickTop="1">
      <c r="A22" s="1642"/>
      <c r="B22" s="1653" t="s">
        <v>1542</v>
      </c>
      <c r="C22" s="1642"/>
      <c r="D22" s="1642"/>
      <c r="E22" s="1642"/>
    </row>
    <row r="23" spans="1:5">
      <c r="A23" s="1642"/>
      <c r="B23" s="1642"/>
      <c r="C23" s="1642"/>
      <c r="D23" s="1642"/>
      <c r="E23" s="1642"/>
    </row>
    <row r="24" spans="1:5" ht="18.75">
      <c r="A24" s="1654"/>
      <c r="B24" s="1655" t="s">
        <v>1533</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625" t="s">
        <v>839</v>
      </c>
      <c r="B1" s="362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44617</v>
      </c>
      <c r="D1" s="1438" t="s">
        <v>1209</v>
      </c>
      <c r="E1" s="1433">
        <f>'数据-取费表'!B22</f>
        <v>2</v>
      </c>
      <c r="F1" s="1438" t="s">
        <v>1210</v>
      </c>
      <c r="G1" s="1434">
        <f ca="1">INDIRECT("d"&amp;$K$1)/100</f>
        <v>3.7000000000000005E-2</v>
      </c>
      <c r="H1" s="1438" t="s">
        <v>1240</v>
      </c>
      <c r="I1" s="1434">
        <f ca="1">F4/100</f>
        <v>1.4999999999999999E-2</v>
      </c>
      <c r="J1" s="1439">
        <f>IF(C1&gt;C13,0,MATCH(C1,C$13:C$107,-1))+IF(SUMIF(C13:C107,C1,D13:D107)=0,13,12)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7">
        <v>44581</v>
      </c>
      <c r="D13" s="3018">
        <v>3.7</v>
      </c>
      <c r="E13" s="3018">
        <f>D13</f>
        <v>3.7</v>
      </c>
      <c r="F13" s="3018">
        <f>D13</f>
        <v>3.7</v>
      </c>
      <c r="G13" s="3018">
        <f>D13</f>
        <v>3.7</v>
      </c>
      <c r="H13" s="3018">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3"/>
      <c r="C14" s="3014">
        <v>44550</v>
      </c>
      <c r="D14" s="3013">
        <v>3.8</v>
      </c>
      <c r="E14" s="3013">
        <f>D14</f>
        <v>3.8</v>
      </c>
      <c r="F14" s="3013">
        <f>D14</f>
        <v>3.8</v>
      </c>
      <c r="G14" s="3013">
        <f>D14</f>
        <v>3.8</v>
      </c>
      <c r="H14" s="3013">
        <v>4.6500000000000004</v>
      </c>
      <c r="I14" s="3013"/>
      <c r="J14" s="3018"/>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3"/>
      <c r="C15" s="3014">
        <v>43941</v>
      </c>
      <c r="D15" s="3013">
        <v>3.85</v>
      </c>
      <c r="E15" s="3013">
        <v>3.85</v>
      </c>
      <c r="F15" s="3013">
        <v>3.85</v>
      </c>
      <c r="G15" s="3013">
        <v>3.85</v>
      </c>
      <c r="H15" s="3013">
        <v>4.6500000000000004</v>
      </c>
      <c r="I15" s="3013"/>
      <c r="J15" s="3013"/>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3"/>
      <c r="C16" s="3014">
        <v>43881</v>
      </c>
      <c r="D16" s="3013">
        <v>4.05</v>
      </c>
      <c r="E16" s="3013">
        <v>4.05</v>
      </c>
      <c r="F16" s="3013">
        <v>4.05</v>
      </c>
      <c r="G16" s="3013">
        <v>4.05</v>
      </c>
      <c r="H16" s="3013">
        <v>4.75</v>
      </c>
      <c r="I16" s="3013"/>
      <c r="J16" s="3013"/>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3"/>
      <c r="C17" s="3014">
        <v>43789</v>
      </c>
      <c r="D17" s="3013">
        <v>4.1500000000000004</v>
      </c>
      <c r="E17" s="3013">
        <v>4.1500000000000004</v>
      </c>
      <c r="F17" s="3013">
        <v>4.1500000000000004</v>
      </c>
      <c r="G17" s="3013">
        <v>4.1500000000000004</v>
      </c>
      <c r="H17" s="3013">
        <v>4.8</v>
      </c>
      <c r="I17" s="3013"/>
      <c r="J17" s="3013"/>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0"/>
      <c r="B19" s="3012" t="s">
        <v>2999</v>
      </c>
      <c r="C19" s="3015">
        <v>43697</v>
      </c>
      <c r="D19" s="3016">
        <v>4.25</v>
      </c>
      <c r="E19" s="3016">
        <v>4.25</v>
      </c>
      <c r="F19" s="3016">
        <v>4.25</v>
      </c>
      <c r="G19" s="3016">
        <v>4.25</v>
      </c>
      <c r="H19" s="3016">
        <v>4.8499999999999996</v>
      </c>
      <c r="I19" s="3016"/>
      <c r="J19" s="3016"/>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3019"/>
      <c r="B20" s="3020"/>
      <c r="C20" s="3021">
        <v>42301</v>
      </c>
      <c r="D20" s="3022">
        <v>4.3499999999999996</v>
      </c>
      <c r="E20" s="3022">
        <v>4.3499999999999996</v>
      </c>
      <c r="F20" s="3022">
        <v>4.75</v>
      </c>
      <c r="G20" s="3022">
        <v>4.75</v>
      </c>
      <c r="H20" s="3022">
        <v>4.9000000000000004</v>
      </c>
      <c r="I20" s="3022"/>
      <c r="J20" s="3022"/>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9A87-42A3-42F4-BD6C-BE2B3BBAA2F7}">
  <dimension ref="A1:R56"/>
  <sheetViews>
    <sheetView workbookViewId="0">
      <selection activeCell="J28" sqref="J28"/>
    </sheetView>
  </sheetViews>
  <sheetFormatPr defaultColWidth="9" defaultRowHeight="13.5"/>
  <cols>
    <col min="1" max="1" width="2.25" style="3222" customWidth="1"/>
    <col min="2" max="2" width="6.125" style="3222" customWidth="1"/>
    <col min="3" max="3" width="6.375" style="3222" customWidth="1"/>
    <col min="4" max="4" width="0" style="3222" hidden="1" customWidth="1"/>
    <col min="5" max="5" width="6.5" style="3222" customWidth="1"/>
    <col min="6" max="6" width="6.875" style="3222" customWidth="1"/>
    <col min="7" max="7" width="15.125" style="3222" customWidth="1"/>
    <col min="8" max="8" width="8.75" style="3222" customWidth="1"/>
    <col min="9" max="9" width="4.375" style="3222" customWidth="1"/>
    <col min="10" max="10" width="9" style="3222"/>
    <col min="11" max="11" width="19.375" style="3222" customWidth="1"/>
    <col min="12" max="12" width="8.25" style="3222" customWidth="1"/>
    <col min="13" max="13" width="12.875" style="3222" customWidth="1"/>
    <col min="14" max="14" width="13" style="3222" customWidth="1"/>
    <col min="15" max="15" width="0" style="3222" hidden="1" customWidth="1"/>
    <col min="16" max="16" width="9.75" style="3222" customWidth="1"/>
    <col min="17" max="18" width="11.375" style="3222" customWidth="1"/>
    <col min="19" max="19" width="9" style="3222"/>
    <col min="20" max="20" width="12.75" style="3222" bestFit="1" customWidth="1"/>
    <col min="21" max="16384" width="9" style="3222"/>
  </cols>
  <sheetData>
    <row r="1" spans="2:18" ht="17.25">
      <c r="B1" s="3631" t="s">
        <v>3191</v>
      </c>
      <c r="C1" s="3632"/>
      <c r="D1" s="3632"/>
      <c r="E1" s="3632"/>
      <c r="F1" s="3632"/>
      <c r="G1" s="3632"/>
      <c r="H1" s="3632"/>
      <c r="I1" s="3632"/>
      <c r="J1" s="3632"/>
      <c r="K1" s="3632"/>
      <c r="L1" s="3632"/>
      <c r="M1" s="3632"/>
      <c r="N1" s="3632"/>
      <c r="O1" s="3229" t="s">
        <v>3192</v>
      </c>
      <c r="P1" s="3229"/>
    </row>
    <row r="2" spans="2:18">
      <c r="B2" s="3629" t="s">
        <v>3193</v>
      </c>
      <c r="C2" s="3629" t="s">
        <v>3194</v>
      </c>
      <c r="D2" s="3629" t="s">
        <v>3195</v>
      </c>
      <c r="E2" s="3633" t="s">
        <v>609</v>
      </c>
      <c r="F2" s="3633" t="s">
        <v>3196</v>
      </c>
      <c r="G2" s="3629" t="s">
        <v>3197</v>
      </c>
      <c r="H2" s="3629" t="s">
        <v>3198</v>
      </c>
      <c r="I2" s="3629" t="s">
        <v>3199</v>
      </c>
      <c r="J2" s="3629" t="s">
        <v>3200</v>
      </c>
      <c r="K2" s="3629" t="s">
        <v>3201</v>
      </c>
      <c r="L2" s="3630" t="s">
        <v>3202</v>
      </c>
      <c r="M2" s="3630" t="s">
        <v>3203</v>
      </c>
      <c r="N2" s="3630"/>
      <c r="O2" s="3229"/>
      <c r="P2" s="3229"/>
    </row>
    <row r="3" spans="2:18" ht="22.5">
      <c r="B3" s="3629"/>
      <c r="C3" s="3629"/>
      <c r="D3" s="3629"/>
      <c r="E3" s="3633"/>
      <c r="F3" s="3633"/>
      <c r="G3" s="3629"/>
      <c r="H3" s="3629"/>
      <c r="I3" s="3629"/>
      <c r="J3" s="3629"/>
      <c r="K3" s="3629"/>
      <c r="L3" s="3630"/>
      <c r="M3" s="3230" t="s">
        <v>3204</v>
      </c>
      <c r="N3" s="3230" t="s">
        <v>3205</v>
      </c>
      <c r="O3" s="3229" t="s">
        <v>3206</v>
      </c>
      <c r="P3" s="3229" t="s">
        <v>3207</v>
      </c>
      <c r="R3" s="3222" t="s">
        <v>3399</v>
      </c>
    </row>
    <row r="4" spans="2:18" ht="96" hidden="1">
      <c r="B4" s="3231">
        <v>2016</v>
      </c>
      <c r="C4" s="3224" t="s">
        <v>3208</v>
      </c>
      <c r="D4" s="3224" t="s">
        <v>3209</v>
      </c>
      <c r="E4" s="3220" t="s">
        <v>3210</v>
      </c>
      <c r="F4" s="3220" t="s">
        <v>3211</v>
      </c>
      <c r="G4" s="3232" t="s">
        <v>3212</v>
      </c>
      <c r="H4" s="3220" t="s">
        <v>3213</v>
      </c>
      <c r="I4" s="3220" t="s">
        <v>3214</v>
      </c>
      <c r="J4" s="3220" t="s">
        <v>185</v>
      </c>
      <c r="K4" s="3220" t="s">
        <v>3215</v>
      </c>
      <c r="L4" s="3233">
        <v>16.73</v>
      </c>
      <c r="M4" s="3220">
        <v>15586.51</v>
      </c>
      <c r="N4" s="3220">
        <v>24154.36</v>
      </c>
      <c r="O4" s="3221"/>
      <c r="P4" s="3221">
        <f>ROUND((N4+M4)/L4,2)</f>
        <v>2375.4299999999998</v>
      </c>
    </row>
    <row r="5" spans="2:18" ht="96" hidden="1">
      <c r="B5" s="3231">
        <v>2016</v>
      </c>
      <c r="C5" s="3224" t="s">
        <v>3208</v>
      </c>
      <c r="D5" s="3224" t="s">
        <v>3209</v>
      </c>
      <c r="E5" s="3220" t="s">
        <v>3210</v>
      </c>
      <c r="F5" s="3220" t="s">
        <v>3211</v>
      </c>
      <c r="G5" s="3232" t="s">
        <v>3216</v>
      </c>
      <c r="H5" s="3220" t="s">
        <v>3213</v>
      </c>
      <c r="I5" s="3220" t="s">
        <v>3214</v>
      </c>
      <c r="J5" s="3220" t="s">
        <v>3217</v>
      </c>
      <c r="K5" s="3220" t="s">
        <v>3215</v>
      </c>
      <c r="L5" s="3217">
        <v>39.770000000000003</v>
      </c>
      <c r="M5" s="3220">
        <v>17716.41</v>
      </c>
      <c r="N5" s="3220">
        <v>2390.64</v>
      </c>
      <c r="O5" s="3221"/>
      <c r="P5" s="3221">
        <f t="shared" ref="P5:P32" si="0">ROUND((N5+M5)/L5,2)</f>
        <v>505.58</v>
      </c>
    </row>
    <row r="6" spans="2:18" ht="144" hidden="1">
      <c r="B6" s="3231">
        <v>2016</v>
      </c>
      <c r="C6" s="3224" t="s">
        <v>3208</v>
      </c>
      <c r="D6" s="3224" t="s">
        <v>3209</v>
      </c>
      <c r="E6" s="3220" t="s">
        <v>3210</v>
      </c>
      <c r="F6" s="3234" t="s">
        <v>3218</v>
      </c>
      <c r="G6" s="3232" t="s">
        <v>3219</v>
      </c>
      <c r="H6" s="3234" t="s">
        <v>3220</v>
      </c>
      <c r="I6" s="3234" t="s">
        <v>3214</v>
      </c>
      <c r="J6" s="3234" t="s">
        <v>3221</v>
      </c>
      <c r="K6" s="3220" t="s">
        <v>3222</v>
      </c>
      <c r="L6" s="3217">
        <v>663.6</v>
      </c>
      <c r="M6" s="3220">
        <v>191909.86</v>
      </c>
      <c r="N6" s="3220">
        <v>204137.8</v>
      </c>
      <c r="O6" s="3221"/>
      <c r="P6" s="3221">
        <f t="shared" si="0"/>
        <v>596.82000000000005</v>
      </c>
    </row>
    <row r="7" spans="2:18" ht="120" hidden="1">
      <c r="B7" s="3231">
        <v>2016</v>
      </c>
      <c r="C7" s="3224" t="s">
        <v>3223</v>
      </c>
      <c r="D7" s="3224" t="s">
        <v>3224</v>
      </c>
      <c r="E7" s="3235" t="s">
        <v>3210</v>
      </c>
      <c r="F7" s="3235" t="s">
        <v>3218</v>
      </c>
      <c r="G7" s="3232" t="s">
        <v>3225</v>
      </c>
      <c r="H7" s="3236" t="s">
        <v>3226</v>
      </c>
      <c r="I7" s="3235" t="s">
        <v>3227</v>
      </c>
      <c r="J7" s="3235" t="s">
        <v>3228</v>
      </c>
      <c r="K7" s="3235" t="s">
        <v>3229</v>
      </c>
      <c r="L7" s="3217">
        <v>129.57</v>
      </c>
      <c r="M7" s="3220">
        <v>122822.85</v>
      </c>
      <c r="N7" s="3220">
        <v>403475</v>
      </c>
      <c r="O7" s="3221"/>
      <c r="P7" s="3221">
        <f t="shared" si="0"/>
        <v>4061.88</v>
      </c>
    </row>
    <row r="8" spans="2:18" ht="120" hidden="1">
      <c r="B8" s="3231">
        <v>2017</v>
      </c>
      <c r="C8" s="3225" t="s">
        <v>3230</v>
      </c>
      <c r="D8" s="3225" t="s">
        <v>3231</v>
      </c>
      <c r="E8" s="3235" t="s">
        <v>3210</v>
      </c>
      <c r="F8" s="3235" t="s">
        <v>3218</v>
      </c>
      <c r="G8" s="3232" t="s">
        <v>3232</v>
      </c>
      <c r="H8" s="3236" t="s">
        <v>3226</v>
      </c>
      <c r="I8" s="3235" t="s">
        <v>3227</v>
      </c>
      <c r="J8" s="3235" t="s">
        <v>3233</v>
      </c>
      <c r="K8" s="3234" t="s">
        <v>3234</v>
      </c>
      <c r="L8" s="3217">
        <v>34.26</v>
      </c>
      <c r="M8" s="3220">
        <v>38931.19</v>
      </c>
      <c r="N8" s="3220">
        <v>64775.53</v>
      </c>
      <c r="O8" s="3227"/>
      <c r="P8" s="3221">
        <f t="shared" si="0"/>
        <v>3027.05</v>
      </c>
    </row>
    <row r="9" spans="2:18" ht="120" hidden="1">
      <c r="B9" s="3231">
        <v>2017</v>
      </c>
      <c r="C9" s="3225" t="s">
        <v>3230</v>
      </c>
      <c r="D9" s="3225" t="s">
        <v>3231</v>
      </c>
      <c r="E9" s="3235" t="s">
        <v>3210</v>
      </c>
      <c r="F9" s="3235" t="s">
        <v>3218</v>
      </c>
      <c r="G9" s="3232" t="s">
        <v>3235</v>
      </c>
      <c r="H9" s="3235" t="s">
        <v>3226</v>
      </c>
      <c r="I9" s="3235" t="s">
        <v>3227</v>
      </c>
      <c r="J9" s="3235" t="s">
        <v>185</v>
      </c>
      <c r="K9" s="3235" t="s">
        <v>3236</v>
      </c>
      <c r="L9" s="3217">
        <v>51.07</v>
      </c>
      <c r="M9" s="3220">
        <v>33012.44</v>
      </c>
      <c r="N9" s="3220">
        <v>46402.36</v>
      </c>
      <c r="O9" s="3227"/>
      <c r="P9" s="3221">
        <f t="shared" si="0"/>
        <v>1555.02</v>
      </c>
    </row>
    <row r="10" spans="2:18" ht="96" hidden="1">
      <c r="B10" s="3231">
        <v>2017</v>
      </c>
      <c r="C10" s="3225" t="s">
        <v>3230</v>
      </c>
      <c r="D10" s="3225" t="s">
        <v>3231</v>
      </c>
      <c r="E10" s="3236" t="s">
        <v>3237</v>
      </c>
      <c r="F10" s="3236" t="s">
        <v>3218</v>
      </c>
      <c r="G10" s="3232" t="s">
        <v>3238</v>
      </c>
      <c r="H10" s="3236" t="s">
        <v>3239</v>
      </c>
      <c r="I10" s="3236" t="s">
        <v>3214</v>
      </c>
      <c r="J10" s="3236" t="s">
        <v>3240</v>
      </c>
      <c r="K10" s="3236" t="s">
        <v>3241</v>
      </c>
      <c r="L10" s="3220">
        <v>96.99</v>
      </c>
      <c r="M10" s="3220">
        <v>51676.39</v>
      </c>
      <c r="N10" s="3220">
        <v>172115.08</v>
      </c>
      <c r="O10" s="3227">
        <f>ROUND((M10+N10)/(L10*15),0)</f>
        <v>154</v>
      </c>
      <c r="P10" s="3221">
        <f t="shared" si="0"/>
        <v>2307.37</v>
      </c>
    </row>
    <row r="11" spans="2:18" ht="108" hidden="1">
      <c r="B11" s="3231">
        <v>2017</v>
      </c>
      <c r="C11" s="3225" t="s">
        <v>3230</v>
      </c>
      <c r="D11" s="3225" t="s">
        <v>3231</v>
      </c>
      <c r="E11" s="3236" t="s">
        <v>3237</v>
      </c>
      <c r="F11" s="3236" t="s">
        <v>3218</v>
      </c>
      <c r="G11" s="3232" t="s">
        <v>3242</v>
      </c>
      <c r="H11" s="3236" t="s">
        <v>3243</v>
      </c>
      <c r="I11" s="3236" t="s">
        <v>3214</v>
      </c>
      <c r="J11" s="3236" t="s">
        <v>3244</v>
      </c>
      <c r="K11" s="3220" t="s">
        <v>3245</v>
      </c>
      <c r="L11" s="3237">
        <v>49.52</v>
      </c>
      <c r="M11" s="3220">
        <v>25737.439999999999</v>
      </c>
      <c r="N11" s="3220">
        <v>180122.23999999999</v>
      </c>
      <c r="O11" s="3227">
        <f>ROUND((M11+N11)/(L11*15),0)</f>
        <v>277</v>
      </c>
      <c r="P11" s="3221">
        <f t="shared" si="0"/>
        <v>4157.1000000000004</v>
      </c>
    </row>
    <row r="12" spans="2:18" ht="72" hidden="1">
      <c r="B12" s="3231">
        <v>2017</v>
      </c>
      <c r="C12" s="3225" t="s">
        <v>3230</v>
      </c>
      <c r="D12" s="3225" t="s">
        <v>3231</v>
      </c>
      <c r="E12" s="3236" t="s">
        <v>3246</v>
      </c>
      <c r="F12" s="3236" t="s">
        <v>3218</v>
      </c>
      <c r="G12" s="3232" t="s">
        <v>3247</v>
      </c>
      <c r="H12" s="3236" t="s">
        <v>3248</v>
      </c>
      <c r="I12" s="3235" t="s">
        <v>3227</v>
      </c>
      <c r="J12" s="3236" t="s">
        <v>3249</v>
      </c>
      <c r="K12" s="3220" t="s">
        <v>3250</v>
      </c>
      <c r="L12" s="3217">
        <v>116.6</v>
      </c>
      <c r="M12" s="3220">
        <v>138739.75</v>
      </c>
      <c r="N12" s="3220">
        <v>441601.69</v>
      </c>
      <c r="O12" s="3227"/>
      <c r="P12" s="3221">
        <f t="shared" si="0"/>
        <v>4977.2</v>
      </c>
    </row>
    <row r="13" spans="2:18" ht="144" hidden="1">
      <c r="B13" s="3231">
        <v>2017</v>
      </c>
      <c r="C13" s="3235" t="s">
        <v>3251</v>
      </c>
      <c r="D13" s="3235" t="s">
        <v>3252</v>
      </c>
      <c r="E13" s="3235" t="s">
        <v>3253</v>
      </c>
      <c r="F13" s="3235" t="s">
        <v>3211</v>
      </c>
      <c r="G13" s="3236" t="s">
        <v>3254</v>
      </c>
      <c r="H13" s="3236" t="s">
        <v>3255</v>
      </c>
      <c r="I13" s="3236" t="s">
        <v>3214</v>
      </c>
      <c r="J13" s="3236" t="s">
        <v>3256</v>
      </c>
      <c r="K13" s="3220" t="s">
        <v>3257</v>
      </c>
      <c r="L13" s="3233">
        <v>33.36</v>
      </c>
      <c r="M13" s="3220">
        <v>16588.11</v>
      </c>
      <c r="N13" s="3220">
        <v>13953.2</v>
      </c>
      <c r="O13" s="3238"/>
      <c r="P13" s="3221">
        <f t="shared" si="0"/>
        <v>915.51</v>
      </c>
    </row>
    <row r="14" spans="2:18" ht="96" hidden="1">
      <c r="B14" s="3231">
        <v>2017</v>
      </c>
      <c r="C14" s="3216" t="s">
        <v>3258</v>
      </c>
      <c r="D14" s="3216" t="s">
        <v>3259</v>
      </c>
      <c r="E14" s="3236" t="s">
        <v>3237</v>
      </c>
      <c r="F14" s="3236" t="s">
        <v>3218</v>
      </c>
      <c r="G14" s="3235" t="s">
        <v>3260</v>
      </c>
      <c r="H14" s="3236" t="s">
        <v>3261</v>
      </c>
      <c r="I14" s="3236" t="s">
        <v>3214</v>
      </c>
      <c r="J14" s="3236" t="s">
        <v>3262</v>
      </c>
      <c r="K14" s="3236" t="s">
        <v>3263</v>
      </c>
      <c r="L14" s="3220">
        <v>19.994820000000001</v>
      </c>
      <c r="M14" s="3220">
        <v>4110.28</v>
      </c>
      <c r="N14" s="3220">
        <v>1634.87</v>
      </c>
      <c r="O14" s="3227">
        <f>ROUND((M14+N14)/(L14*15),0)</f>
        <v>19</v>
      </c>
      <c r="P14" s="3221">
        <f t="shared" si="0"/>
        <v>287.33</v>
      </c>
    </row>
    <row r="15" spans="2:18" ht="96" hidden="1">
      <c r="B15" s="3231">
        <v>2017</v>
      </c>
      <c r="C15" s="3225" t="s">
        <v>3264</v>
      </c>
      <c r="D15" s="3225" t="s">
        <v>3265</v>
      </c>
      <c r="E15" s="3236" t="s">
        <v>3266</v>
      </c>
      <c r="F15" s="3236" t="s">
        <v>3218</v>
      </c>
      <c r="G15" s="3236" t="s">
        <v>3267</v>
      </c>
      <c r="H15" s="3236" t="s">
        <v>3268</v>
      </c>
      <c r="I15" s="3236" t="s">
        <v>3227</v>
      </c>
      <c r="J15" s="3236" t="s">
        <v>3269</v>
      </c>
      <c r="K15" s="3220" t="s">
        <v>3270</v>
      </c>
      <c r="L15" s="3231">
        <v>72.180000000000007</v>
      </c>
      <c r="M15" s="3220">
        <v>20148.59</v>
      </c>
      <c r="N15" s="3220">
        <v>195592.13</v>
      </c>
      <c r="O15" s="3238"/>
      <c r="P15" s="3221">
        <f t="shared" si="0"/>
        <v>2988.93</v>
      </c>
    </row>
    <row r="16" spans="2:18" ht="168" hidden="1">
      <c r="B16" s="3231">
        <v>2017</v>
      </c>
      <c r="C16" s="3225" t="s">
        <v>3264</v>
      </c>
      <c r="D16" s="3225" t="s">
        <v>3265</v>
      </c>
      <c r="E16" s="3236" t="s">
        <v>3266</v>
      </c>
      <c r="F16" s="3236" t="s">
        <v>3218</v>
      </c>
      <c r="G16" s="3236" t="s">
        <v>3271</v>
      </c>
      <c r="H16" s="3236" t="s">
        <v>3272</v>
      </c>
      <c r="I16" s="3236" t="s">
        <v>3227</v>
      </c>
      <c r="J16" s="3236" t="s">
        <v>3273</v>
      </c>
      <c r="K16" s="3214" t="s">
        <v>3274</v>
      </c>
      <c r="L16" s="3217">
        <v>148.19999999999999</v>
      </c>
      <c r="M16" s="3220">
        <v>46469.07</v>
      </c>
      <c r="N16" s="3220">
        <v>462882.97</v>
      </c>
      <c r="O16" s="3238"/>
      <c r="P16" s="3221">
        <f t="shared" si="0"/>
        <v>3436.92</v>
      </c>
    </row>
    <row r="17" spans="1:18" ht="96" hidden="1">
      <c r="B17" s="3231">
        <v>2017</v>
      </c>
      <c r="C17" s="3216" t="s">
        <v>3275</v>
      </c>
      <c r="D17" s="3216" t="s">
        <v>3224</v>
      </c>
      <c r="E17" s="3236" t="s">
        <v>3276</v>
      </c>
      <c r="F17" s="3236" t="s">
        <v>3218</v>
      </c>
      <c r="G17" s="3236" t="s">
        <v>3277</v>
      </c>
      <c r="H17" s="3236" t="s">
        <v>3278</v>
      </c>
      <c r="I17" s="3236" t="s">
        <v>3227</v>
      </c>
      <c r="J17" s="3236" t="s">
        <v>3279</v>
      </c>
      <c r="K17" s="3236" t="s">
        <v>3280</v>
      </c>
      <c r="L17" s="3217">
        <v>89.78</v>
      </c>
      <c r="M17" s="3220">
        <v>52725.51</v>
      </c>
      <c r="N17" s="3220">
        <v>150160.9</v>
      </c>
      <c r="O17" s="3239"/>
      <c r="P17" s="3221">
        <f t="shared" si="0"/>
        <v>2259.8200000000002</v>
      </c>
    </row>
    <row r="18" spans="1:18" ht="168" hidden="1">
      <c r="B18" s="3231">
        <v>2017</v>
      </c>
      <c r="C18" s="3216" t="s">
        <v>3275</v>
      </c>
      <c r="D18" s="3216" t="s">
        <v>3224</v>
      </c>
      <c r="E18" s="3236" t="s">
        <v>3276</v>
      </c>
      <c r="F18" s="3236" t="s">
        <v>3218</v>
      </c>
      <c r="G18" s="3236" t="s">
        <v>3281</v>
      </c>
      <c r="H18" s="3236" t="s">
        <v>3282</v>
      </c>
      <c r="I18" s="3236" t="s">
        <v>3227</v>
      </c>
      <c r="J18" s="3236" t="s">
        <v>3283</v>
      </c>
      <c r="K18" s="3240" t="s">
        <v>3284</v>
      </c>
      <c r="L18" s="3217">
        <v>146.24</v>
      </c>
      <c r="M18" s="3220">
        <v>73331.179999999993</v>
      </c>
      <c r="N18" s="3220">
        <v>459399.64</v>
      </c>
      <c r="O18" s="3238"/>
      <c r="P18" s="3221">
        <f t="shared" si="0"/>
        <v>3642.85</v>
      </c>
    </row>
    <row r="19" spans="1:18" ht="96" hidden="1">
      <c r="B19" s="3231">
        <v>2017</v>
      </c>
      <c r="C19" s="3216" t="s">
        <v>3285</v>
      </c>
      <c r="D19" s="3216" t="s">
        <v>3224</v>
      </c>
      <c r="E19" s="3236" t="s">
        <v>3237</v>
      </c>
      <c r="F19" s="3236" t="s">
        <v>3218</v>
      </c>
      <c r="G19" s="3236" t="s">
        <v>3286</v>
      </c>
      <c r="H19" s="3236" t="s">
        <v>3287</v>
      </c>
      <c r="I19" s="3236" t="s">
        <v>3214</v>
      </c>
      <c r="J19" s="3236" t="s">
        <v>3288</v>
      </c>
      <c r="K19" s="3236" t="s">
        <v>3289</v>
      </c>
      <c r="L19" s="3220">
        <v>132.25</v>
      </c>
      <c r="M19" s="3220">
        <v>24298.5</v>
      </c>
      <c r="N19" s="3220">
        <v>107594.55</v>
      </c>
      <c r="O19" s="3227">
        <f>ROUND((M19+N19)/(L19*15),0)</f>
        <v>66</v>
      </c>
      <c r="P19" s="3226">
        <f t="shared" si="0"/>
        <v>997.3</v>
      </c>
    </row>
    <row r="20" spans="1:18" ht="108" hidden="1">
      <c r="B20" s="3231">
        <v>2017</v>
      </c>
      <c r="C20" s="3216" t="s">
        <v>3285</v>
      </c>
      <c r="D20" s="3241" t="s">
        <v>3224</v>
      </c>
      <c r="E20" s="3242" t="s">
        <v>3290</v>
      </c>
      <c r="F20" s="3236" t="s">
        <v>3211</v>
      </c>
      <c r="G20" s="3243" t="s">
        <v>3291</v>
      </c>
      <c r="H20" s="3236" t="s">
        <v>3268</v>
      </c>
      <c r="I20" s="3236" t="s">
        <v>3227</v>
      </c>
      <c r="J20" s="3244" t="s">
        <v>3292</v>
      </c>
      <c r="K20" s="3244" t="s">
        <v>3293</v>
      </c>
      <c r="L20" s="3217">
        <v>217.58</v>
      </c>
      <c r="M20" s="3220">
        <v>106922.18</v>
      </c>
      <c r="N20" s="3220">
        <v>1002860.16</v>
      </c>
      <c r="O20" s="3245"/>
      <c r="P20" s="3221">
        <f t="shared" si="0"/>
        <v>5100.57</v>
      </c>
    </row>
    <row r="21" spans="1:18" ht="144" hidden="1">
      <c r="B21" s="3223">
        <v>2018</v>
      </c>
      <c r="C21" s="3216" t="s">
        <v>3294</v>
      </c>
      <c r="D21" s="3216" t="s">
        <v>3259</v>
      </c>
      <c r="E21" s="3215" t="s">
        <v>3253</v>
      </c>
      <c r="F21" s="3215" t="s">
        <v>3211</v>
      </c>
      <c r="G21" s="3215" t="s">
        <v>3295</v>
      </c>
      <c r="H21" s="3215" t="s">
        <v>3296</v>
      </c>
      <c r="I21" s="3215" t="s">
        <v>3214</v>
      </c>
      <c r="J21" s="3235" t="s">
        <v>3297</v>
      </c>
      <c r="K21" s="3232" t="s">
        <v>3298</v>
      </c>
      <c r="L21" s="3215">
        <v>726.3</v>
      </c>
      <c r="M21" s="3220">
        <v>281939.06</v>
      </c>
      <c r="N21" s="3220">
        <v>704305.38</v>
      </c>
      <c r="O21" s="3221"/>
      <c r="P21" s="3226">
        <f t="shared" si="0"/>
        <v>1357.9</v>
      </c>
    </row>
    <row r="22" spans="1:18" ht="60.75" customHeight="1">
      <c r="A22" s="3222" t="s">
        <v>3402</v>
      </c>
      <c r="B22" s="3281">
        <v>2018</v>
      </c>
      <c r="C22" s="3282" t="s">
        <v>3299</v>
      </c>
      <c r="D22" s="3283" t="s">
        <v>3209</v>
      </c>
      <c r="E22" s="3284" t="s">
        <v>3290</v>
      </c>
      <c r="F22" s="3284" t="s">
        <v>3218</v>
      </c>
      <c r="G22" s="3284" t="s">
        <v>3396</v>
      </c>
      <c r="H22" s="3284" t="s">
        <v>3268</v>
      </c>
      <c r="I22" s="3284" t="s">
        <v>3227</v>
      </c>
      <c r="J22" s="3284" t="s">
        <v>3300</v>
      </c>
      <c r="K22" s="3285" t="s">
        <v>3301</v>
      </c>
      <c r="L22" s="3286">
        <v>193.55</v>
      </c>
      <c r="M22" s="3287">
        <v>230654.05</v>
      </c>
      <c r="N22" s="3287">
        <v>598903.21</v>
      </c>
      <c r="O22" s="3288"/>
      <c r="P22" s="3289">
        <f t="shared" si="0"/>
        <v>4286.01</v>
      </c>
      <c r="Q22" s="3222">
        <f>ROUND(287073.18/7.9276913,2)</f>
        <v>36211.449999999997</v>
      </c>
      <c r="R22" s="3222" t="s">
        <v>3407</v>
      </c>
    </row>
    <row r="23" spans="1:18" ht="16.5" customHeight="1">
      <c r="B23" s="3215">
        <v>2018</v>
      </c>
      <c r="C23" s="3216" t="s">
        <v>3299</v>
      </c>
      <c r="D23" s="3246" t="s">
        <v>3209</v>
      </c>
      <c r="E23" s="3235" t="s">
        <v>3290</v>
      </c>
      <c r="F23" s="3235" t="s">
        <v>3218</v>
      </c>
      <c r="G23" s="3235" t="s">
        <v>3302</v>
      </c>
      <c r="H23" s="3235" t="s">
        <v>3303</v>
      </c>
      <c r="I23" s="3235" t="s">
        <v>3227</v>
      </c>
      <c r="J23" s="3235" t="s">
        <v>3304</v>
      </c>
      <c r="K23" s="3232" t="s">
        <v>3305</v>
      </c>
      <c r="L23" s="3219">
        <v>210.43</v>
      </c>
      <c r="M23" s="3220">
        <v>23862.83</v>
      </c>
      <c r="N23" s="3220">
        <v>602931.53</v>
      </c>
      <c r="O23" s="3228"/>
      <c r="P23" s="3221">
        <f t="shared" si="0"/>
        <v>2978.64</v>
      </c>
    </row>
    <row r="24" spans="1:18" ht="63.75" customHeight="1">
      <c r="A24" s="3222" t="s">
        <v>3401</v>
      </c>
      <c r="B24" s="3281">
        <v>2018</v>
      </c>
      <c r="C24" s="3282" t="s">
        <v>3299</v>
      </c>
      <c r="D24" s="3283" t="s">
        <v>3209</v>
      </c>
      <c r="E24" s="3284" t="s">
        <v>3290</v>
      </c>
      <c r="F24" s="3284" t="s">
        <v>3218</v>
      </c>
      <c r="G24" s="3284" t="s">
        <v>3397</v>
      </c>
      <c r="H24" s="3284" t="s">
        <v>3268</v>
      </c>
      <c r="I24" s="3284" t="s">
        <v>3227</v>
      </c>
      <c r="J24" s="3284" t="s">
        <v>3306</v>
      </c>
      <c r="K24" s="3285" t="s">
        <v>3307</v>
      </c>
      <c r="L24" s="3290">
        <v>74.25</v>
      </c>
      <c r="M24" s="3287">
        <v>13520.67</v>
      </c>
      <c r="N24" s="3287">
        <v>291651.92</v>
      </c>
      <c r="O24" s="3288"/>
      <c r="P24" s="3289">
        <f t="shared" si="0"/>
        <v>4110.07</v>
      </c>
      <c r="Q24" s="3222">
        <f>ROUND(96109.98/3.4940022,2)</f>
        <v>27507.13</v>
      </c>
      <c r="R24" s="3222" t="s">
        <v>3408</v>
      </c>
    </row>
    <row r="25" spans="1:18" ht="96" hidden="1">
      <c r="B25" s="3215">
        <v>2018</v>
      </c>
      <c r="C25" s="3216" t="s">
        <v>3299</v>
      </c>
      <c r="D25" s="3246" t="s">
        <v>3209</v>
      </c>
      <c r="E25" s="3235" t="s">
        <v>3308</v>
      </c>
      <c r="F25" s="3235" t="s">
        <v>3218</v>
      </c>
      <c r="G25" s="3235" t="s">
        <v>3309</v>
      </c>
      <c r="H25" s="3235" t="s">
        <v>3310</v>
      </c>
      <c r="I25" s="3235" t="s">
        <v>3227</v>
      </c>
      <c r="J25" s="3235" t="s">
        <v>3311</v>
      </c>
      <c r="K25" s="3232" t="s">
        <v>3312</v>
      </c>
      <c r="L25" s="3219">
        <v>29.09</v>
      </c>
      <c r="M25" s="3220">
        <v>12773.36</v>
      </c>
      <c r="N25" s="3220">
        <v>231746.85</v>
      </c>
      <c r="O25" s="3227">
        <f>ROUND((M25+N25)/(L25*15),0)</f>
        <v>560</v>
      </c>
      <c r="P25" s="3247">
        <f>ROUND((N25+M25)/L25,2)</f>
        <v>8405.64</v>
      </c>
    </row>
    <row r="26" spans="1:18" ht="17.25" customHeight="1">
      <c r="B26" s="3215">
        <v>2018</v>
      </c>
      <c r="C26" s="3216" t="s">
        <v>3313</v>
      </c>
      <c r="D26" s="3248" t="s">
        <v>3314</v>
      </c>
      <c r="E26" s="3219" t="s">
        <v>3290</v>
      </c>
      <c r="F26" s="3219" t="s">
        <v>3218</v>
      </c>
      <c r="G26" s="3219" t="s">
        <v>3315</v>
      </c>
      <c r="H26" s="3219" t="s">
        <v>3268</v>
      </c>
      <c r="I26" s="3219" t="s">
        <v>3227</v>
      </c>
      <c r="J26" s="3219" t="s">
        <v>3316</v>
      </c>
      <c r="K26" s="3219" t="s">
        <v>3317</v>
      </c>
      <c r="L26" s="3219">
        <v>165.53</v>
      </c>
      <c r="M26" s="3220">
        <v>55495.91</v>
      </c>
      <c r="N26" s="3220">
        <v>418159.92</v>
      </c>
      <c r="O26" s="3228"/>
      <c r="P26" s="3226">
        <f t="shared" si="0"/>
        <v>2861.45</v>
      </c>
    </row>
    <row r="27" spans="1:18" ht="18" customHeight="1">
      <c r="B27" s="3215">
        <v>2018</v>
      </c>
      <c r="C27" s="3216" t="s">
        <v>3318</v>
      </c>
      <c r="D27" s="3248" t="s">
        <v>3314</v>
      </c>
      <c r="E27" s="3219" t="s">
        <v>3290</v>
      </c>
      <c r="F27" s="3219" t="s">
        <v>3218</v>
      </c>
      <c r="G27" s="3219" t="s">
        <v>3319</v>
      </c>
      <c r="H27" s="3219" t="s">
        <v>3320</v>
      </c>
      <c r="I27" s="3219" t="s">
        <v>3227</v>
      </c>
      <c r="J27" s="3219" t="s">
        <v>3321</v>
      </c>
      <c r="K27" s="3219" t="s">
        <v>3322</v>
      </c>
      <c r="L27" s="3249">
        <v>175.57</v>
      </c>
      <c r="M27" s="3220">
        <v>157294.39999999999</v>
      </c>
      <c r="N27" s="3220">
        <v>394653.43</v>
      </c>
      <c r="O27" s="3228"/>
      <c r="P27" s="3221">
        <f t="shared" si="0"/>
        <v>3143.75</v>
      </c>
    </row>
    <row r="28" spans="1:18" ht="18" customHeight="1">
      <c r="B28" s="3215">
        <v>2018</v>
      </c>
      <c r="C28" s="3216" t="s">
        <v>3323</v>
      </c>
      <c r="D28" s="3250" t="s">
        <v>3324</v>
      </c>
      <c r="E28" s="3218" t="s">
        <v>3246</v>
      </c>
      <c r="F28" s="3218" t="s">
        <v>3218</v>
      </c>
      <c r="G28" s="3218" t="s">
        <v>3325</v>
      </c>
      <c r="H28" s="3218" t="s">
        <v>3326</v>
      </c>
      <c r="I28" s="3218" t="s">
        <v>3227</v>
      </c>
      <c r="J28" s="3218" t="s">
        <v>3327</v>
      </c>
      <c r="K28" s="3218" t="s">
        <v>3328</v>
      </c>
      <c r="L28" s="3219">
        <v>49.58</v>
      </c>
      <c r="M28" s="3220">
        <v>61873.95</v>
      </c>
      <c r="N28" s="3220">
        <v>240341.82</v>
      </c>
      <c r="O28" s="3221"/>
      <c r="P28" s="3221">
        <f t="shared" si="0"/>
        <v>6095.52</v>
      </c>
    </row>
    <row r="29" spans="1:18" ht="18" customHeight="1">
      <c r="B29" s="3215">
        <v>2018</v>
      </c>
      <c r="C29" s="3216" t="s">
        <v>3323</v>
      </c>
      <c r="D29" s="3250" t="s">
        <v>3324</v>
      </c>
      <c r="E29" s="3218" t="s">
        <v>3329</v>
      </c>
      <c r="F29" s="3218" t="s">
        <v>3218</v>
      </c>
      <c r="G29" s="3218" t="s">
        <v>3330</v>
      </c>
      <c r="H29" s="3218" t="s">
        <v>3331</v>
      </c>
      <c r="I29" s="3218" t="s">
        <v>3227</v>
      </c>
      <c r="J29" s="3218" t="s">
        <v>3332</v>
      </c>
      <c r="K29" s="3218" t="s">
        <v>3333</v>
      </c>
      <c r="L29" s="3251">
        <v>113.32</v>
      </c>
      <c r="M29" s="3220">
        <v>84598.35</v>
      </c>
      <c r="N29" s="3220">
        <v>378467.53</v>
      </c>
      <c r="O29" s="3221"/>
      <c r="P29" s="3221">
        <f t="shared" si="0"/>
        <v>4086.36</v>
      </c>
    </row>
    <row r="30" spans="1:18" ht="45.75" customHeight="1">
      <c r="A30" s="3222" t="s">
        <v>3400</v>
      </c>
      <c r="B30" s="3281">
        <v>2018</v>
      </c>
      <c r="C30" s="3282" t="s">
        <v>3323</v>
      </c>
      <c r="D30" s="3286">
        <v>12</v>
      </c>
      <c r="E30" s="3291" t="s">
        <v>3290</v>
      </c>
      <c r="F30" s="3291" t="s">
        <v>3218</v>
      </c>
      <c r="G30" s="3291" t="s">
        <v>3398</v>
      </c>
      <c r="H30" s="3291" t="s">
        <v>3268</v>
      </c>
      <c r="I30" s="3291" t="s">
        <v>3227</v>
      </c>
      <c r="J30" s="3291" t="s">
        <v>3334</v>
      </c>
      <c r="K30" s="3291" t="s">
        <v>3335</v>
      </c>
      <c r="L30" s="3290">
        <v>239.14</v>
      </c>
      <c r="M30" s="3287">
        <v>61695.44</v>
      </c>
      <c r="N30" s="3287">
        <v>859650.5</v>
      </c>
      <c r="O30" s="3289"/>
      <c r="P30" s="3289">
        <f t="shared" si="0"/>
        <v>3852.75</v>
      </c>
      <c r="Q30" s="3222">
        <f>ROUND(248940.24/8.8404401,2)</f>
        <v>28159.26</v>
      </c>
      <c r="R30" s="3222" t="s">
        <v>3410</v>
      </c>
    </row>
    <row r="31" spans="1:18" ht="23.25" customHeight="1">
      <c r="B31" s="3215">
        <v>2018</v>
      </c>
      <c r="C31" s="3216" t="s">
        <v>3323</v>
      </c>
      <c r="D31" s="3217" t="s">
        <v>3324</v>
      </c>
      <c r="E31" s="3218" t="s">
        <v>3276</v>
      </c>
      <c r="F31" s="3218" t="s">
        <v>3218</v>
      </c>
      <c r="G31" s="3218" t="s">
        <v>3409</v>
      </c>
      <c r="H31" s="3218" t="s">
        <v>3336</v>
      </c>
      <c r="I31" s="3218" t="s">
        <v>3227</v>
      </c>
      <c r="J31" s="3218" t="s">
        <v>3337</v>
      </c>
      <c r="K31" s="3218" t="s">
        <v>3338</v>
      </c>
      <c r="L31" s="3219">
        <v>129.57</v>
      </c>
      <c r="M31" s="3220">
        <v>164075.88</v>
      </c>
      <c r="N31" s="3220">
        <v>363152.48</v>
      </c>
      <c r="O31" s="3221"/>
      <c r="P31" s="3221">
        <f t="shared" si="0"/>
        <v>4069.06</v>
      </c>
    </row>
    <row r="32" spans="1:18" ht="21" customHeight="1">
      <c r="B32" s="3215">
        <v>2018</v>
      </c>
      <c r="C32" s="3216" t="s">
        <v>3318</v>
      </c>
      <c r="D32" s="3217" t="s">
        <v>3324</v>
      </c>
      <c r="E32" s="3218" t="s">
        <v>3290</v>
      </c>
      <c r="F32" s="3218" t="s">
        <v>3218</v>
      </c>
      <c r="G32" s="3218" t="s">
        <v>3339</v>
      </c>
      <c r="H32" s="3218" t="s">
        <v>3268</v>
      </c>
      <c r="I32" s="3218" t="s">
        <v>3227</v>
      </c>
      <c r="J32" s="3218" t="s">
        <v>3340</v>
      </c>
      <c r="K32" s="3218" t="s">
        <v>3341</v>
      </c>
      <c r="L32" s="3219">
        <v>55.01</v>
      </c>
      <c r="M32" s="3220">
        <v>61454.45</v>
      </c>
      <c r="N32" s="3220">
        <v>558371.41</v>
      </c>
      <c r="O32" s="3221"/>
      <c r="P32" s="3221">
        <f t="shared" si="0"/>
        <v>11267.51</v>
      </c>
    </row>
    <row r="33" spans="2:16">
      <c r="B33" s="3252"/>
      <c r="C33" s="3252"/>
      <c r="D33" s="3252"/>
      <c r="E33" s="3229"/>
      <c r="F33" s="3229"/>
      <c r="G33" s="3229"/>
      <c r="H33" s="3229"/>
      <c r="I33" s="3229"/>
      <c r="J33" s="3229"/>
      <c r="K33" s="3229"/>
      <c r="L33" s="3253">
        <f>L10+L11+L25</f>
        <v>175.6</v>
      </c>
      <c r="M33" s="3253">
        <f>M10+M11+M25</f>
        <v>90187.19</v>
      </c>
      <c r="N33" s="3253">
        <f>N10+N11+N25</f>
        <v>583984.16999999993</v>
      </c>
      <c r="O33" s="3229"/>
      <c r="P33" s="3229">
        <f>(N33+M33)/L33</f>
        <v>3839.2446469248284</v>
      </c>
    </row>
    <row r="34" spans="2:16">
      <c r="B34" s="3252"/>
      <c r="C34" s="3252"/>
      <c r="D34" s="3252"/>
      <c r="E34" s="3229"/>
      <c r="F34" s="3229"/>
      <c r="G34" s="3229"/>
      <c r="H34" s="3229"/>
      <c r="I34" s="3229"/>
      <c r="J34" s="3229"/>
      <c r="K34" s="3229"/>
      <c r="L34" s="3254"/>
      <c r="M34" s="3252"/>
      <c r="N34" s="3252"/>
      <c r="O34" s="3229">
        <f>ROUND((O10+O11+O25)/3,0)</f>
        <v>330</v>
      </c>
      <c r="P34" s="3229"/>
    </row>
    <row r="35" spans="2:16">
      <c r="B35" s="3255"/>
      <c r="C35" s="3252"/>
      <c r="D35" s="3252"/>
      <c r="E35" s="3229"/>
      <c r="F35" s="3229"/>
      <c r="G35" s="3229"/>
      <c r="H35" s="3229"/>
      <c r="I35" s="3229"/>
      <c r="J35" s="3229"/>
      <c r="K35" s="3229"/>
      <c r="L35" s="3254"/>
      <c r="M35" s="3252"/>
      <c r="N35" s="3252"/>
      <c r="O35" s="3229"/>
      <c r="P35" s="3229"/>
    </row>
    <row r="36" spans="2:16">
      <c r="B36" s="3252"/>
      <c r="C36" s="3252"/>
      <c r="D36" s="3252"/>
      <c r="E36" s="3229"/>
      <c r="F36" s="3229"/>
      <c r="G36" s="3229"/>
      <c r="H36" s="3229"/>
      <c r="I36" s="3229"/>
      <c r="J36" s="3229"/>
      <c r="K36" s="3229"/>
      <c r="L36" s="3254"/>
      <c r="M36" s="3252"/>
      <c r="N36" s="3252"/>
      <c r="O36" s="3229"/>
      <c r="P36" s="3229">
        <f>(P10+P11+P25)/3</f>
        <v>4956.7033333333338</v>
      </c>
    </row>
    <row r="37" spans="2:16">
      <c r="B37" s="3252"/>
      <c r="C37" s="3252"/>
      <c r="D37" s="3252"/>
      <c r="E37" s="3229"/>
      <c r="F37" s="3229"/>
      <c r="G37" s="3229"/>
      <c r="H37" s="3229"/>
      <c r="I37" s="3229"/>
      <c r="J37" s="3229"/>
      <c r="K37" s="3229"/>
      <c r="L37" s="3254"/>
      <c r="M37" s="3252"/>
      <c r="N37" s="3252"/>
      <c r="O37" s="3229">
        <f>ROUND(O34*'[2]数据-汇总表'!D3,0)</f>
        <v>7300194</v>
      </c>
      <c r="P37" s="3229"/>
    </row>
    <row r="41" spans="2:16">
      <c r="P41" s="3256"/>
    </row>
    <row r="56" spans="16:16">
      <c r="P56" s="3256"/>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D1EE6404-5154-478D-A994-F58E7BEC8277}">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P5" sqref="P5:P21"/>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639" t="s">
        <v>1058</v>
      </c>
      <c r="C1" s="3639"/>
      <c r="D1" s="3639"/>
      <c r="E1" s="3639"/>
      <c r="F1" s="3639"/>
      <c r="G1" s="3638" t="s">
        <v>1059</v>
      </c>
      <c r="H1" s="3638"/>
      <c r="I1" s="3638"/>
      <c r="J1" s="3638"/>
      <c r="K1" s="3638"/>
      <c r="L1" s="3638"/>
      <c r="N1" s="3638" t="s">
        <v>1060</v>
      </c>
      <c r="O1" s="3638"/>
      <c r="P1" s="3638"/>
      <c r="Q1" s="3638"/>
      <c r="S1" s="3638" t="s">
        <v>1061</v>
      </c>
      <c r="T1" s="3638"/>
      <c r="U1" s="3638"/>
      <c r="V1" s="3638"/>
      <c r="X1" s="3637" t="s">
        <v>1062</v>
      </c>
      <c r="Y1" s="3638"/>
      <c r="Z1" s="3638"/>
      <c r="AA1" s="3638"/>
      <c r="AB1" s="3638"/>
      <c r="AD1" s="3637" t="s">
        <v>1063</v>
      </c>
      <c r="AE1" s="3638"/>
      <c r="AF1" s="3638"/>
      <c r="AG1" s="3638"/>
      <c r="AH1" s="3638"/>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1.61</v>
      </c>
      <c r="J3" s="2365">
        <f>ROUND(AVERAGE($J4:$J37),2)</f>
        <v>1.02</v>
      </c>
      <c r="K3" s="2365">
        <f>ROUND(AVERAGE($K4:$K37),2)</f>
        <v>1.77</v>
      </c>
      <c r="L3" s="2365">
        <f>ROUND(AVERAGE($L4:$L37),2)</f>
        <v>1.18</v>
      </c>
      <c r="N3" s="2363"/>
      <c r="S3" s="2363"/>
      <c r="W3" s="2367"/>
      <c r="X3" s="2368">
        <f>ROUND(SUMPRODUCT(PRODUCT(1+N3:N$36)),4)</f>
        <v>1.6415999999999999</v>
      </c>
      <c r="Y3" s="2368">
        <f>ROUND(SUMPRODUCT(PRODUCT(1+O3:O$36)),4)</f>
        <v>1.3644000000000001</v>
      </c>
      <c r="Z3" s="2368">
        <f t="shared" ref="Z3:Z34" si="0">Y3</f>
        <v>1.3644000000000001</v>
      </c>
      <c r="AA3" s="2368">
        <f>ROUND(SUMPRODUCT(PRODUCT(1+P3:P$36)),4)</f>
        <v>1.7232000000000001</v>
      </c>
      <c r="AB3" s="2368">
        <f>ROUND(SUMPRODUCT(PRODUCT(1+Q3:Q$36)),4)</f>
        <v>1.4529000000000001</v>
      </c>
      <c r="AD3" s="2369">
        <f>ROUND(AVERAGE(I3:I$37)/100,4)</f>
        <v>1.61E-2</v>
      </c>
      <c r="AE3" s="2369">
        <f>ROUND(AVERAGE(J3:J$37)/100,4)</f>
        <v>1.0200000000000001E-2</v>
      </c>
      <c r="AF3" s="2369">
        <f t="shared" ref="AF3:AF35" si="1">AE3</f>
        <v>1.0200000000000001E-2</v>
      </c>
      <c r="AG3" s="2369">
        <f>ROUND(AVERAGE(K3:K$37)/100,4)</f>
        <v>1.77E-2</v>
      </c>
      <c r="AH3" s="2369">
        <f>ROUND(AVERAGE(L3:L$37)/100,4)</f>
        <v>1.18E-2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201">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1.6415999999999999</v>
      </c>
      <c r="Y5" s="2387">
        <f>ROUND(IF(项目基本情况!B1="出让",SUMPRODUCT(PRODUCT(1+O5:O$37)),SUMPRODUCT(PRODUCT(1+O5:O$36))),4)</f>
        <v>1.3644000000000001</v>
      </c>
      <c r="Z5" s="2387">
        <f t="shared" ref="Z5" si="11">Y5</f>
        <v>1.3644000000000001</v>
      </c>
      <c r="AA5" s="2387">
        <f>ROUND(IF(项目基本情况!B1="出让",SUMPRODUCT(PRODUCT(1+P5:P$37)),SUMPRODUCT(PRODUCT(1+P5:P$36))),4)</f>
        <v>1.7232000000000001</v>
      </c>
      <c r="AB5" s="2387">
        <f>ROUND(IF(项目基本情况!B1="出让",SUMPRODUCT(PRODUCT(1+Q5:Q$37)),SUMPRODUCT(PRODUCT(1+Q5:Q$36))),4)</f>
        <v>1.4529000000000001</v>
      </c>
      <c r="AD5" s="2388">
        <f>ROUND(AVERAGE(I5:I$37)/100,4)</f>
        <v>1.61E-2</v>
      </c>
      <c r="AE5" s="2388">
        <f>ROUND(AVERAGE(J5:J$37)/100,4)</f>
        <v>1.0200000000000001E-2</v>
      </c>
      <c r="AF5" s="2388">
        <f t="shared" ref="AF5" si="12">AE5</f>
        <v>1.0200000000000001E-2</v>
      </c>
      <c r="AG5" s="2388">
        <f>ROUND(AVERAGE(K5:K$37)/100,4)</f>
        <v>1.77E-2</v>
      </c>
      <c r="AH5" s="2388">
        <f>ROUND(AVERAGE(L5:L$37)/100,4)</f>
        <v>1.18E-2</v>
      </c>
    </row>
    <row r="6" spans="1:34" s="2396" customFormat="1">
      <c r="A6" s="2389" t="s">
        <v>3126</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201">
        <v>2021</v>
      </c>
      <c r="H6" s="2391">
        <v>4</v>
      </c>
      <c r="I6" s="2353">
        <v>0</v>
      </c>
      <c r="J6" s="2353">
        <v>0</v>
      </c>
      <c r="K6" s="2353">
        <v>0</v>
      </c>
      <c r="L6" s="2354">
        <v>0</v>
      </c>
      <c r="M6" s="2376"/>
      <c r="N6" s="2392">
        <f t="shared" ref="N6" si="18">I6/100</f>
        <v>0</v>
      </c>
      <c r="O6" s="2377">
        <f t="shared" ref="O6" si="19">J6/100</f>
        <v>0</v>
      </c>
      <c r="P6" s="2377">
        <f t="shared" ref="P6" si="20">K6/100</f>
        <v>0</v>
      </c>
      <c r="Q6" s="2377">
        <f t="shared" ref="Q6" si="21">L6/100</f>
        <v>0</v>
      </c>
      <c r="R6" s="2393"/>
      <c r="S6" s="2392"/>
      <c r="T6" s="2377"/>
      <c r="U6" s="2377"/>
      <c r="V6" s="2377"/>
      <c r="W6" s="2394"/>
      <c r="X6" s="2394">
        <f>ROUND(IF(项目基本情况!B2="出让",SUMPRODUCT(PRODUCT(1+N6:N$37)),SUMPRODUCT(PRODUCT(1+N6:N$36))),4)</f>
        <v>1.6415999999999999</v>
      </c>
      <c r="Y6" s="2394">
        <f>ROUND(IF(项目基本情况!B2="出让",SUMPRODUCT(PRODUCT(1+O6:O$37)),SUMPRODUCT(PRODUCT(1+O6:O$36))),4)</f>
        <v>1.3644000000000001</v>
      </c>
      <c r="Z6" s="2394">
        <f t="shared" ref="Z6" si="22">Y6</f>
        <v>1.3644000000000001</v>
      </c>
      <c r="AA6" s="2394">
        <f>ROUND(IF(项目基本情况!B2="出让",SUMPRODUCT(PRODUCT(1+P6:P$37)),SUMPRODUCT(PRODUCT(1+P6:P$36))),4)</f>
        <v>1.7232000000000001</v>
      </c>
      <c r="AB6" s="2394">
        <f>ROUND(IF(项目基本情况!B2="出让",SUMPRODUCT(PRODUCT(1+Q6:Q$37)),SUMPRODUCT(PRODUCT(1+Q6:Q$36))),4)</f>
        <v>1.4529000000000001</v>
      </c>
      <c r="AC6" s="2394"/>
      <c r="AD6" s="2395">
        <f>ROUND(AVERAGE(I6:I$37)/100,4)</f>
        <v>1.66E-2</v>
      </c>
      <c r="AE6" s="2395">
        <f>ROUND(AVERAGE(J6:J$37)/100,4)</f>
        <v>1.0500000000000001E-2</v>
      </c>
      <c r="AF6" s="2395">
        <f t="shared" ref="AF6" si="23">AE6</f>
        <v>1.0500000000000001E-2</v>
      </c>
      <c r="AG6" s="2395">
        <f>ROUND(AVERAGE(K6:K$37)/100,4)</f>
        <v>1.83E-2</v>
      </c>
      <c r="AH6" s="2395">
        <f>ROUND(AVERAGE(L6:L$37)/100,4)</f>
        <v>1.2200000000000001E-2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6">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5">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09">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8">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5">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635">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635"/>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635"/>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644"/>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640">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635"/>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635"/>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644"/>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640">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635"/>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635"/>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636"/>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634">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635"/>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635"/>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636"/>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634">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635"/>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635"/>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636"/>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641">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642"/>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642"/>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643"/>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634">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635"/>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635"/>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636"/>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634">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635">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635">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636">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634">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635">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635">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636">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634">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635">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635">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636">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634">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635">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635">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636">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634">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635">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635">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636">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634">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635">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635">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636">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634">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635">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635">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636">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634">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635">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635">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636">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634">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635">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635">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636">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634">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635">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635">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636">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7" zoomScaleNormal="100" zoomScaleSheetLayoutView="87" zoomScalePageLayoutView="80" workbookViewId="0">
      <selection activeCell="H22" sqref="H22"/>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8" t="s">
        <v>1888</v>
      </c>
      <c r="B1" s="1899"/>
      <c r="C1" s="1900"/>
      <c r="D1" s="1899"/>
      <c r="E1" s="1899"/>
      <c r="F1" s="1901" t="s">
        <v>1889</v>
      </c>
      <c r="G1" s="1712"/>
      <c r="H1" s="1902" t="str">
        <f>IF(G1="现房","——","估价对象范围")</f>
        <v>估价对象范围</v>
      </c>
      <c r="I1" s="1903"/>
    </row>
    <row r="2" spans="1:12" ht="21.75" customHeight="1" thickBot="1">
      <c r="A2" s="3678" t="str">
        <f>项目基本情况!S2</f>
        <v>北京市房地产</v>
      </c>
      <c r="B2" s="3679"/>
      <c r="C2" s="3679"/>
      <c r="D2" s="3679"/>
      <c r="E2" s="3679"/>
      <c r="F2" s="3679"/>
      <c r="G2" s="3679"/>
      <c r="H2" s="3679"/>
      <c r="I2" s="3680"/>
    </row>
    <row r="3" spans="1:12" ht="12.75">
      <c r="A3" s="3682" t="s">
        <v>1890</v>
      </c>
      <c r="B3" s="3683"/>
      <c r="C3" s="3683"/>
      <c r="D3" s="3683"/>
      <c r="E3" s="3683"/>
      <c r="F3" s="3683"/>
      <c r="G3" s="3683"/>
      <c r="H3" s="3683"/>
      <c r="I3" s="3683"/>
    </row>
    <row r="4" spans="1:12" ht="14.25">
      <c r="A4" s="1906" t="s">
        <v>1891</v>
      </c>
      <c r="B4" s="1907" t="s">
        <v>1892</v>
      </c>
      <c r="C4" s="1908"/>
      <c r="D4" s="1908"/>
      <c r="E4" s="3684" t="s">
        <v>1893</v>
      </c>
      <c r="F4" s="3685"/>
      <c r="G4" s="3685"/>
      <c r="H4" s="3685"/>
      <c r="I4" s="368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8" t="s">
        <v>1894</v>
      </c>
      <c r="B5" s="3558">
        <v>25</v>
      </c>
      <c r="C5" s="3661"/>
      <c r="D5" s="3681"/>
      <c r="E5" s="135" t="s">
        <v>1895</v>
      </c>
      <c r="F5" s="1909"/>
      <c r="G5" s="1909"/>
      <c r="H5" s="1909"/>
      <c r="I5" s="1523"/>
    </row>
    <row r="6" spans="1:12" ht="12.75">
      <c r="A6" s="3658"/>
      <c r="B6" s="3558"/>
      <c r="C6" s="3662"/>
      <c r="D6" s="3681"/>
      <c r="E6" s="135" t="s">
        <v>1896</v>
      </c>
      <c r="F6" s="1909"/>
      <c r="G6" s="1909"/>
      <c r="H6" s="1909"/>
      <c r="I6" s="1523"/>
    </row>
    <row r="7" spans="1:12" ht="12.75">
      <c r="A7" s="3658"/>
      <c r="B7" s="3558"/>
      <c r="C7" s="3663"/>
      <c r="D7" s="3681"/>
      <c r="E7" s="135" t="s">
        <v>1897</v>
      </c>
      <c r="F7" s="1909"/>
      <c r="G7" s="1909"/>
      <c r="H7" s="1909"/>
      <c r="I7" s="1523"/>
    </row>
    <row r="8" spans="1:12" ht="12.75">
      <c r="A8" s="3658" t="s">
        <v>1898</v>
      </c>
      <c r="B8" s="3558">
        <v>15</v>
      </c>
      <c r="C8" s="3661"/>
      <c r="D8" s="3681"/>
      <c r="E8" s="135" t="s">
        <v>1899</v>
      </c>
      <c r="F8" s="1909"/>
      <c r="G8" s="1909"/>
      <c r="H8" s="1909"/>
      <c r="I8" s="1523"/>
    </row>
    <row r="9" spans="1:12" ht="12.75">
      <c r="A9" s="3658"/>
      <c r="B9" s="3558"/>
      <c r="C9" s="3663"/>
      <c r="D9" s="3681"/>
      <c r="E9" s="135" t="s">
        <v>1900</v>
      </c>
      <c r="F9" s="1909"/>
      <c r="G9" s="1909"/>
      <c r="H9" s="1909"/>
      <c r="I9" s="1523"/>
    </row>
    <row r="10" spans="1:12" ht="12.75">
      <c r="A10" s="3658" t="s">
        <v>1901</v>
      </c>
      <c r="B10" s="3558">
        <v>15</v>
      </c>
      <c r="C10" s="3661"/>
      <c r="D10" s="3681"/>
      <c r="E10" s="135" t="s">
        <v>1902</v>
      </c>
      <c r="F10" s="1909"/>
      <c r="G10" s="1909"/>
      <c r="H10" s="1909"/>
      <c r="I10" s="1523"/>
    </row>
    <row r="11" spans="1:12" ht="12.75">
      <c r="A11" s="3658"/>
      <c r="B11" s="3558"/>
      <c r="C11" s="3663"/>
      <c r="D11" s="3681"/>
      <c r="E11" s="135" t="s">
        <v>1903</v>
      </c>
      <c r="F11" s="1909"/>
      <c r="G11" s="1909"/>
      <c r="H11" s="1909"/>
      <c r="I11" s="1523"/>
    </row>
    <row r="12" spans="1:12" ht="12.75">
      <c r="A12" s="3658" t="s">
        <v>1904</v>
      </c>
      <c r="B12" s="3558">
        <v>15</v>
      </c>
      <c r="C12" s="3661"/>
      <c r="D12" s="3681"/>
      <c r="E12" s="135" t="s">
        <v>1905</v>
      </c>
      <c r="F12" s="1909"/>
      <c r="G12" s="1909"/>
      <c r="H12" s="1909"/>
      <c r="I12" s="1523"/>
    </row>
    <row r="13" spans="1:12" ht="12.75">
      <c r="A13" s="3658"/>
      <c r="B13" s="3558"/>
      <c r="C13" s="3663"/>
      <c r="D13" s="3681"/>
      <c r="E13" s="135" t="s">
        <v>1906</v>
      </c>
      <c r="F13" s="1909"/>
      <c r="G13" s="1909"/>
      <c r="H13" s="1909"/>
      <c r="I13" s="1523"/>
    </row>
    <row r="14" spans="1:12" ht="12.75">
      <c r="A14" s="3658" t="s">
        <v>1907</v>
      </c>
      <c r="B14" s="3558">
        <v>30</v>
      </c>
      <c r="C14" s="3661"/>
      <c r="D14" s="3681"/>
      <c r="E14" s="135" t="s">
        <v>1908</v>
      </c>
      <c r="F14" s="1909"/>
      <c r="G14" s="1909"/>
      <c r="H14" s="1909"/>
      <c r="I14" s="1523"/>
    </row>
    <row r="15" spans="1:12" ht="12.75">
      <c r="A15" s="3658"/>
      <c r="B15" s="3558"/>
      <c r="C15" s="3662"/>
      <c r="D15" s="3681"/>
      <c r="E15" s="135" t="s">
        <v>1909</v>
      </c>
      <c r="F15" s="1909"/>
      <c r="G15" s="1909"/>
      <c r="H15" s="1909"/>
      <c r="I15" s="1523"/>
    </row>
    <row r="16" spans="1:12" ht="12.75">
      <c r="A16" s="3658"/>
      <c r="B16" s="3558"/>
      <c r="C16" s="3663"/>
      <c r="D16" s="3681"/>
      <c r="E16" s="135" t="s">
        <v>1910</v>
      </c>
      <c r="F16" s="1909"/>
      <c r="G16" s="1909"/>
      <c r="H16" s="1909"/>
      <c r="I16" s="1523"/>
    </row>
    <row r="17" spans="1:36" ht="15">
      <c r="A17" s="1910" t="s">
        <v>1911</v>
      </c>
      <c r="B17" s="60"/>
      <c r="C17" s="136">
        <f>SUM(C5:C16)</f>
        <v>0</v>
      </c>
      <c r="D17" s="136">
        <f>SUM(D5:D16)</f>
        <v>0</v>
      </c>
      <c r="E17" s="133"/>
      <c r="F17" s="133"/>
      <c r="G17" s="133"/>
      <c r="H17" s="133"/>
      <c r="I17" s="133"/>
      <c r="K17" s="307"/>
      <c r="L17" s="307" t="s">
        <v>1912</v>
      </c>
      <c r="M17" s="307" t="s">
        <v>1913</v>
      </c>
    </row>
    <row r="18" spans="1:36" ht="31.9" customHeight="1" thickBot="1">
      <c r="A18" s="1911" t="s">
        <v>1914</v>
      </c>
      <c r="B18" s="1912"/>
      <c r="C18" s="137" t="e">
        <f>ROUND(C17/SUM(C17:D17),2)</f>
        <v>#DIV/0!</v>
      </c>
      <c r="D18" s="137" t="e">
        <f>1-C18</f>
        <v>#DIV/0!</v>
      </c>
      <c r="E18" s="3668" t="s">
        <v>2812</v>
      </c>
      <c r="F18" s="3669"/>
      <c r="G18" s="3669"/>
      <c r="H18" s="3669"/>
      <c r="I18" s="3669"/>
      <c r="K18" s="307" t="s">
        <v>1915</v>
      </c>
      <c r="L18" s="307">
        <f>IF(C1="",'数据-汇总表'!E3,SUMIF(项目类型,C1,'数据-汇总表'!E17:E26)+SUMIF(项目类型,C1,'数据-汇总表'!I17:I26))</f>
        <v>63761.02</v>
      </c>
      <c r="M18" s="307">
        <f>IF(C1="",'数据-汇总表'!E3,SUMIF(项目类型,C1,'数据-汇总表'!E17:E26))</f>
        <v>63761.02</v>
      </c>
    </row>
    <row r="19" spans="1:36" ht="15">
      <c r="A19" s="1913" t="s">
        <v>1916</v>
      </c>
      <c r="B19" s="1914" t="s">
        <v>1917</v>
      </c>
      <c r="C19" s="138" t="e">
        <f ca="1">SUMIF(INDIRECT("'"&amp;C4&amp;"'"&amp;"!A:A"),结果表!B19,INDIRECT("'"&amp;C4&amp;"'"&amp;"!B:B"))</f>
        <v>#REF!</v>
      </c>
      <c r="D19" s="139" t="e">
        <f ca="1">SUMIF(INDIRECT("'"&amp;D4&amp;"'"&amp;"!A:A"),结果表!B19,INDIRECT("'"&amp;D4&amp;"'"&amp;"!B:B"))</f>
        <v>#REF!</v>
      </c>
      <c r="E19" s="1913" t="s">
        <v>1918</v>
      </c>
      <c r="F19" s="1914" t="s">
        <v>1917</v>
      </c>
      <c r="G19" s="140" t="e">
        <f ca="1">ROUND(C19*$C$18+D19*$D$18,0)</f>
        <v>#REF!</v>
      </c>
      <c r="H19" s="1915" t="s">
        <v>1919</v>
      </c>
      <c r="I19" s="133"/>
      <c r="K19" s="307" t="s">
        <v>1920</v>
      </c>
      <c r="L19" s="307">
        <f>IF(C1="",'数据-汇总表'!D3,SUMIF(项目类型,C1,'数据-汇总表'!D17:D26)+SUMIF(项目类型,C1,'数据-汇总表'!H17:H27))</f>
        <v>25000</v>
      </c>
      <c r="M19" s="307">
        <f>IF(C1="",'数据-汇总表'!D3,SUMIF(项目类型,C1,'数据-汇总表'!D17:D26))</f>
        <v>25000</v>
      </c>
    </row>
    <row r="20" spans="1:36" ht="15">
      <c r="A20" s="1916"/>
      <c r="B20" s="1155" t="s">
        <v>1921</v>
      </c>
      <c r="C20" s="141" t="e">
        <f ca="1">SUMIF(INDIRECT("'"&amp;C4&amp;"'"&amp;"!A:A"),结果表!B20,INDIRECT("'"&amp;C4&amp;"'"&amp;"!B:B"))</f>
        <v>#REF!</v>
      </c>
      <c r="D20" s="142" t="e">
        <f ca="1">SUMIF(INDIRECT("'"&amp;D4&amp;"'"&amp;"!A:A"),结果表!B20,INDIRECT("'"&amp;D4&amp;"'"&amp;"!B:B"))</f>
        <v>#REF!</v>
      </c>
      <c r="E20" s="1916"/>
      <c r="F20" s="1155" t="s">
        <v>1921</v>
      </c>
      <c r="G20" s="143" t="e">
        <f ca="1">ROUND(C20*$C$18+D20*$D$18,0)</f>
        <v>#REF!</v>
      </c>
      <c r="H20" s="915" t="s">
        <v>1922</v>
      </c>
      <c r="I20" s="133"/>
    </row>
    <row r="21" spans="1:36" ht="15" customHeight="1" thickBot="1">
      <c r="A21" s="935"/>
      <c r="B21" s="1917" t="s">
        <v>1923</v>
      </c>
      <c r="C21" s="726" t="e">
        <f ca="1">ROUND(C19*10000/L19,0)</f>
        <v>#REF!</v>
      </c>
      <c r="D21" s="727" t="e">
        <f ca="1">ROUND(D19*10000/L19,0)</f>
        <v>#REF!</v>
      </c>
      <c r="E21" s="935"/>
      <c r="F21" s="1917" t="s">
        <v>1923</v>
      </c>
      <c r="G21" s="144" t="e">
        <f ca="1">ROUND(G19*10000/L19,0)</f>
        <v>#REF!</v>
      </c>
      <c r="H21" s="1918" t="s">
        <v>1922</v>
      </c>
      <c r="I21" s="133"/>
    </row>
    <row r="22" spans="1:36" ht="15" thickBot="1">
      <c r="A22" s="1840" t="s">
        <v>1924</v>
      </c>
      <c r="B22" s="1919"/>
      <c r="C22" s="1920"/>
      <c r="D22" s="728" t="e">
        <f ca="1">IF(C19&lt;D19,D19/C19-1,C19/D19-1)</f>
        <v>#REF!</v>
      </c>
      <c r="E22" s="133"/>
      <c r="F22" s="133"/>
      <c r="G22" s="133"/>
      <c r="H22" s="133"/>
      <c r="I22" s="133"/>
    </row>
    <row r="23" spans="1:36" ht="13.5" thickBot="1">
      <c r="A23" s="1899"/>
      <c r="B23" s="1899"/>
      <c r="C23" s="1899"/>
      <c r="D23" s="1899"/>
      <c r="E23" s="133"/>
      <c r="F23" s="133"/>
      <c r="G23" s="133"/>
      <c r="H23" s="133"/>
      <c r="I23" s="133"/>
    </row>
    <row r="24" spans="1:36" ht="14.25">
      <c r="A24" s="3652" t="s">
        <v>1925</v>
      </c>
      <c r="B24" s="1914" t="s">
        <v>1917</v>
      </c>
      <c r="C24" s="140">
        <f>IF(B30=0,0,D30)</f>
        <v>0</v>
      </c>
      <c r="D24" s="1921"/>
      <c r="E24" s="133"/>
      <c r="F24" s="133"/>
      <c r="G24" s="133"/>
      <c r="H24" s="133"/>
      <c r="I24" s="133"/>
    </row>
    <row r="25" spans="1:36" ht="14.25">
      <c r="A25" s="3653"/>
      <c r="B25" s="1155" t="s">
        <v>1921</v>
      </c>
      <c r="C25" s="145">
        <f>IF(B30=0,0,C30)</f>
        <v>0</v>
      </c>
      <c r="D25" s="1922"/>
      <c r="E25" s="133"/>
      <c r="F25" s="133"/>
      <c r="G25" s="133"/>
      <c r="H25" s="133"/>
      <c r="I25" s="133"/>
    </row>
    <row r="26" spans="1:36" ht="13.5" customHeight="1">
      <c r="A26" s="1923" t="s">
        <v>1926</v>
      </c>
      <c r="B26" s="146" t="s">
        <v>1927</v>
      </c>
      <c r="C26" s="146" t="s">
        <v>1928</v>
      </c>
      <c r="D26" s="147" t="s">
        <v>1929</v>
      </c>
      <c r="E26" s="133"/>
      <c r="F26" s="133"/>
      <c r="G26" s="133"/>
      <c r="H26" s="133"/>
      <c r="I26" s="133"/>
    </row>
    <row r="27" spans="1:36" ht="14.25">
      <c r="A27" s="1923"/>
      <c r="B27" s="146">
        <v>0</v>
      </c>
      <c r="C27" s="146">
        <v>0</v>
      </c>
      <c r="D27" s="147">
        <f>ROUND(C27*B27/10000,0)</f>
        <v>0</v>
      </c>
      <c r="E27" s="133"/>
      <c r="F27" s="133"/>
      <c r="G27" s="133"/>
      <c r="H27" s="133"/>
      <c r="I27" s="133"/>
    </row>
    <row r="28" spans="1:36" ht="14.25">
      <c r="A28" s="1923"/>
      <c r="B28" s="146"/>
      <c r="C28" s="146"/>
      <c r="D28" s="147"/>
      <c r="E28" s="133"/>
      <c r="F28" s="133"/>
      <c r="G28" s="133"/>
      <c r="H28" s="133"/>
      <c r="I28" s="133"/>
    </row>
    <row r="29" spans="1:36" ht="14.25">
      <c r="A29" s="1923"/>
      <c r="B29" s="146"/>
      <c r="C29" s="146"/>
      <c r="D29" s="147"/>
      <c r="E29" s="133"/>
      <c r="F29" s="133"/>
      <c r="G29" s="133"/>
      <c r="H29" s="133"/>
      <c r="I29" s="133"/>
    </row>
    <row r="30" spans="1:36" ht="15" thickBot="1">
      <c r="A30" s="146" t="s">
        <v>1930</v>
      </c>
      <c r="B30" s="146"/>
      <c r="C30" s="146"/>
      <c r="D30" s="146"/>
      <c r="E30" s="2487" t="s">
        <v>2813</v>
      </c>
      <c r="F30" s="133"/>
      <c r="G30" s="133"/>
      <c r="H30" s="133"/>
      <c r="I30" s="133"/>
    </row>
    <row r="31" spans="1:36" s="2493" customFormat="1" ht="26.45" customHeight="1" thickTop="1" thickBot="1">
      <c r="A31" s="2488"/>
      <c r="B31" s="2489"/>
      <c r="C31" s="2489"/>
      <c r="D31" s="2489"/>
      <c r="E31" s="2489"/>
      <c r="F31" s="2489"/>
      <c r="G31" s="2489"/>
      <c r="H31" s="2489"/>
      <c r="I31" s="2490" t="s">
        <v>2814</v>
      </c>
      <c r="J31" s="2883"/>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8" t="e">
        <f ca="1">IF(D32="总价",G19-C24,G20-C25)</f>
        <v>#REF!</v>
      </c>
      <c r="D32" s="1927"/>
      <c r="E32" s="133"/>
      <c r="F32" s="133"/>
      <c r="G32" s="133"/>
      <c r="H32" s="133"/>
      <c r="I32" s="133"/>
    </row>
    <row r="33" spans="1:15" ht="15">
      <c r="A33" s="892" t="s">
        <v>1932</v>
      </c>
      <c r="B33" s="1928"/>
      <c r="C33" s="1929"/>
      <c r="D33" s="1930"/>
      <c r="E33" s="1931" t="s">
        <v>1933</v>
      </c>
      <c r="F33" s="1932" t="str">
        <f>IF(D32="楼面单价","取值（单价）","取值（总价）")</f>
        <v>取值（总价）</v>
      </c>
      <c r="G33" s="133"/>
      <c r="H33" s="133"/>
      <c r="I33" s="133"/>
    </row>
    <row r="34" spans="1:15" ht="15">
      <c r="A34" s="1933"/>
      <c r="B34" s="1934" t="s">
        <v>1934</v>
      </c>
      <c r="C34" s="152" t="e">
        <f ca="1">IF(C33="自定义",F34,C32-C35)</f>
        <v>#REF!</v>
      </c>
      <c r="D34" s="968" t="e">
        <f ca="1">IF(C33="自定义",ROUND(C34/C32,3),IF(C33="收益比率",SUMIF(INDIRECT("'"&amp;D33&amp;"'"&amp;"!b:b"),"土地收益比率",INDIRECT("'"&amp;D33&amp;"'"&amp;"!c:c")),SUMIF(INDIRECT("'"&amp;D33&amp;"'"&amp;"!b:b"),"土地成本比率",INDIRECT("'"&amp;D33&amp;"'"&amp;"!c:c"))))</f>
        <v>#REF!</v>
      </c>
      <c r="E34" s="1935" t="s">
        <v>1935</v>
      </c>
      <c r="F34" s="1466"/>
      <c r="G34" s="133"/>
      <c r="H34" s="133"/>
      <c r="I34" s="133"/>
    </row>
    <row r="35" spans="1:15" ht="15.75" thickBot="1">
      <c r="A35" s="1936"/>
      <c r="B35" s="1937" t="s">
        <v>1936</v>
      </c>
      <c r="C35" s="1300" t="e">
        <f ca="1">IF(C33="自定义",F35,ROUND(C32*D35,0))</f>
        <v>#REF!</v>
      </c>
      <c r="D35" s="1301" t="e">
        <f ca="1">IF(C33="自定义",ROUND(C35/C32,3),IF(C33="收益比率",SUMIF(INDIRECT("'"&amp;D33&amp;"'"&amp;"!b:b"),"建筑物收益比率",INDIRECT("'"&amp;D33&amp;"'"&amp;"!c:c")),SUMIF(INDIRECT("'"&amp;D33&amp;"'"&amp;"!b:b"),"建筑物成本比率",INDIRECT("'"&amp;D33&amp;"'"&amp;"!c:c"))))</f>
        <v>#REF!</v>
      </c>
      <c r="E35" s="1938" t="s">
        <v>1937</v>
      </c>
      <c r="F35" s="158"/>
      <c r="G35" s="133"/>
      <c r="H35" s="133"/>
      <c r="I35" s="133"/>
    </row>
    <row r="36" spans="1:15" ht="15.75" thickBot="1">
      <c r="A36" s="3672" t="s">
        <v>1938</v>
      </c>
      <c r="B36" s="1939" t="s">
        <v>1939</v>
      </c>
      <c r="C36" s="149"/>
      <c r="D36" s="1940"/>
      <c r="E36" s="1941"/>
      <c r="F36" s="1942"/>
      <c r="G36" s="133"/>
      <c r="H36" s="133"/>
      <c r="I36" s="133"/>
    </row>
    <row r="37" spans="1:15" ht="15.75" thickBot="1">
      <c r="A37" s="3673"/>
      <c r="B37" s="1826" t="s">
        <v>1940</v>
      </c>
      <c r="C37" s="151"/>
      <c r="D37" s="1269"/>
      <c r="E37" s="1269"/>
      <c r="F37" s="1942"/>
      <c r="G37" s="133"/>
      <c r="H37" s="133"/>
      <c r="I37" s="133"/>
    </row>
    <row r="38" spans="1:15" ht="15.75" thickBot="1">
      <c r="A38" s="3674"/>
      <c r="B38" s="1943" t="s">
        <v>1941</v>
      </c>
      <c r="C38" s="681"/>
      <c r="D38" s="1944" t="s">
        <v>1942</v>
      </c>
      <c r="E38" s="1269"/>
      <c r="F38" s="1942"/>
      <c r="G38" s="133"/>
      <c r="H38" s="133"/>
      <c r="I38" s="133"/>
    </row>
    <row r="39" spans="1:15" ht="15">
      <c r="A39" s="1916" t="s">
        <v>1943</v>
      </c>
      <c r="B39" s="1945" t="s">
        <v>1944</v>
      </c>
      <c r="C39" s="1946" t="s">
        <v>1945</v>
      </c>
      <c r="D39" s="1946" t="s">
        <v>1946</v>
      </c>
      <c r="E39" s="1947" t="s">
        <v>1947</v>
      </c>
      <c r="F39" s="1942"/>
      <c r="G39" s="133"/>
      <c r="H39" s="133"/>
      <c r="I39" s="133"/>
    </row>
    <row r="40" spans="1:15" ht="14.25">
      <c r="A40" s="1948" t="s">
        <v>1948</v>
      </c>
      <c r="B40" s="153"/>
      <c r="C40" s="154"/>
      <c r="D40" s="154"/>
      <c r="E40" s="155"/>
      <c r="F40" s="1942"/>
      <c r="G40" s="133"/>
      <c r="H40" s="133"/>
      <c r="I40" s="133"/>
    </row>
    <row r="41" spans="1:15" ht="14.25">
      <c r="A41" s="1948" t="s">
        <v>1949</v>
      </c>
      <c r="B41" s="153"/>
      <c r="C41" s="154"/>
      <c r="D41" s="154"/>
      <c r="E41" s="155"/>
      <c r="F41" s="1942"/>
      <c r="G41" s="133"/>
      <c r="H41" s="133"/>
      <c r="I41" s="133"/>
    </row>
    <row r="42" spans="1:15" ht="15" thickBot="1">
      <c r="A42" s="1949"/>
      <c r="B42" s="156"/>
      <c r="C42" s="157"/>
      <c r="D42" s="157"/>
      <c r="E42" s="158"/>
      <c r="F42" s="1942"/>
      <c r="G42" s="133"/>
      <c r="H42" s="133"/>
      <c r="I42" s="133"/>
    </row>
    <row r="43" spans="1:15" ht="12.75">
      <c r="A43" s="1728"/>
      <c r="B43" s="1728"/>
      <c r="C43" s="1728"/>
      <c r="D43" s="1728"/>
      <c r="E43" s="1728"/>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649" t="s">
        <v>1952</v>
      </c>
      <c r="B45" s="3650"/>
      <c r="C45" s="3651"/>
      <c r="D45" s="159" t="e">
        <f ca="1">ROUND(H101*F45,0)</f>
        <v>#REF!</v>
      </c>
      <c r="E45" s="160" t="s">
        <v>1953</v>
      </c>
      <c r="F45" s="161">
        <v>1</v>
      </c>
      <c r="G45" s="162" t="s">
        <v>1954</v>
      </c>
      <c r="H45" s="133"/>
      <c r="I45" s="133"/>
      <c r="J45" s="3730" t="s">
        <v>1955</v>
      </c>
      <c r="K45" s="3730"/>
      <c r="L45" s="3730"/>
      <c r="M45" s="3730"/>
      <c r="N45" s="3730"/>
      <c r="O45" s="3730"/>
    </row>
    <row r="46" spans="1:15" ht="14.25" customHeight="1">
      <c r="A46" s="3646" t="s">
        <v>1956</v>
      </c>
      <c r="B46" s="3647"/>
      <c r="C46" s="3647"/>
      <c r="D46" s="3647"/>
      <c r="E46" s="3647"/>
      <c r="F46" s="3647"/>
      <c r="G46" s="3648"/>
      <c r="H46" s="1958"/>
      <c r="I46" s="163"/>
      <c r="J46" s="2714">
        <v>1</v>
      </c>
      <c r="K46" s="3711" t="s">
        <v>1957</v>
      </c>
      <c r="L46" s="3711"/>
      <c r="M46" s="3731"/>
      <c r="N46" s="3731"/>
      <c r="O46" s="3731"/>
    </row>
    <row r="47" spans="1:15" ht="12" customHeight="1">
      <c r="A47" s="164" t="s">
        <v>1958</v>
      </c>
      <c r="B47" s="165"/>
      <c r="C47" s="166"/>
      <c r="D47" s="1215" t="s">
        <v>1959</v>
      </c>
      <c r="E47" s="307" t="s">
        <v>1960</v>
      </c>
      <c r="F47" s="167" t="s">
        <v>1961</v>
      </c>
      <c r="G47" s="2737" t="s">
        <v>1962</v>
      </c>
      <c r="H47" s="2738"/>
      <c r="I47" s="163"/>
      <c r="J47" s="2714">
        <v>2</v>
      </c>
      <c r="K47" s="3711" t="s">
        <v>1963</v>
      </c>
      <c r="L47" s="3711"/>
      <c r="M47" s="3732">
        <f>'数据-取费表'!B2</f>
        <v>44617</v>
      </c>
      <c r="N47" s="3732"/>
      <c r="O47" s="3732"/>
    </row>
    <row r="48" spans="1:15" ht="25.5">
      <c r="A48" s="3677" t="s">
        <v>1964</v>
      </c>
      <c r="B48" s="3660"/>
      <c r="C48" s="3660"/>
      <c r="D48" s="2513" t="b">
        <f>IF(H48="情况1",0,IF(H48="情况2",D52,IF(H48="情况3",D53,IF(H48="情况4",D54))))</f>
        <v>0</v>
      </c>
      <c r="E48" s="2523" t="str">
        <f>IF(H48="情况4","(销售额-原购置价)×税（费）率","销售额×税（费）率")</f>
        <v>销售额×税（费）率</v>
      </c>
      <c r="F48" s="2739">
        <f>IF(H48="情况1","免征",'数据-取费表'!B41)</f>
        <v>0</v>
      </c>
      <c r="G48" s="2740" t="s">
        <v>1965</v>
      </c>
      <c r="H48" s="2741"/>
      <c r="I48" s="1958"/>
      <c r="J48" s="2714">
        <v>3</v>
      </c>
      <c r="K48" s="3711" t="s">
        <v>1966</v>
      </c>
      <c r="L48" s="3711"/>
      <c r="M48" s="3733" t="e">
        <f ca="1">H101</f>
        <v>#REF!</v>
      </c>
      <c r="N48" s="3733"/>
      <c r="O48" s="3733"/>
    </row>
    <row r="49" spans="1:35" ht="25.5" customHeight="1">
      <c r="A49" s="2522" t="s">
        <v>1967</v>
      </c>
      <c r="B49" s="3645" t="s">
        <v>1968</v>
      </c>
      <c r="C49" s="3645"/>
      <c r="D49" s="1741">
        <v>0</v>
      </c>
      <c r="E49" s="329" t="s">
        <v>1969</v>
      </c>
      <c r="F49" s="2615" t="s">
        <v>34</v>
      </c>
      <c r="G49" s="3717"/>
      <c r="H49" s="2494" t="s">
        <v>2815</v>
      </c>
      <c r="I49" s="2495"/>
      <c r="J49" s="2714">
        <v>4</v>
      </c>
      <c r="K49" s="3711" t="str">
        <f>IF(项目基本情况!E8="房地产抵押价值","房地产抵押价值","抵押担保权已注销时的房地产抵押价值")</f>
        <v>抵押担保权已注销时的房地产抵押价值</v>
      </c>
      <c r="L49" s="3711"/>
      <c r="M49" s="3733" t="str">
        <f>IF(项目基本情况!E8="房地产抵押价值",H107,H109)</f>
        <v>——</v>
      </c>
      <c r="N49" s="3733"/>
      <c r="O49" s="3733"/>
    </row>
    <row r="50" spans="1:35" ht="25.5" customHeight="1">
      <c r="A50" s="2742"/>
      <c r="B50" s="3645" t="s">
        <v>1970</v>
      </c>
      <c r="C50" s="3645"/>
      <c r="D50" s="2743"/>
      <c r="E50" s="337"/>
      <c r="F50" s="2615"/>
      <c r="G50" s="3718"/>
      <c r="H50" s="2496" t="s">
        <v>2816</v>
      </c>
      <c r="I50" s="2495"/>
      <c r="J50" s="3730" t="s">
        <v>1971</v>
      </c>
      <c r="K50" s="3730"/>
      <c r="L50" s="3730"/>
      <c r="M50" s="3730"/>
      <c r="N50" s="3730"/>
      <c r="O50" s="3730"/>
    </row>
    <row r="51" spans="1:35" ht="20.45" customHeight="1">
      <c r="A51" s="2744"/>
      <c r="B51" s="3645" t="s">
        <v>1972</v>
      </c>
      <c r="C51" s="3645"/>
      <c r="D51" s="1215"/>
      <c r="E51" s="332"/>
      <c r="F51" s="2615"/>
      <c r="G51" s="3719"/>
      <c r="H51" s="2496" t="s">
        <v>2817</v>
      </c>
      <c r="I51" s="2495"/>
      <c r="J51" s="2715" t="s">
        <v>1973</v>
      </c>
      <c r="K51" s="3711" t="s">
        <v>1974</v>
      </c>
      <c r="L51" s="3711"/>
      <c r="M51" s="2715" t="s">
        <v>1975</v>
      </c>
      <c r="N51" s="2715" t="s">
        <v>1976</v>
      </c>
      <c r="O51" s="2715" t="s">
        <v>1977</v>
      </c>
    </row>
    <row r="52" spans="1:35" ht="24" customHeight="1">
      <c r="A52" s="2524" t="s">
        <v>1978</v>
      </c>
      <c r="B52" s="3645" t="s">
        <v>1979</v>
      </c>
      <c r="C52" s="3645"/>
      <c r="D52" s="1215" t="e">
        <f ca="1">ROUND(D45*'数据-取费表'!B41/(1+'数据-取费表'!C42),0)</f>
        <v>#REF!</v>
      </c>
      <c r="E52" s="2523" t="s">
        <v>1980</v>
      </c>
      <c r="F52" s="2745">
        <f>'数据-取费表'!B41</f>
        <v>0</v>
      </c>
      <c r="G52" s="2746"/>
      <c r="H52" s="2735"/>
      <c r="I52" s="1959"/>
      <c r="J52" s="2714">
        <v>1</v>
      </c>
      <c r="K52" s="3712" t="s">
        <v>1981</v>
      </c>
      <c r="L52" s="3712"/>
      <c r="M52" s="2716" t="b">
        <f>D48</f>
        <v>0</v>
      </c>
      <c r="N52" s="2714" t="str">
        <f>E48</f>
        <v>销售额×税（费）率</v>
      </c>
      <c r="O52" s="2717">
        <f>F48</f>
        <v>0</v>
      </c>
    </row>
    <row r="53" spans="1:35" ht="12" customHeight="1">
      <c r="A53" s="2524" t="s">
        <v>1982</v>
      </c>
      <c r="B53" s="3670" t="s">
        <v>2976</v>
      </c>
      <c r="C53" s="3671"/>
      <c r="D53" s="1215" t="e">
        <f ca="1">ROUND(D45*'数据-取费表'!B41/(1+'数据-取费表'!C42),0)</f>
        <v>#REF!</v>
      </c>
      <c r="E53" s="2523" t="s">
        <v>1980</v>
      </c>
      <c r="F53" s="2745">
        <f>'数据-取费表'!B41</f>
        <v>0</v>
      </c>
      <c r="G53" s="2746"/>
      <c r="H53" s="2735"/>
      <c r="I53" s="1959"/>
      <c r="J53" s="2714">
        <v>2</v>
      </c>
      <c r="K53" s="3712" t="s">
        <v>1983</v>
      </c>
      <c r="L53" s="3712"/>
      <c r="M53" s="2716" t="e">
        <f t="shared" ref="M53:O54" ca="1" si="0">D55</f>
        <v>#REF!</v>
      </c>
      <c r="N53" s="2714" t="str">
        <f t="shared" si="0"/>
        <v>销售额×税（费）率</v>
      </c>
      <c r="O53" s="2717" t="str">
        <f t="shared" si="0"/>
        <v>免征</v>
      </c>
    </row>
    <row r="54" spans="1:35" ht="12" customHeight="1">
      <c r="A54" s="2524" t="s">
        <v>1984</v>
      </c>
      <c r="B54" s="3670" t="s">
        <v>2977</v>
      </c>
      <c r="C54" s="3671"/>
      <c r="D54" s="1215" t="e">
        <f ca="1">C68</f>
        <v>#REF!</v>
      </c>
      <c r="E54" s="332" t="s">
        <v>1985</v>
      </c>
      <c r="F54" s="2745">
        <f>'数据-取费表'!B41</f>
        <v>0</v>
      </c>
      <c r="G54" s="2746"/>
      <c r="H54" s="2747"/>
      <c r="I54" s="1959"/>
      <c r="J54" s="2714">
        <v>3</v>
      </c>
      <c r="K54" s="3712" t="s">
        <v>1986</v>
      </c>
      <c r="L54" s="3712"/>
      <c r="M54" s="2716" t="e">
        <f t="shared" ca="1" si="0"/>
        <v>#REF!</v>
      </c>
      <c r="N54" s="2714" t="str">
        <f t="shared" si="0"/>
        <v>增值额×税（费）率</v>
      </c>
      <c r="O54" s="2718" t="str">
        <f t="shared" si="0"/>
        <v>免征</v>
      </c>
    </row>
    <row r="55" spans="1:35" ht="24" customHeight="1">
      <c r="A55" s="3659" t="s">
        <v>1987</v>
      </c>
      <c r="B55" s="3660"/>
      <c r="C55" s="3660"/>
      <c r="D55" s="2513" t="e">
        <f ca="1">IF(H55="个人住宅",0,ROUND(D45*I55,0))</f>
        <v>#REF!</v>
      </c>
      <c r="E55" s="2523" t="s">
        <v>1988</v>
      </c>
      <c r="F55" s="2745" t="str">
        <f>IF(H55="正常",I55,"免征")</f>
        <v>免征</v>
      </c>
      <c r="G55" s="2746"/>
      <c r="H55" s="2741"/>
      <c r="I55" s="169">
        <f>'数据-取费表'!B49</f>
        <v>5.0000000000000001E-4</v>
      </c>
      <c r="J55" s="2714">
        <f>IF(H59="非个人房产","",4)</f>
        <v>4</v>
      </c>
      <c r="K55" s="3712" t="str">
        <f>IF(H59="非个人房产","——","个人所得税")</f>
        <v>个人所得税</v>
      </c>
      <c r="L55" s="3712"/>
      <c r="M55" s="2719" t="e">
        <f ca="1">D59</f>
        <v>#REF!</v>
      </c>
      <c r="N55" s="2194" t="str">
        <f>E59</f>
        <v>差额计税</v>
      </c>
      <c r="O55" s="2720">
        <f>F59</f>
        <v>0.01</v>
      </c>
    </row>
    <row r="56" spans="1:35" ht="24.75">
      <c r="A56" s="3659" t="s">
        <v>1989</v>
      </c>
      <c r="B56" s="3660"/>
      <c r="C56" s="3660"/>
      <c r="D56" s="2513" t="e">
        <f ca="1">IF(H56="个人住宅",D57,D58)</f>
        <v>#REF!</v>
      </c>
      <c r="E56" s="2523" t="s">
        <v>1990</v>
      </c>
      <c r="F56" s="2745" t="str">
        <f>IF(H56="正常",F58,"免征")</f>
        <v>免征</v>
      </c>
      <c r="G56" s="2748" t="s">
        <v>1991</v>
      </c>
      <c r="H56" s="2749"/>
      <c r="I56" s="1960"/>
      <c r="J56" s="2714" t="str">
        <f>IF(项目基本情况!K6="上海银行",IF(J55="",4,J55+1),"")</f>
        <v/>
      </c>
      <c r="K56" s="3735" t="str">
        <f>IF(项目基本情况!K6="上海银行","其他处置费用","")</f>
        <v/>
      </c>
      <c r="L56" s="3736"/>
      <c r="M56" s="2716" t="str">
        <f>IF(项目基本情况!K6="上海银行",M69,"")</f>
        <v/>
      </c>
      <c r="N56" s="3735" t="str">
        <f>IF(项目基本情况!K6="上海银行","包含处置中涉及的律师、诉讼、拍卖、评估等费用","")</f>
        <v/>
      </c>
      <c r="O56" s="3738"/>
    </row>
    <row r="57" spans="1:35" ht="12.75">
      <c r="A57" s="2524" t="s">
        <v>1967</v>
      </c>
      <c r="B57" s="3670" t="s">
        <v>1992</v>
      </c>
      <c r="C57" s="3671"/>
      <c r="D57" s="1741">
        <v>0</v>
      </c>
      <c r="E57" s="329" t="s">
        <v>1969</v>
      </c>
      <c r="F57" s="307"/>
      <c r="G57" s="2746"/>
      <c r="H57" s="2750"/>
      <c r="I57" s="1960"/>
      <c r="J57" s="3712">
        <f>IF(AND(J55="",J56=""),4,IF(项目基本情况!K6="上海银行",结果表!J56+1,结果表!J55+1))</f>
        <v>5</v>
      </c>
      <c r="K57" s="3712" t="s">
        <v>1993</v>
      </c>
      <c r="L57" s="2721" t="s">
        <v>1994</v>
      </c>
      <c r="M57" s="2722"/>
      <c r="N57" s="2723">
        <f ca="1">SUMIF(M52:M56,"&lt;9e307")</f>
        <v>0</v>
      </c>
      <c r="O57" s="2724"/>
      <c r="P57" s="2884" t="e">
        <f ca="1">N57/M49</f>
        <v>#VALUE!</v>
      </c>
    </row>
    <row r="58" spans="1:35" ht="24.75">
      <c r="A58" s="2524" t="s">
        <v>1978</v>
      </c>
      <c r="B58" s="3670" t="s">
        <v>1995</v>
      </c>
      <c r="C58" s="3645"/>
      <c r="D58" s="2513" t="e">
        <f ca="1">IF(H58="转让取得",C81,C97)</f>
        <v>#REF!</v>
      </c>
      <c r="E58" s="2523" t="s">
        <v>1990</v>
      </c>
      <c r="F58" s="307" t="s">
        <v>34</v>
      </c>
      <c r="G58" s="2746"/>
      <c r="H58" s="2749"/>
      <c r="I58" s="1960"/>
      <c r="J58" s="3712"/>
      <c r="K58" s="3712"/>
      <c r="L58" s="2721" t="s">
        <v>1996</v>
      </c>
      <c r="M58" s="2725"/>
      <c r="N58" s="2726" t="str">
        <f ca="1">NUMBERSTRING(INT(N57*10000),2)&amp;"元整"</f>
        <v>零元整</v>
      </c>
      <c r="O58" s="2727"/>
    </row>
    <row r="59" spans="1:35" ht="24.75" thickBot="1">
      <c r="A59" s="3715" t="s">
        <v>1997</v>
      </c>
      <c r="B59" s="3716"/>
      <c r="C59" s="3716"/>
      <c r="D59" s="2751" t="e">
        <f ca="1">IF(H59="非个人房产","——",IF(H59="个人住宅（满五唯一有凭证）",0,IF(H59="个人其他（无凭证）",ROUND(D45*F59,0),ROUND(C67*F59,0))))</f>
        <v>#REF!</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498"/>
      <c r="I59" s="2497" t="s">
        <v>2818</v>
      </c>
      <c r="J59" s="3713">
        <f>J57+1</f>
        <v>6</v>
      </c>
      <c r="K59" s="3712" t="s">
        <v>1998</v>
      </c>
      <c r="L59" s="2714" t="s">
        <v>1994</v>
      </c>
      <c r="M59" s="2728"/>
      <c r="N59" s="2729" t="e">
        <f ca="1">M49-N57</f>
        <v>#VALUE!</v>
      </c>
      <c r="O59" s="2730"/>
    </row>
    <row r="60" spans="1:35" ht="12" customHeight="1">
      <c r="A60" s="1961"/>
      <c r="B60" s="1899"/>
      <c r="C60" s="1899"/>
      <c r="D60" s="1899"/>
      <c r="E60" s="1729"/>
      <c r="F60" s="1960"/>
      <c r="G60" s="1960"/>
      <c r="H60" s="1962"/>
      <c r="I60" s="133"/>
      <c r="J60" s="3714"/>
      <c r="K60" s="3712"/>
      <c r="L60" s="2721" t="s">
        <v>1996</v>
      </c>
      <c r="M60" s="2725"/>
      <c r="N60" s="2726" t="e">
        <f ca="1">NUMBERSTRING(INT(N59*10000),2)&amp;"元整"</f>
        <v>#VALUE!</v>
      </c>
      <c r="O60" s="2727"/>
    </row>
    <row r="61" spans="1:35" ht="13.5" thickBot="1">
      <c r="A61" s="3657" t="s">
        <v>1999</v>
      </c>
      <c r="B61" s="3657"/>
      <c r="C61" s="3657"/>
      <c r="D61" s="3657"/>
      <c r="E61" s="3657"/>
      <c r="F61" s="1960"/>
      <c r="G61" s="1960"/>
      <c r="H61" s="1962"/>
      <c r="I61" s="133"/>
      <c r="J61" s="2714">
        <f>J59+1</f>
        <v>7</v>
      </c>
      <c r="K61" s="3712" t="s">
        <v>2000</v>
      </c>
      <c r="L61" s="3712"/>
      <c r="M61" s="2731"/>
      <c r="N61" s="2732" t="e">
        <f ca="1">ROUND(N59*10000/'数据-汇总表'!E3,0)</f>
        <v>#VALUE!</v>
      </c>
      <c r="O61" s="2733"/>
    </row>
    <row r="62" spans="1:35" ht="12.75">
      <c r="A62" s="3675" t="s">
        <v>2001</v>
      </c>
      <c r="B62" s="3676"/>
      <c r="C62" s="2175"/>
      <c r="D62" s="2175" t="s">
        <v>2002</v>
      </c>
      <c r="E62" s="170" t="s">
        <v>2003</v>
      </c>
      <c r="F62" s="1960"/>
      <c r="G62" s="1960"/>
      <c r="H62" s="1962"/>
      <c r="I62" s="133"/>
    </row>
    <row r="63" spans="1:35" ht="12.75">
      <c r="A63" s="177" t="s">
        <v>775</v>
      </c>
      <c r="B63" s="171" t="s">
        <v>2004</v>
      </c>
      <c r="C63" s="2755" t="e">
        <f ca="1">ROUND((C64+C65)/(1+'数据-取费表'!C42),0)</f>
        <v>#REF!</v>
      </c>
      <c r="D63" s="171"/>
      <c r="E63" s="172"/>
      <c r="F63" s="1960"/>
      <c r="G63" s="1960"/>
      <c r="H63" s="1962"/>
      <c r="I63" s="133"/>
      <c r="J63" s="3737" t="s">
        <v>2005</v>
      </c>
      <c r="K63" s="1468" t="s">
        <v>2006</v>
      </c>
      <c r="L63" s="1468" t="e">
        <f>IF(M49&gt;10000,M49*0.5%,IF(AND(M49&gt;1000,M49&lt;=10000),M49*1%,IF(AND(M49&gt;100,M49&lt;=1000),M49*3%,IF(AND(M49&gt;10,M49&lt;=100),M49*5%,M49*8%))))</f>
        <v>#VALUE!</v>
      </c>
      <c r="M63" s="307" t="e">
        <f>ROUND(L63,1)</f>
        <v>#VALUE!</v>
      </c>
      <c r="N63" s="2734"/>
      <c r="Z63" s="1904"/>
      <c r="AI63" s="1905"/>
    </row>
    <row r="64" spans="1:35" ht="14.25" customHeight="1">
      <c r="A64" s="173" t="s">
        <v>770</v>
      </c>
      <c r="B64" s="174" t="s">
        <v>2007</v>
      </c>
      <c r="C64" s="2756" t="e">
        <f ca="1">D45</f>
        <v>#REF!</v>
      </c>
      <c r="D64" s="174" t="s">
        <v>32</v>
      </c>
      <c r="E64" s="176"/>
      <c r="F64" s="1960"/>
      <c r="G64" s="1960"/>
      <c r="H64" s="1962"/>
      <c r="I64" s="133"/>
      <c r="J64" s="3737"/>
      <c r="K64" s="1468" t="s">
        <v>2008</v>
      </c>
      <c r="L64" s="146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5" t="s">
        <v>2009</v>
      </c>
      <c r="Z64" s="1904"/>
      <c r="AI64" s="1905"/>
    </row>
    <row r="65" spans="1:35" ht="14.25" customHeight="1">
      <c r="A65" s="173" t="s">
        <v>771</v>
      </c>
      <c r="B65" s="174" t="s">
        <v>2010</v>
      </c>
      <c r="C65" s="2757"/>
      <c r="D65" s="174"/>
      <c r="E65" s="176"/>
      <c r="F65" s="1960"/>
      <c r="G65" s="1960"/>
      <c r="H65" s="1962"/>
      <c r="I65" s="133"/>
      <c r="J65" s="3737"/>
      <c r="K65" s="1468" t="s">
        <v>2011</v>
      </c>
      <c r="L65" s="1468" t="e">
        <f>IF(M49&gt;1000,M49*0.1%,IF(AND(M49&gt;500,M49&lt;=1000),M49*0.5%,IF(AND(M49&gt;50,M49&lt;=500),M49*1%,IF(AND(M49&gt;1,M49&lt;=50),M49*1.5%))))</f>
        <v>#VALUE!</v>
      </c>
      <c r="M65" s="307" t="e">
        <f t="shared" si="1"/>
        <v>#VALUE!</v>
      </c>
      <c r="N65" s="2735" t="s">
        <v>2009</v>
      </c>
      <c r="Z65" s="1904"/>
      <c r="AI65" s="1905"/>
    </row>
    <row r="66" spans="1:35" ht="14.25" customHeight="1">
      <c r="A66" s="177" t="s">
        <v>772</v>
      </c>
      <c r="B66" s="178" t="s">
        <v>2012</v>
      </c>
      <c r="C66" s="2758"/>
      <c r="D66" s="178" t="s">
        <v>32</v>
      </c>
      <c r="E66" s="1475" t="s">
        <v>1277</v>
      </c>
      <c r="F66" s="1960"/>
      <c r="G66" s="1960"/>
      <c r="H66" s="1962"/>
      <c r="I66" s="133"/>
      <c r="J66" s="3737"/>
      <c r="K66" s="1468" t="s">
        <v>2013</v>
      </c>
      <c r="L66" s="1468" t="e">
        <f>M49*0.5%</f>
        <v>#VALUE!</v>
      </c>
      <c r="M66" s="307" t="e">
        <f>IF(L66&gt;0.5,0.5,ROUND(L66,0))</f>
        <v>#VALUE!</v>
      </c>
      <c r="N66" s="2735" t="s">
        <v>2014</v>
      </c>
      <c r="Z66" s="1904"/>
      <c r="AI66" s="1905"/>
    </row>
    <row r="67" spans="1:35" ht="14.25" customHeight="1">
      <c r="A67" s="177" t="s">
        <v>773</v>
      </c>
      <c r="B67" s="178" t="s">
        <v>2015</v>
      </c>
      <c r="C67" s="2759" t="e">
        <f ca="1">C63-C66</f>
        <v>#REF!</v>
      </c>
      <c r="D67" s="174" t="s">
        <v>32</v>
      </c>
      <c r="E67" s="176"/>
      <c r="F67" s="1960"/>
      <c r="G67" s="1960"/>
      <c r="H67" s="1962"/>
      <c r="I67" s="133"/>
      <c r="J67" s="3737"/>
      <c r="K67" s="1468" t="s">
        <v>2016</v>
      </c>
      <c r="L67" s="146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4"/>
      <c r="Z67" s="1904"/>
      <c r="AI67" s="1905"/>
    </row>
    <row r="68" spans="1:35" ht="14.25" customHeight="1" thickBot="1">
      <c r="A68" s="180" t="s">
        <v>774</v>
      </c>
      <c r="B68" s="181" t="s">
        <v>2017</v>
      </c>
      <c r="C68" s="2760" t="e">
        <f ca="1">IF(C67&lt;=0,0,ROUND(C67*D68,0))</f>
        <v>#REF!</v>
      </c>
      <c r="D68" s="2761">
        <f>'数据-取费表'!B41</f>
        <v>0</v>
      </c>
      <c r="E68" s="183"/>
      <c r="F68" s="1960"/>
      <c r="G68" s="1960"/>
      <c r="H68" s="1962"/>
      <c r="I68" s="133"/>
      <c r="J68" s="3737"/>
      <c r="K68" s="1468" t="s">
        <v>2018</v>
      </c>
      <c r="L68" s="1468" t="e">
        <f>IF(M49&gt;10000,M49*0.5%,IF(AND(M49&gt;5000,M49&lt;=10000),M49*1%,IF(AND(M49&gt;1000,M49&lt;=5000),M49*2%,IF(AND(M49&gt;200,M49&lt;=1000),M49*3%,M49*5%))))</f>
        <v>#VALUE!</v>
      </c>
      <c r="M68" s="307" t="e">
        <f>ROUND(L68,1)</f>
        <v>#VALUE!</v>
      </c>
      <c r="N68" s="2734"/>
      <c r="Z68" s="1904"/>
      <c r="AI68" s="1905"/>
    </row>
    <row r="69" spans="1:35" s="1924" customFormat="1" ht="16.5" customHeight="1">
      <c r="A69" s="1963"/>
      <c r="B69" s="1964"/>
      <c r="C69" s="1965"/>
      <c r="D69" s="1966"/>
      <c r="E69" s="1967"/>
      <c r="F69" s="1729"/>
      <c r="G69" s="1729"/>
      <c r="H69" s="1728"/>
      <c r="I69" s="1899"/>
      <c r="J69" s="3737"/>
      <c r="K69" s="1468" t="s">
        <v>2019</v>
      </c>
      <c r="L69" s="1468"/>
      <c r="M69" s="307" t="e">
        <f>ROUND(SUM(M63:M68),0)</f>
        <v>#VALUE!</v>
      </c>
      <c r="N69" s="2736"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696" t="s">
        <v>2020</v>
      </c>
      <c r="B70" s="3697"/>
      <c r="C70" s="3697"/>
      <c r="D70" s="3697"/>
      <c r="E70" s="3697"/>
      <c r="F70" s="3697"/>
      <c r="G70" s="3697"/>
      <c r="H70" s="3697"/>
      <c r="I70" s="1968"/>
      <c r="J70" s="2885"/>
      <c r="K70" s="2885"/>
      <c r="L70" s="2885"/>
      <c r="M70" s="2885"/>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675" t="s">
        <v>2001</v>
      </c>
      <c r="B71" s="3676"/>
      <c r="C71" s="2175"/>
      <c r="D71" s="2175" t="s">
        <v>2002</v>
      </c>
      <c r="E71" s="184" t="s">
        <v>2003</v>
      </c>
      <c r="F71" s="185"/>
      <c r="G71" s="185"/>
      <c r="H71" s="186"/>
      <c r="I71" s="1972"/>
      <c r="J71" s="2885"/>
      <c r="K71" s="2885"/>
      <c r="L71" s="2885"/>
      <c r="M71" s="2885"/>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7" t="s">
        <v>775</v>
      </c>
      <c r="B72" s="178" t="s">
        <v>2021</v>
      </c>
      <c r="C72" s="2759" t="e">
        <f ca="1">ROUND(D45/(1+'数据-取费表'!C42),0)</f>
        <v>#REF!</v>
      </c>
      <c r="D72" s="174" t="s">
        <v>32</v>
      </c>
      <c r="E72" s="2520"/>
      <c r="F72" s="2519"/>
      <c r="G72" s="2519"/>
      <c r="H72" s="187"/>
      <c r="I72" s="1972"/>
      <c r="J72" s="2885"/>
      <c r="K72" s="2885"/>
      <c r="L72" s="2885"/>
      <c r="M72" s="2885"/>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7" t="s">
        <v>772</v>
      </c>
      <c r="B73" s="167" t="s">
        <v>2022</v>
      </c>
      <c r="C73" s="2759" t="e">
        <f ca="1">C74+C78</f>
        <v>#REF!</v>
      </c>
      <c r="D73" s="174" t="s">
        <v>32</v>
      </c>
      <c r="E73" s="2520"/>
      <c r="F73" s="2519"/>
      <c r="G73" s="2519"/>
      <c r="H73" s="187"/>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3" t="s">
        <v>770</v>
      </c>
      <c r="B74" s="174" t="s">
        <v>2023</v>
      </c>
      <c r="C74" s="174">
        <f>ROUND(IF(G77="2016年5月1日后购买",C75/(1+'数据-取费表'!C42)+C76+C77,C75+C76+C77),0)</f>
        <v>0</v>
      </c>
      <c r="D74" s="174" t="s">
        <v>32</v>
      </c>
      <c r="E74" s="2520"/>
      <c r="F74" s="2519"/>
      <c r="G74" s="2519"/>
      <c r="H74" s="187"/>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3" t="s">
        <v>776</v>
      </c>
      <c r="B75" s="174" t="s">
        <v>2024</v>
      </c>
      <c r="C75" s="2762"/>
      <c r="D75" s="174" t="s">
        <v>32</v>
      </c>
      <c r="E75" s="189" t="s">
        <v>2025</v>
      </c>
      <c r="F75" s="2763"/>
      <c r="G75" s="189" t="s">
        <v>2026</v>
      </c>
      <c r="H75" s="2764"/>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3" t="s">
        <v>777</v>
      </c>
      <c r="B76" s="190" t="s">
        <v>2027</v>
      </c>
      <c r="C76" s="174">
        <f>IF(F75="购房发票",ROUND(C75*H75*D76,0),0)</f>
        <v>0</v>
      </c>
      <c r="D76" s="2765">
        <v>0.05</v>
      </c>
      <c r="E76" s="3670" t="s">
        <v>2028</v>
      </c>
      <c r="F76" s="3645"/>
      <c r="G76" s="3645"/>
      <c r="H76" s="3695"/>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3" t="s">
        <v>778</v>
      </c>
      <c r="B77" s="174" t="s">
        <v>2029</v>
      </c>
      <c r="C77" s="174">
        <f>ROUND(IF(G77="个人住宅",0,IF(G77="2016年5月1日前购买",C75*D77,C75*D77/(1+'数据-取费表'!C42))),0)</f>
        <v>0</v>
      </c>
      <c r="D77" s="2766">
        <f>'数据-取费表'!B48+'数据-取费表'!B49</f>
        <v>3.0499999999999999E-2</v>
      </c>
      <c r="E77" s="2513" t="s">
        <v>2030</v>
      </c>
      <c r="F77" s="191"/>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3" t="s">
        <v>771</v>
      </c>
      <c r="B78" s="174" t="s">
        <v>2031</v>
      </c>
      <c r="C78" s="2767" t="e">
        <f ca="1">ROUND(D45*D78/(1+'数据-取费表'!C42),0)</f>
        <v>#REF!</v>
      </c>
      <c r="D78" s="2768">
        <f>'数据-取费表'!B43</f>
        <v>0</v>
      </c>
      <c r="E78" s="3654" t="s">
        <v>2032</v>
      </c>
      <c r="F78" s="3655"/>
      <c r="G78" s="3655"/>
      <c r="H78" s="3664"/>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7" t="s">
        <v>779</v>
      </c>
      <c r="B79" s="178" t="s">
        <v>2033</v>
      </c>
      <c r="C79" s="2759" t="e">
        <f ca="1">C72-C73</f>
        <v>#REF!</v>
      </c>
      <c r="D79" s="174" t="s">
        <v>32</v>
      </c>
      <c r="E79" s="2520"/>
      <c r="F79" s="2519"/>
      <c r="G79" s="2519"/>
      <c r="H79" s="187"/>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7" t="s">
        <v>780</v>
      </c>
      <c r="B80" s="178" t="s">
        <v>2034</v>
      </c>
      <c r="C80" s="2769" t="e">
        <f ca="1">IF(C79&lt;=0,0,C79/C73)</f>
        <v>#REF!</v>
      </c>
      <c r="D80" s="174" t="s">
        <v>32</v>
      </c>
      <c r="E80" s="2513" t="e">
        <f ca="1">IF(C80&gt;=200%,"增值额超过扣除项目金额200%",IF(C80&gt;=100%,"增值额超过扣除项目金额100%，未超过200%",IF(C80&gt;=50%,"增值额超过扣除项目金额50%，未超过100%",IF(C80&lt;50%,"增值额未超过扣除项目金额50%"))))</f>
        <v>#REF!</v>
      </c>
      <c r="F80" s="2519"/>
      <c r="G80" s="2519"/>
      <c r="H80" s="187"/>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0" t="s">
        <v>781</v>
      </c>
      <c r="B81" s="181" t="s">
        <v>2035</v>
      </c>
      <c r="C81" s="2770" t="e">
        <f ca="1">ROUND(IF(C79&lt;=0,0,IF(C80&gt;=200%,C79*60%-C73*35%,IF(C80&gt;=100%,C79*50%-C73*15%,IF(C80&gt;=50%,C79*40%-C73*5%,IF(C80&lt;50%,C79*30%,0))))),0)</f>
        <v>#REF!</v>
      </c>
      <c r="D81" s="277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696" t="s">
        <v>2036</v>
      </c>
      <c r="B83" s="3697"/>
      <c r="C83" s="3697"/>
      <c r="D83" s="3697"/>
      <c r="E83" s="3697"/>
      <c r="F83" s="3697"/>
      <c r="G83" s="3697"/>
      <c r="H83" s="3697"/>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675" t="s">
        <v>2001</v>
      </c>
      <c r="B84" s="3676"/>
      <c r="C84" s="2175"/>
      <c r="D84" s="2175" t="s">
        <v>2002</v>
      </c>
      <c r="E84" s="184" t="s">
        <v>2003</v>
      </c>
      <c r="F84" s="185"/>
      <c r="G84" s="185"/>
      <c r="H84" s="196"/>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7" t="s">
        <v>775</v>
      </c>
      <c r="B85" s="178" t="s">
        <v>2021</v>
      </c>
      <c r="C85" s="2759" t="e">
        <f ca="1">ROUND(D45/(1+'数据-取费表'!C42),0)</f>
        <v>#REF!</v>
      </c>
      <c r="D85" s="174" t="s">
        <v>32</v>
      </c>
      <c r="E85" s="2520"/>
      <c r="F85" s="2519"/>
      <c r="G85" s="2519"/>
      <c r="H85" s="197"/>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7" t="s">
        <v>772</v>
      </c>
      <c r="B86" s="167" t="s">
        <v>2022</v>
      </c>
      <c r="C86" s="2759" t="e">
        <f ca="1">IF(H88="仅含出让金",C87+C90+C91+C92+C93+C94,C87+C91+C92+C93+C94)</f>
        <v>#REF!</v>
      </c>
      <c r="D86" s="2772"/>
      <c r="E86" s="2520"/>
      <c r="F86" s="2519"/>
      <c r="G86" s="2519"/>
      <c r="H86" s="197"/>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3" t="s">
        <v>770</v>
      </c>
      <c r="B87" s="174" t="s">
        <v>2037</v>
      </c>
      <c r="C87" s="2767">
        <f>C88+C89</f>
        <v>0</v>
      </c>
      <c r="D87" s="2768"/>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3" t="s">
        <v>776</v>
      </c>
      <c r="B88" s="174" t="s">
        <v>2038</v>
      </c>
      <c r="C88" s="2773"/>
      <c r="D88" s="2768"/>
      <c r="E88" s="198" t="s">
        <v>2039</v>
      </c>
      <c r="F88" s="2516"/>
      <c r="G88" s="199" t="s">
        <v>2040</v>
      </c>
      <c r="H88" s="1976"/>
      <c r="I88" s="1973"/>
      <c r="J88" s="2712" t="s">
        <v>2973</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3" t="s">
        <v>777</v>
      </c>
      <c r="B89" s="174" t="s">
        <v>2029</v>
      </c>
      <c r="C89" s="2767">
        <f>ROUND(C88*D89,0)</f>
        <v>0</v>
      </c>
      <c r="D89" s="2768">
        <f>'数据-取费表'!B48+'数据-取费表'!B49</f>
        <v>3.0499999999999999E-2</v>
      </c>
      <c r="E89" s="198"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3" t="s">
        <v>771</v>
      </c>
      <c r="B90" s="174" t="s">
        <v>2042</v>
      </c>
      <c r="C90" s="2773"/>
      <c r="D90" s="2768"/>
      <c r="E90" s="198" t="str">
        <f>IF(H88="-","土地取得成本中已包含该笔费用"," ")</f>
        <v xml:space="preserve"> </v>
      </c>
      <c r="F90" s="2516"/>
      <c r="G90" s="3739" t="s">
        <v>2810</v>
      </c>
      <c r="H90" s="3740"/>
      <c r="I90" s="1973"/>
      <c r="J90" s="2712" t="s">
        <v>2974</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3" t="s">
        <v>2043</v>
      </c>
      <c r="B91" s="174" t="s">
        <v>2044</v>
      </c>
      <c r="C91" s="2767">
        <f>IF(H91="——",成本法!C33,I91)</f>
        <v>0</v>
      </c>
      <c r="D91" s="2768"/>
      <c r="E91" s="3654" t="s">
        <v>2045</v>
      </c>
      <c r="F91" s="3655"/>
      <c r="G91" s="3655"/>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3" t="s">
        <v>2046</v>
      </c>
      <c r="B92" s="174" t="s">
        <v>2047</v>
      </c>
      <c r="C92" s="2767">
        <f>ROUND((C87+C90+C91)*D92,0)</f>
        <v>0</v>
      </c>
      <c r="D92" s="2774"/>
      <c r="E92" s="3654" t="s">
        <v>2048</v>
      </c>
      <c r="F92" s="3655"/>
      <c r="G92" s="3655"/>
      <c r="H92" s="3664"/>
      <c r="I92" s="1973"/>
      <c r="J92" s="2713" t="s">
        <v>2975</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3" t="s">
        <v>2049</v>
      </c>
      <c r="B93" s="174" t="s">
        <v>2031</v>
      </c>
      <c r="C93" s="2767" t="e">
        <f ca="1">ROUND(D45*D93/(1+'数据-取费表'!C42),0)</f>
        <v>#REF!</v>
      </c>
      <c r="D93" s="2768">
        <f>'数据-取费表'!B43</f>
        <v>0</v>
      </c>
      <c r="E93" s="3654" t="s">
        <v>2032</v>
      </c>
      <c r="F93" s="3655"/>
      <c r="G93" s="3655"/>
      <c r="H93" s="3664"/>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3" t="s">
        <v>2050</v>
      </c>
      <c r="B94" s="174" t="s">
        <v>2051</v>
      </c>
      <c r="C94" s="2773">
        <f>ROUND((C87+C90+C91)*D94,0)</f>
        <v>0</v>
      </c>
      <c r="D94" s="2768">
        <v>0.2</v>
      </c>
      <c r="E94" s="3665" t="s">
        <v>2052</v>
      </c>
      <c r="F94" s="3666"/>
      <c r="G94" s="3666"/>
      <c r="H94" s="3667"/>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7" t="s">
        <v>779</v>
      </c>
      <c r="B95" s="178" t="s">
        <v>2033</v>
      </c>
      <c r="C95" s="2759" t="e">
        <f ca="1">ROUND(C85-C86,0)</f>
        <v>#REF!</v>
      </c>
      <c r="D95" s="174" t="s">
        <v>32</v>
      </c>
      <c r="E95" s="2520"/>
      <c r="F95" s="2519"/>
      <c r="G95" s="2519"/>
      <c r="H95" s="197"/>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7" t="s">
        <v>780</v>
      </c>
      <c r="B96" s="178" t="s">
        <v>2034</v>
      </c>
      <c r="C96" s="2769" t="e">
        <f ca="1">IF(C95&lt;=0,0,C95/C86)</f>
        <v>#REF!</v>
      </c>
      <c r="D96" s="174" t="s">
        <v>32</v>
      </c>
      <c r="E96" s="2513" t="e">
        <f ca="1">IF(C96&gt;=200%,"增值额超过扣除项目金额200%",IF(C96&gt;=100%,"增值额超过扣除项目金额100%，未超过200%",IF(C96&gt;=50%,"增值额超过扣除项目金额50%，未超过100%",IF(C96&lt;50%,"增值额未超过扣除项目金额50%"))))</f>
        <v>#REF!</v>
      </c>
      <c r="F96" s="2519"/>
      <c r="G96" s="2519"/>
      <c r="H96" s="197"/>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0" t="s">
        <v>781</v>
      </c>
      <c r="B97" s="181" t="s">
        <v>2035</v>
      </c>
      <c r="C97" s="2770" t="e">
        <f ca="1">ROUND(IF(C95&lt;=0,0,IF(C96&gt;=200%,C95*60%-C86*35%,IF(C96&gt;=100%,C95*50%-C86*15%,IF(C96&gt;=50%,C95*40%-C86*5%,IF(C96&lt;50%,C95*30%,0))))),0)</f>
        <v>#REF!</v>
      </c>
      <c r="D97" s="277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3"/>
    </row>
    <row r="99" spans="1:35" ht="21.75" customHeight="1" thickBot="1">
      <c r="A99" s="1952" t="s">
        <v>2053</v>
      </c>
      <c r="B99" s="1899"/>
      <c r="C99" s="1899"/>
      <c r="D99" s="1899"/>
      <c r="E99" s="1729"/>
      <c r="F99" s="1729"/>
      <c r="G99" s="1729"/>
      <c r="H99" s="1728"/>
      <c r="I99" s="133"/>
    </row>
    <row r="100" spans="1:35" ht="18.75" customHeight="1">
      <c r="A100" s="3445" t="s">
        <v>2054</v>
      </c>
      <c r="B100" s="3446"/>
      <c r="C100" s="3446"/>
      <c r="D100" s="3656"/>
      <c r="E100" s="3446" t="s">
        <v>2055</v>
      </c>
      <c r="F100" s="3446"/>
      <c r="G100" s="3446"/>
      <c r="H100" s="3656"/>
      <c r="I100" s="133"/>
    </row>
    <row r="101" spans="1:35" ht="18.75" customHeight="1">
      <c r="A101" s="3720" t="s">
        <v>2056</v>
      </c>
      <c r="B101" s="3721"/>
      <c r="C101" s="2776">
        <f>C4</f>
        <v>0</v>
      </c>
      <c r="D101" s="2777">
        <f>D4</f>
        <v>0</v>
      </c>
      <c r="E101" s="3734" t="s">
        <v>2057</v>
      </c>
      <c r="F101" s="3688"/>
      <c r="G101" s="1979" t="s">
        <v>2058</v>
      </c>
      <c r="H101" s="2786" t="e">
        <f ca="1">H118</f>
        <v>#REF!</v>
      </c>
      <c r="I101" s="133"/>
    </row>
    <row r="102" spans="1:35" ht="18.75" customHeight="1">
      <c r="A102" s="3690" t="s">
        <v>2059</v>
      </c>
      <c r="B102" s="2775" t="s">
        <v>2058</v>
      </c>
      <c r="C102" s="2776" t="e">
        <f ca="1">C19</f>
        <v>#REF!</v>
      </c>
      <c r="D102" s="2777" t="e">
        <f ca="1">D19</f>
        <v>#REF!</v>
      </c>
      <c r="E102" s="3734"/>
      <c r="F102" s="3688"/>
      <c r="G102" s="1979" t="s">
        <v>2060</v>
      </c>
      <c r="H102" s="2746" t="e">
        <f ca="1">I118</f>
        <v>#REF!</v>
      </c>
      <c r="I102" s="133"/>
    </row>
    <row r="103" spans="1:35" ht="42.75" customHeight="1">
      <c r="A103" s="3690"/>
      <c r="B103" s="2775" t="s">
        <v>2060</v>
      </c>
      <c r="C103" s="2778" t="e">
        <f ca="1">C20</f>
        <v>#REF!</v>
      </c>
      <c r="D103" s="2779" t="e">
        <f ca="1">D20</f>
        <v>#REF!</v>
      </c>
      <c r="E103" s="3728" t="s">
        <v>2061</v>
      </c>
      <c r="F103" s="3729"/>
      <c r="G103" s="1980" t="s">
        <v>2062</v>
      </c>
      <c r="H103" s="2786">
        <f>IF(D36="正常操作",H104+H105+H106,H105+H106)</f>
        <v>0</v>
      </c>
      <c r="I103" s="133"/>
    </row>
    <row r="104" spans="1:35" ht="18.75" customHeight="1">
      <c r="A104" s="3690" t="s">
        <v>2063</v>
      </c>
      <c r="B104" s="2780" t="s">
        <v>2058</v>
      </c>
      <c r="C104" s="2781" t="e">
        <f ca="1">H118</f>
        <v>#REF!</v>
      </c>
      <c r="D104" s="2782"/>
      <c r="E104" s="1826" t="s">
        <v>2064</v>
      </c>
      <c r="F104" s="1817"/>
      <c r="G104" s="1980" t="s">
        <v>2062</v>
      </c>
      <c r="H104" s="2787">
        <f>IF(D36="同一抵押权人同一抵押物续贷",C36&amp;"（续贷，未扣减，详见特别提示）",C36)</f>
        <v>0</v>
      </c>
      <c r="I104" s="133"/>
    </row>
    <row r="105" spans="1:35" ht="18.75" customHeight="1" thickBot="1">
      <c r="A105" s="3691"/>
      <c r="B105" s="2783" t="s">
        <v>2060</v>
      </c>
      <c r="C105" s="2784" t="e">
        <f ca="1">I118</f>
        <v>#REF!</v>
      </c>
      <c r="D105" s="2785"/>
      <c r="E105" s="1826" t="s">
        <v>2065</v>
      </c>
      <c r="F105" s="1817"/>
      <c r="G105" s="1980" t="s">
        <v>2062</v>
      </c>
      <c r="H105" s="2788">
        <f>C37</f>
        <v>0</v>
      </c>
      <c r="I105" s="133"/>
    </row>
    <row r="106" spans="1:35" ht="18.75" customHeight="1">
      <c r="A106" s="1899" t="s">
        <v>2066</v>
      </c>
      <c r="B106" s="1899"/>
      <c r="C106" s="1899"/>
      <c r="D106" s="1899"/>
      <c r="E106" s="1981" t="s">
        <v>2067</v>
      </c>
      <c r="F106" s="1817"/>
      <c r="G106" s="1980" t="s">
        <v>2062</v>
      </c>
      <c r="H106" s="2788">
        <f>C38</f>
        <v>0</v>
      </c>
      <c r="I106" s="133"/>
    </row>
    <row r="107" spans="1:35" ht="18.75" customHeight="1">
      <c r="A107" s="133"/>
      <c r="B107" s="133"/>
      <c r="C107" s="133"/>
      <c r="D107" s="133"/>
      <c r="E107" s="3687" t="str">
        <f>IF(项目基本情况!E8="已注销","——","3.房地产抵押价值")</f>
        <v>3.房地产抵押价值</v>
      </c>
      <c r="F107" s="3688"/>
      <c r="G107" s="1979" t="s">
        <v>2058</v>
      </c>
      <c r="H107" s="2786" t="e">
        <f ca="1">IF(E107="——","——",H101-H103)</f>
        <v>#REF!</v>
      </c>
      <c r="I107" s="133"/>
    </row>
    <row r="108" spans="1:35" ht="18.75" customHeight="1">
      <c r="A108" s="133"/>
      <c r="B108" s="133"/>
      <c r="C108" s="133"/>
      <c r="D108" s="133"/>
      <c r="E108" s="3687"/>
      <c r="F108" s="3688"/>
      <c r="G108" s="1979" t="s">
        <v>2060</v>
      </c>
      <c r="H108" s="2746" t="e">
        <f ca="1">ROUND(H107*10000/'数据-汇总表'!E3,0)</f>
        <v>#REF!</v>
      </c>
      <c r="I108" s="133"/>
    </row>
    <row r="109" spans="1:35" ht="18.75" customHeight="1">
      <c r="A109" s="133"/>
      <c r="B109" s="133"/>
      <c r="C109" s="133"/>
      <c r="D109" s="133"/>
      <c r="E109" s="3687" t="str">
        <f>IF(项目基本情况!E8="已注销及未注销","4.抵押担保权已注销时的房地产抵押价值",IF(项目基本情况!E8="已注销","3.抵押担保权已注销时的房地产抵押价值","——"))</f>
        <v>——</v>
      </c>
      <c r="F109" s="3688"/>
      <c r="G109" s="1979" t="s">
        <v>2058</v>
      </c>
      <c r="H109" s="2789" t="str">
        <f>IF(E109="——","——",H101-H105-H106)</f>
        <v>——</v>
      </c>
      <c r="I109" s="133"/>
    </row>
    <row r="110" spans="1:35" ht="18.75" customHeight="1">
      <c r="A110" s="133"/>
      <c r="B110" s="133"/>
      <c r="C110" s="133"/>
      <c r="D110" s="133"/>
      <c r="E110" s="3687"/>
      <c r="F110" s="3688"/>
      <c r="G110" s="1979" t="s">
        <v>2060</v>
      </c>
      <c r="H110" s="2746" t="str">
        <f>IF(H109="——","——",ROUND(H109*10000/'数据-汇总表'!E3,0))</f>
        <v>——</v>
      </c>
      <c r="I110" s="133"/>
    </row>
    <row r="111" spans="1:35" ht="18.75" customHeight="1">
      <c r="A111" s="133"/>
      <c r="B111" s="133"/>
      <c r="C111" s="133"/>
      <c r="D111" s="133"/>
      <c r="E111" s="3722" t="str">
        <f>IF(项目基本情况!E9="抵押净值",IF(OR(项目基本情况!E8="已注销",项目基本情况!E8="房地产抵押价值"),"4.抵押净值","5.抵押净值"),"——")</f>
        <v>——</v>
      </c>
      <c r="F111" s="3689"/>
      <c r="G111" s="1979" t="s">
        <v>2058</v>
      </c>
      <c r="H111" s="2786" t="str">
        <f>IF(E111="——","——",N59)</f>
        <v>——</v>
      </c>
      <c r="I111" s="133"/>
    </row>
    <row r="112" spans="1:35" ht="18.75" customHeight="1" thickBot="1">
      <c r="A112" s="133"/>
      <c r="B112" s="133"/>
      <c r="C112" s="133"/>
      <c r="D112" s="133"/>
      <c r="E112" s="3723"/>
      <c r="F112" s="3724"/>
      <c r="G112" s="1982" t="s">
        <v>2060</v>
      </c>
      <c r="H112" s="2790" t="str">
        <f>IF(E111="——","——",N61)</f>
        <v>——</v>
      </c>
      <c r="I112" s="133"/>
    </row>
    <row r="113" spans="1:27" ht="18.75" customHeight="1">
      <c r="A113" s="133"/>
      <c r="B113" s="133"/>
      <c r="C113" s="133"/>
      <c r="D113" s="133"/>
      <c r="E113" s="3692" t="s">
        <v>2066</v>
      </c>
      <c r="F113" s="3692"/>
      <c r="G113" s="3692"/>
      <c r="H113" s="3692"/>
      <c r="I113" s="133"/>
    </row>
    <row r="114" spans="1:27" ht="3.75" customHeight="1">
      <c r="A114" s="1899"/>
      <c r="B114" s="1899"/>
      <c r="C114" s="1899"/>
      <c r="D114" s="1899"/>
      <c r="E114" s="1961"/>
      <c r="F114" s="1961"/>
      <c r="G114" s="1961"/>
      <c r="H114" s="1961"/>
      <c r="I114" s="1899"/>
    </row>
    <row r="115" spans="1:27" ht="18.75" customHeight="1">
      <c r="A115" s="3705" t="s">
        <v>2068</v>
      </c>
      <c r="B115" s="3706"/>
      <c r="C115" s="3706"/>
      <c r="D115" s="3706"/>
      <c r="E115" s="3706"/>
      <c r="F115" s="3706"/>
      <c r="G115" s="3706"/>
      <c r="H115" s="3706"/>
      <c r="I115" s="3707"/>
    </row>
    <row r="116" spans="1:27" ht="27" customHeight="1">
      <c r="A116" s="3658" t="s">
        <v>2069</v>
      </c>
      <c r="B116" s="3693" t="s">
        <v>2070</v>
      </c>
      <c r="C116" s="3693" t="s">
        <v>2071</v>
      </c>
      <c r="D116" s="3709" t="s">
        <v>2072</v>
      </c>
      <c r="E116" s="3710"/>
      <c r="F116" s="3701" t="s">
        <v>2073</v>
      </c>
      <c r="G116" s="3701"/>
      <c r="H116" s="3658" t="s">
        <v>2074</v>
      </c>
      <c r="I116" s="3658"/>
    </row>
    <row r="117" spans="1:27" ht="18.75" customHeight="1">
      <c r="A117" s="3658"/>
      <c r="B117" s="3694"/>
      <c r="C117" s="3694"/>
      <c r="D117" s="2518" t="s">
        <v>2075</v>
      </c>
      <c r="E117" s="2518" t="s">
        <v>2076</v>
      </c>
      <c r="F117" s="2518" t="s">
        <v>2075</v>
      </c>
      <c r="G117" s="2518" t="s">
        <v>2077</v>
      </c>
      <c r="H117" s="2518" t="s">
        <v>2075</v>
      </c>
      <c r="I117" s="2518" t="s">
        <v>2077</v>
      </c>
    </row>
    <row r="118" spans="1:27" ht="24.75" customHeight="1">
      <c r="A118" s="2791" t="str">
        <f>项目基本情况!S2</f>
        <v>北京市房地产</v>
      </c>
      <c r="B118" s="2518">
        <f>M18</f>
        <v>63761.02</v>
      </c>
      <c r="C118" s="2518">
        <f>M19</f>
        <v>25000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spans="1:27" ht="18.75" customHeight="1">
      <c r="A119" s="3658" t="s">
        <v>2078</v>
      </c>
      <c r="B119" s="3658"/>
      <c r="C119" s="3658"/>
      <c r="D119" s="3698" t="e">
        <f ca="1">NUMBERSTRING(INT(D118*10000),2)&amp;"元整"</f>
        <v>#REF!</v>
      </c>
      <c r="E119" s="3700"/>
      <c r="F119" s="3698" t="e">
        <f ca="1">NUMBERSTRING(INT(F118*10000),2)&amp;"元整"</f>
        <v>#REF!</v>
      </c>
      <c r="G119" s="3700"/>
      <c r="H119" s="3698" t="e">
        <f ca="1">NUMBERSTRING(INT(H118*10000),2)&amp;"元整"</f>
        <v>#REF!</v>
      </c>
      <c r="I119" s="3700"/>
    </row>
    <row r="120" spans="1:27" ht="18.75" customHeight="1">
      <c r="A120" s="3725" t="str">
        <f>IF(项目基本情况!B9="房地产市场价值","",MID(E103,3,LEN(E103)-2))</f>
        <v/>
      </c>
      <c r="B120" s="3726"/>
      <c r="C120" s="3727"/>
      <c r="D120" s="3725">
        <f>H103</f>
        <v>0</v>
      </c>
      <c r="E120" s="3726"/>
      <c r="F120" s="3726"/>
      <c r="G120" s="3726"/>
      <c r="H120" s="3726"/>
      <c r="I120" s="3727"/>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702" t="s">
        <v>2078</v>
      </c>
      <c r="B121" s="3703"/>
      <c r="C121" s="3704"/>
      <c r="D121" s="3698" t="str">
        <f>IF(D120=0,"零元整",NUMBERSTRING(INT(D120*10000),2)&amp;"元整")</f>
        <v>零元整</v>
      </c>
      <c r="E121" s="3699"/>
      <c r="F121" s="3699"/>
      <c r="G121" s="3699"/>
      <c r="H121" s="3699"/>
      <c r="I121" s="3700"/>
      <c r="AA121" s="732"/>
    </row>
    <row r="122" spans="1:27" ht="18.75" customHeight="1">
      <c r="A122" s="3689" t="str">
        <f>IF(项目基本情况!B9="房地产市场价值","",MID(E107,3,LEN(E107)-2))</f>
        <v/>
      </c>
      <c r="B122" s="3689"/>
      <c r="C122" s="3689"/>
      <c r="D122" s="3725" t="e">
        <f ca="1">H107</f>
        <v>#REF!</v>
      </c>
      <c r="E122" s="3726"/>
      <c r="F122" s="3726"/>
      <c r="G122" s="3726"/>
      <c r="H122" s="3726"/>
      <c r="I122" s="3727"/>
      <c r="AA122" s="732"/>
    </row>
    <row r="123" spans="1:27" ht="18.75" customHeight="1">
      <c r="A123" s="3658" t="s">
        <v>2078</v>
      </c>
      <c r="B123" s="3658"/>
      <c r="C123" s="3658"/>
      <c r="D123" s="3698" t="e">
        <f ca="1">NUMBERSTRING(INT(D122*10000),2)&amp;"元整"</f>
        <v>#REF!</v>
      </c>
      <c r="E123" s="3699"/>
      <c r="F123" s="3699"/>
      <c r="G123" s="3699"/>
      <c r="H123" s="3699"/>
      <c r="I123" s="3700"/>
      <c r="AA123" s="732"/>
    </row>
    <row r="124" spans="1:27" ht="18.75" customHeight="1">
      <c r="A124" s="3689" t="str">
        <f>IF(项目基本情况!B9="房地产市场价值","",MID(E109,3,LEN(E109)-2))</f>
        <v/>
      </c>
      <c r="B124" s="3689"/>
      <c r="C124" s="3689"/>
      <c r="D124" s="3725" t="str">
        <f>H109</f>
        <v>——</v>
      </c>
      <c r="E124" s="3726"/>
      <c r="F124" s="3726"/>
      <c r="G124" s="3726"/>
      <c r="H124" s="3726"/>
      <c r="I124" s="3727"/>
      <c r="AA124" s="732"/>
    </row>
    <row r="125" spans="1:27" ht="18.75" customHeight="1">
      <c r="A125" s="3658" t="s">
        <v>2078</v>
      </c>
      <c r="B125" s="3658"/>
      <c r="C125" s="3658"/>
      <c r="D125" s="3698" t="e">
        <f>NUMBERSTRING(INT(D124*10000),2)&amp;"元整"</f>
        <v>#VALUE!</v>
      </c>
      <c r="E125" s="3699"/>
      <c r="F125" s="3699"/>
      <c r="G125" s="3699"/>
      <c r="H125" s="3699"/>
      <c r="I125" s="3700"/>
      <c r="AA125" s="732"/>
    </row>
    <row r="126" spans="1:27" ht="18.75" customHeight="1">
      <c r="A126" s="3689" t="str">
        <f>IF(项目基本情况!B9="房地产市场价值","",MID(E111,3,LEN(E111)-2))</f>
        <v/>
      </c>
      <c r="B126" s="3689"/>
      <c r="C126" s="3689"/>
      <c r="D126" s="3725" t="str">
        <f>H111</f>
        <v>——</v>
      </c>
      <c r="E126" s="3726"/>
      <c r="F126" s="3726"/>
      <c r="G126" s="3726"/>
      <c r="H126" s="3726"/>
      <c r="I126" s="3727"/>
      <c r="AA126" s="732"/>
    </row>
    <row r="127" spans="1:27" ht="18.75" customHeight="1">
      <c r="A127" s="3658" t="s">
        <v>2078</v>
      </c>
      <c r="B127" s="3658"/>
      <c r="C127" s="3658"/>
      <c r="D127" s="3698" t="e">
        <f>NUMBERSTRING(INT(D126*10000),2)&amp;"元整"</f>
        <v>#VALUE!</v>
      </c>
      <c r="E127" s="3699"/>
      <c r="F127" s="3699"/>
      <c r="G127" s="3699"/>
      <c r="H127" s="3699"/>
      <c r="I127" s="3700"/>
      <c r="AA127" s="732"/>
    </row>
    <row r="128" spans="1:27" ht="21.75" customHeight="1">
      <c r="A128" s="3708" t="s">
        <v>2079</v>
      </c>
      <c r="B128" s="3708"/>
      <c r="C128" s="3708"/>
      <c r="D128" s="3708"/>
      <c r="E128" s="3708"/>
      <c r="F128" s="3708"/>
      <c r="G128" s="3708"/>
      <c r="H128" s="3708"/>
      <c r="I128" s="3708"/>
      <c r="AA128" s="732"/>
    </row>
    <row r="129" spans="1:35" ht="21.75" customHeight="1">
      <c r="A129" s="1983" t="s">
        <v>2080</v>
      </c>
      <c r="B129" s="1984"/>
      <c r="C129" s="1985" t="s">
        <v>2081</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2082</v>
      </c>
      <c r="G135" s="2000"/>
      <c r="H135" s="2000"/>
      <c r="I135" s="2001" t="s">
        <v>2083</v>
      </c>
    </row>
    <row r="136" spans="1:35" ht="21.75" customHeight="1">
      <c r="A136" s="732"/>
      <c r="B136" s="2002"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2085</v>
      </c>
    </row>
    <row r="139" spans="1:35" ht="21.75" customHeight="1">
      <c r="A139" s="732"/>
      <c r="B139" s="2002" t="s">
        <v>2086</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2085</v>
      </c>
    </row>
    <row r="142" spans="1:35" ht="21.75" customHeight="1">
      <c r="A142" s="732"/>
      <c r="B142" s="2002"/>
      <c r="C142" s="2003"/>
      <c r="D142" s="2004"/>
      <c r="E142" s="2004"/>
      <c r="F142" s="1893"/>
      <c r="G142" s="732"/>
      <c r="H142" s="732"/>
      <c r="I142" s="732"/>
    </row>
    <row r="143" spans="1:35" s="134"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 priority="21" stopIfTrue="1" operator="equal">
      <formula>25</formula>
    </cfRule>
  </conditionalFormatting>
  <conditionalFormatting sqref="C8:C9">
    <cfRule type="cellIs" dxfId="13" priority="19" stopIfTrue="1" operator="equal">
      <formula>15</formula>
    </cfRule>
  </conditionalFormatting>
  <conditionalFormatting sqref="C14:C16">
    <cfRule type="cellIs" dxfId="12" priority="13" stopIfTrue="1" operator="equal">
      <formula>30</formula>
    </cfRule>
  </conditionalFormatting>
  <conditionalFormatting sqref="D5:D7">
    <cfRule type="cellIs" dxfId="11" priority="10" stopIfTrue="1" operator="equal">
      <formula>25</formula>
    </cfRule>
  </conditionalFormatting>
  <conditionalFormatting sqref="D8:D9">
    <cfRule type="cellIs" dxfId="10" priority="9" stopIfTrue="1" operator="equal">
      <formula>15</formula>
    </cfRule>
  </conditionalFormatting>
  <conditionalFormatting sqref="C10:D13">
    <cfRule type="cellIs" dxfId="9" priority="8" stopIfTrue="1" operator="equal">
      <formula>15</formula>
    </cfRule>
  </conditionalFormatting>
  <conditionalFormatting sqref="D14:D16">
    <cfRule type="cellIs" dxfId="8" priority="6"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47461.850000000006</v>
      </c>
      <c r="C1" s="2880"/>
      <c r="D1" s="2880"/>
      <c r="E1" s="2880"/>
      <c r="F1" s="2880"/>
      <c r="G1" s="2881"/>
      <c r="H1" s="2882"/>
      <c r="I1" s="2882"/>
      <c r="J1" s="2882"/>
      <c r="K1" s="2882"/>
    </row>
    <row r="2" spans="1:11" ht="16.5">
      <c r="A2" s="2703" t="s">
        <v>1259</v>
      </c>
      <c r="B2" s="2703">
        <f>SUM(C14:C23)</f>
        <v>18734.726999999999</v>
      </c>
      <c r="C2" s="2880"/>
      <c r="D2" s="2880"/>
      <c r="E2" s="2880"/>
      <c r="F2" s="2880"/>
      <c r="G2" s="2881"/>
      <c r="H2" s="2882"/>
      <c r="I2" s="2882"/>
      <c r="J2" s="2882"/>
      <c r="K2" s="2882"/>
    </row>
    <row r="3" spans="1:11" ht="16.5">
      <c r="A3" s="2703" t="s">
        <v>1268</v>
      </c>
      <c r="B3" s="2705">
        <f>项目基本情况!D3</f>
        <v>44617</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63109</v>
      </c>
      <c r="C5" s="2703">
        <f ca="1">ROUND(B5*10000/$B$1,0)</f>
        <v>13297</v>
      </c>
      <c r="D5" s="2703">
        <f ca="1">ROUND(B5*10000/$B$2,0)</f>
        <v>33686</v>
      </c>
      <c r="E5" s="2880"/>
      <c r="F5" s="2881"/>
      <c r="G5" s="2881"/>
      <c r="H5" s="2882"/>
      <c r="I5" s="2882"/>
      <c r="J5" s="2882"/>
      <c r="K5" s="2882"/>
    </row>
    <row r="6" spans="1:11" ht="16.5">
      <c r="A6" s="2703" t="s">
        <v>1262</v>
      </c>
      <c r="B6" s="2703" t="e">
        <f ca="1">SUM(G14:G23)</f>
        <v>#REF!</v>
      </c>
      <c r="C6" s="2703" t="e">
        <f ca="1">ROUND(B6*10000/$B$1,0)</f>
        <v>#REF!</v>
      </c>
      <c r="D6" s="2703" t="e">
        <f ca="1">ROUND(B6*10000/$B$2,0)</f>
        <v>#REF!</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'数据-汇总表'!E19</f>
        <v>47461.850000000006</v>
      </c>
      <c r="C14" s="2709">
        <f>面积表!F1</f>
        <v>18734.726999999999</v>
      </c>
      <c r="D14" s="2709">
        <f ca="1">成本法!B2</f>
        <v>63109</v>
      </c>
      <c r="E14" s="2709">
        <f ca="1">ROUND(D14*10000/B14,0)</f>
        <v>13297</v>
      </c>
      <c r="F14" s="2709">
        <f ca="1">ROUND(D14*10000/C14,0)</f>
        <v>33686</v>
      </c>
      <c r="G14" s="2709" t="e">
        <f ca="1">结果表!D122</f>
        <v>#REF!</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67"/>
      <c r="H15" s="1467"/>
      <c r="I15" s="2710"/>
      <c r="J15" s="2881"/>
      <c r="K15" s="2882"/>
    </row>
    <row r="16" spans="1:11" ht="16.5">
      <c r="A16" s="2708" t="s">
        <v>1254</v>
      </c>
      <c r="B16" s="2710"/>
      <c r="C16" s="2710"/>
      <c r="D16" s="2710"/>
      <c r="E16" s="2709" t="e">
        <f t="shared" si="0"/>
        <v>#DIV/0!</v>
      </c>
      <c r="F16" s="2709" t="e">
        <f t="shared" si="1"/>
        <v>#DIV/0!</v>
      </c>
      <c r="G16" s="1467"/>
      <c r="H16" s="1467"/>
      <c r="I16" s="2710"/>
      <c r="J16" s="2882"/>
      <c r="K16" s="2882"/>
    </row>
    <row r="17" spans="1:11" ht="16.5">
      <c r="A17" s="2708" t="s">
        <v>1253</v>
      </c>
      <c r="B17" s="2710"/>
      <c r="C17" s="2710"/>
      <c r="D17" s="2710"/>
      <c r="E17" s="2709" t="e">
        <f t="shared" si="0"/>
        <v>#DIV/0!</v>
      </c>
      <c r="F17" s="2709" t="e">
        <f t="shared" si="1"/>
        <v>#DIV/0!</v>
      </c>
      <c r="G17" s="1467"/>
      <c r="H17" s="1467"/>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zoomScaleSheetLayoutView="90" workbookViewId="0">
      <selection activeCell="F19" sqref="F19"/>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0" customWidth="1"/>
    <col min="33" max="36" width="9.375" style="2216" customWidth="1"/>
    <col min="37" max="38" width="9.375" style="2150" customWidth="1"/>
    <col min="39" max="16384" width="12" style="2150"/>
  </cols>
  <sheetData>
    <row r="1" spans="1:36" ht="28.5">
      <c r="A1" s="201" t="s">
        <v>2564</v>
      </c>
      <c r="B1" s="202"/>
      <c r="C1" s="206" t="s">
        <v>2565</v>
      </c>
      <c r="D1" s="347">
        <f>SUM(D29:D30,D33:D39)</f>
        <v>0</v>
      </c>
      <c r="E1" s="2147"/>
      <c r="F1" s="2147"/>
      <c r="G1" s="2147"/>
      <c r="H1" s="2147"/>
      <c r="I1" s="2147"/>
      <c r="J1" s="2147"/>
      <c r="K1" s="1248"/>
      <c r="L1" s="2148" t="s">
        <v>2566</v>
      </c>
      <c r="M1" s="992">
        <f>SUMPRODUCT((区片价!B5:B9=I2)*(区片价!C3:F3=E2)*(区片价!C5:F9))</f>
        <v>0</v>
      </c>
      <c r="N1" s="995">
        <f>SUMPRODUCT((因素修正幅度!B5:B9=I2)*(因素修正幅度!C3:F3=E2)*(因素修正幅度!C5:F9))</f>
        <v>0</v>
      </c>
      <c r="O1" s="2149"/>
      <c r="P1" s="2149"/>
      <c r="Q1" s="1248"/>
      <c r="R1" s="1342" t="s">
        <v>2567</v>
      </c>
      <c r="S1" s="1342" t="s">
        <v>2568</v>
      </c>
      <c r="T1" s="1342" t="s">
        <v>2569</v>
      </c>
      <c r="U1" s="1342" t="s">
        <v>2570</v>
      </c>
      <c r="V1" s="1342" t="s">
        <v>2571</v>
      </c>
      <c r="W1" s="1346"/>
      <c r="X1" s="1346"/>
      <c r="Y1" s="1346"/>
      <c r="Z1" s="1346"/>
      <c r="AA1" s="1346"/>
      <c r="AB1" s="1346"/>
      <c r="AC1" s="1347"/>
      <c r="AD1" s="1348"/>
      <c r="AE1" s="1348"/>
      <c r="AF1" s="1348"/>
      <c r="AG1" s="1348"/>
      <c r="AH1" s="1348"/>
      <c r="AI1" s="1348"/>
      <c r="AJ1" s="1349"/>
    </row>
    <row r="2" spans="1:36" ht="15.75">
      <c r="A2" s="206" t="s">
        <v>2572</v>
      </c>
      <c r="B2" s="209">
        <f>C26</f>
        <v>0</v>
      </c>
      <c r="C2" s="2151" t="s">
        <v>2573</v>
      </c>
      <c r="D2" s="2152" t="s">
        <v>2574</v>
      </c>
      <c r="E2" s="2153" t="s">
        <v>3131</v>
      </c>
      <c r="F2" s="2152" t="s">
        <v>2575</v>
      </c>
      <c r="G2" s="2154" t="str">
        <f>IF(E2="商业",项目基本情况!B37,IF(E2="办公",项目基本情况!C37,IF(E2="住宅",项目基本情况!D37,项目基本情况!E37)))</f>
        <v>七级</v>
      </c>
      <c r="H2" s="2152" t="s">
        <v>2576</v>
      </c>
      <c r="I2" s="2154" t="str">
        <f>IF(E2="商业",项目基本情况!B38,IF(E2="办公",项目基本情况!C38,IF(E2="住宅",项目基本情况!D38,项目基本情况!E38)))</f>
        <v>Ⅶ-兴2</v>
      </c>
      <c r="J2" s="2155"/>
      <c r="K2" s="1248"/>
      <c r="L2" s="2156" t="s">
        <v>2577</v>
      </c>
      <c r="M2" s="993">
        <f>SUMPRODUCT((区片价!B10:B28=I2)*(区片价!C3:F3=E2)*(区片价!C10:F28))</f>
        <v>0</v>
      </c>
      <c r="N2" s="995">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1.8629</v>
      </c>
      <c r="T2" s="1342">
        <f>ROUND($C$5*$C$18*$C$19*$C$20*S2*$C$24,0)</f>
        <v>25970</v>
      </c>
      <c r="U2" s="1343"/>
      <c r="V2" s="1342">
        <f>ROUND(T2*U2/10000,0)</f>
        <v>0</v>
      </c>
      <c r="W2" s="1346"/>
      <c r="X2" s="1346"/>
      <c r="Y2" s="1346"/>
      <c r="Z2" s="1346"/>
      <c r="AA2" s="1346"/>
      <c r="AB2" s="1346"/>
      <c r="AC2" s="1347"/>
      <c r="AD2" s="1348"/>
      <c r="AE2" s="1348"/>
      <c r="AF2" s="1348"/>
      <c r="AG2" s="1348"/>
      <c r="AH2" s="1348"/>
      <c r="AI2" s="1348"/>
      <c r="AJ2" s="1349"/>
    </row>
    <row r="3" spans="1:36" ht="25.5">
      <c r="A3" s="208" t="s">
        <v>2578</v>
      </c>
      <c r="B3" s="209" t="e">
        <f>ROUND(B2*10000/D1,0)</f>
        <v>#DIV/0!</v>
      </c>
      <c r="C3" s="2151" t="s">
        <v>2579</v>
      </c>
      <c r="D3" s="2152" t="s">
        <v>2580</v>
      </c>
      <c r="E3" s="2157" t="s">
        <v>3423</v>
      </c>
      <c r="F3" s="2158" t="s">
        <v>2581</v>
      </c>
      <c r="G3" s="853">
        <f>IF(F3="宗地容积率",'数据-汇总表'!I4,IF(F3="估价对象容积率",'数据-汇总表'!I6,'数据-汇总表'!I7))</f>
        <v>1.91</v>
      </c>
      <c r="H3" s="174" t="s">
        <v>2582</v>
      </c>
      <c r="I3" s="879">
        <v>0</v>
      </c>
      <c r="J3" s="2155" t="s">
        <v>2583</v>
      </c>
      <c r="K3" s="1248"/>
      <c r="L3" s="2156" t="s">
        <v>2584</v>
      </c>
      <c r="M3" s="993">
        <f>SUMPRODUCT((区片价!B29:B48=I2)*(区片价!C3:F3=E2)*(区片价!C29:F48))</f>
        <v>0</v>
      </c>
      <c r="N3" s="995">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1.3371999999999999</v>
      </c>
      <c r="T3" s="1342">
        <f t="shared" ref="T3:T16" si="0">ROUND($C$5*$C$18*$C$19*$C$20*S3*$C$24,0)</f>
        <v>18641</v>
      </c>
      <c r="U3" s="1343"/>
      <c r="V3" s="1342">
        <f t="shared" ref="V3:V16" si="1">ROUND(T3*U3/10000,0)</f>
        <v>0</v>
      </c>
      <c r="W3" s="1346"/>
      <c r="X3" s="1346"/>
      <c r="Y3" s="1346"/>
      <c r="Z3" s="1346"/>
      <c r="AA3" s="1346"/>
      <c r="AB3" s="1346"/>
      <c r="AC3" s="1347"/>
      <c r="AD3" s="1348"/>
      <c r="AE3" s="1348"/>
      <c r="AF3" s="1348"/>
      <c r="AG3" s="1348"/>
      <c r="AH3" s="1348"/>
      <c r="AI3" s="1348"/>
      <c r="AJ3" s="1349"/>
    </row>
    <row r="4" spans="1:36" ht="15.75">
      <c r="A4" s="3744"/>
      <c r="B4" s="3745"/>
      <c r="C4" s="3745"/>
      <c r="D4" s="3746"/>
      <c r="E4" s="3746"/>
      <c r="F4" s="3746"/>
      <c r="G4" s="3746"/>
      <c r="H4" s="3746"/>
      <c r="I4" s="3746"/>
      <c r="J4" s="3747"/>
      <c r="K4" s="1248"/>
      <c r="L4" s="2156" t="s">
        <v>2585</v>
      </c>
      <c r="M4" s="993">
        <f>SUMPRODUCT((区片价!B49:B75=I2)*(区片价!C3:F3=E2)*(区片价!C49:F75))</f>
        <v>0</v>
      </c>
      <c r="N4" s="995">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1.0788</v>
      </c>
      <c r="T4" s="1342">
        <f t="shared" si="0"/>
        <v>15039</v>
      </c>
      <c r="U4" s="1343"/>
      <c r="V4" s="1342">
        <f t="shared" si="1"/>
        <v>0</v>
      </c>
      <c r="W4" s="1346"/>
      <c r="X4" s="1346"/>
      <c r="Y4" s="1346"/>
      <c r="Z4" s="1346"/>
      <c r="AA4" s="1346"/>
      <c r="AB4" s="1346"/>
      <c r="AC4" s="1347"/>
      <c r="AD4" s="1348"/>
      <c r="AE4" s="1348"/>
      <c r="AF4" s="1348"/>
      <c r="AG4" s="1348"/>
      <c r="AH4" s="1348"/>
      <c r="AI4" s="1348"/>
      <c r="AJ4" s="1349"/>
    </row>
    <row r="5" spans="1:36" s="2168" customFormat="1" ht="15.75" thickBot="1">
      <c r="A5" s="2159" t="s">
        <v>807</v>
      </c>
      <c r="B5" s="2160" t="s">
        <v>2586</v>
      </c>
      <c r="C5" s="854">
        <f>ROUND(IF(E2="商业",C6*C7+C16,(IF(E2="住宅",C6*C12+C16,C6+C16))),0)</f>
        <v>8090</v>
      </c>
      <c r="D5" s="1489">
        <f>ROUND(C6+C16,0)</f>
        <v>8090</v>
      </c>
      <c r="E5" s="1489"/>
      <c r="F5" s="2161"/>
      <c r="G5" s="2162"/>
      <c r="H5" s="2162"/>
      <c r="I5" s="2162"/>
      <c r="J5" s="2163"/>
      <c r="K5" s="2164"/>
      <c r="L5" s="2156" t="s">
        <v>2587</v>
      </c>
      <c r="M5" s="993">
        <f>SUMPRODUCT((区片价!B76:B109=I2)*(区片价!C3:F3=E2)*(区片价!C76:F109))</f>
        <v>0</v>
      </c>
      <c r="N5" s="995">
        <f>SUMPRODUCT((因素修正幅度!B76:B109=I2)*(因素修正幅度!C3:F3=E2)*(因素修正幅度!C76:F109))</f>
        <v>0</v>
      </c>
      <c r="O5" s="1248"/>
      <c r="P5" s="1248"/>
      <c r="Q5" s="1248"/>
      <c r="R5" s="1342">
        <v>4</v>
      </c>
      <c r="S5" s="1342">
        <f>ROUND(IF(G3&gt;1,IF(R5&lt;7,SUMPRODUCT((B93:B98=R5)*(C92:N92=G2)*(C93:N98)),SUMIF(C92:N92,G2,C100:N100)),IF(R5&lt;7,SUMPRODUCT((B102:B107=R5)*(C92:N92=G2)*(C102:N107)),SUMIF(C92:N92,G2,C109:N109))),4)</f>
        <v>0.86560000000000004</v>
      </c>
      <c r="T5" s="1342">
        <f t="shared" si="0"/>
        <v>12067</v>
      </c>
      <c r="U5" s="1343"/>
      <c r="V5" s="1342">
        <f t="shared" si="1"/>
        <v>0</v>
      </c>
      <c r="W5" s="1346"/>
      <c r="X5" s="1346"/>
      <c r="Y5" s="1346"/>
      <c r="Z5" s="1346"/>
      <c r="AA5" s="1346"/>
      <c r="AB5" s="1346"/>
      <c r="AC5" s="2165"/>
      <c r="AD5" s="2166"/>
      <c r="AE5" s="2166"/>
      <c r="AF5" s="2166"/>
      <c r="AG5" s="2166"/>
      <c r="AH5" s="2166"/>
      <c r="AI5" s="2166"/>
      <c r="AJ5" s="2167"/>
    </row>
    <row r="6" spans="1:36" ht="15.75" thickBot="1">
      <c r="A6" s="2169" t="s">
        <v>2588</v>
      </c>
      <c r="B6" s="2170" t="s">
        <v>2589</v>
      </c>
      <c r="C6" s="855">
        <f>SUMIF(L1:L12,G2,M1:M12)</f>
        <v>8090</v>
      </c>
      <c r="D6" s="2171" t="s">
        <v>2590</v>
      </c>
      <c r="E6" s="2172"/>
      <c r="F6" s="2172"/>
      <c r="G6" s="2173"/>
      <c r="H6" s="2173"/>
      <c r="I6" s="2173"/>
      <c r="J6" s="2174"/>
      <c r="K6" s="1534"/>
      <c r="L6" s="2156" t="s">
        <v>2591</v>
      </c>
      <c r="M6" s="993">
        <f>SUMPRODUCT((区片价!B110:B157=I2)*(区片价!C3:F3=E2)*(区片价!C110:F157))</f>
        <v>0</v>
      </c>
      <c r="N6" s="995">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0.73709999999999998</v>
      </c>
      <c r="T6" s="1342">
        <f t="shared" si="0"/>
        <v>10276</v>
      </c>
      <c r="U6" s="1343"/>
      <c r="V6" s="1342">
        <f t="shared" si="1"/>
        <v>0</v>
      </c>
      <c r="W6" s="1346"/>
      <c r="X6" s="1346"/>
      <c r="Y6" s="1346"/>
      <c r="Z6" s="1346"/>
      <c r="AA6" s="1346"/>
      <c r="AB6" s="1346"/>
      <c r="AC6" s="2165"/>
      <c r="AD6" s="2166"/>
      <c r="AE6" s="2166"/>
      <c r="AF6" s="2166"/>
      <c r="AG6" s="2166"/>
      <c r="AH6" s="2166"/>
      <c r="AI6" s="2166"/>
      <c r="AJ6" s="2167"/>
    </row>
    <row r="7" spans="1:36" ht="24">
      <c r="A7" s="3748" t="str">
        <f>IF(E2="商业",IF(C8="不临58条商业街","",2),"")</f>
        <v/>
      </c>
      <c r="B7" s="2175" t="s">
        <v>2592</v>
      </c>
      <c r="C7" s="856">
        <f>IF(C8="不临58条商业街",1,ROUND(1+(1.6*E8+1.2*E9+0.8*E10+0.4*E11)*C9,4))</f>
        <v>1</v>
      </c>
      <c r="D7" s="2176" t="s">
        <v>2593</v>
      </c>
      <c r="E7" s="880">
        <v>6</v>
      </c>
      <c r="F7" s="2177"/>
      <c r="G7" s="2178"/>
      <c r="H7" s="2178"/>
      <c r="I7" s="2178"/>
      <c r="J7" s="2179"/>
      <c r="K7" s="1534"/>
      <c r="L7" s="2156" t="s">
        <v>2594</v>
      </c>
      <c r="M7" s="993">
        <f>SUMPRODUCT((区片价!B158:B205=I2)*(区片价!C3:F3=E2)*(区片价!C158:F205))</f>
        <v>8090</v>
      </c>
      <c r="N7" s="995">
        <f>SUMPRODUCT((因素修正幅度!B158:B205=I2)*(因素修正幅度!C3:F3=E2)*(因素修正幅度!C158:F205))</f>
        <v>0.13</v>
      </c>
      <c r="O7" s="1248"/>
      <c r="P7" s="1248"/>
      <c r="Q7" s="1248"/>
      <c r="R7" s="1342">
        <v>6</v>
      </c>
      <c r="S7" s="1342">
        <f>ROUND(IF(G3&gt;1,IF(R7&lt;7,SUMPRODUCT((B93:B98=R7)*(C92:N92=G2)*(C93:N98)),SUMIF(C92:N92,G2,C100:N100)),IF(R7&lt;7,SUMPRODUCT((B102:B107=R7)*(C92:N92=G2)*(C102:N107)),SUMIF(C92:N92,G2,C109:N109))),4)</f>
        <v>0.6482</v>
      </c>
      <c r="T7" s="1342">
        <f t="shared" si="0"/>
        <v>9036</v>
      </c>
      <c r="U7" s="1343"/>
      <c r="V7" s="1342">
        <f t="shared" si="1"/>
        <v>0</v>
      </c>
      <c r="W7" s="1508" t="s">
        <v>2595</v>
      </c>
      <c r="X7" s="1344" t="str">
        <f>G2</f>
        <v>七级</v>
      </c>
      <c r="Y7" s="1344" t="s">
        <v>2596</v>
      </c>
      <c r="Z7" s="1345">
        <f>G3</f>
        <v>1.91</v>
      </c>
      <c r="AA7" s="1346"/>
      <c r="AB7" s="1346"/>
      <c r="AC7" s="1347"/>
      <c r="AD7" s="1348"/>
      <c r="AE7" s="1348"/>
      <c r="AF7" s="1348"/>
      <c r="AG7" s="1348"/>
      <c r="AH7" s="1348"/>
      <c r="AI7" s="1348"/>
      <c r="AJ7" s="1349"/>
    </row>
    <row r="8" spans="1:36" ht="15">
      <c r="A8" s="3749"/>
      <c r="B8" s="174" t="s">
        <v>2597</v>
      </c>
      <c r="C8" s="2180"/>
      <c r="D8" s="857" t="s">
        <v>139</v>
      </c>
      <c r="E8" s="858">
        <f>ROUND(C11/E7,4)</f>
        <v>0</v>
      </c>
      <c r="F8" s="2181" t="s">
        <v>2598</v>
      </c>
      <c r="G8" s="2182"/>
      <c r="H8" s="2182"/>
      <c r="I8" s="2182"/>
      <c r="J8" s="2183"/>
      <c r="K8" s="1248"/>
      <c r="L8" s="2156" t="s">
        <v>2599</v>
      </c>
      <c r="M8" s="993">
        <f>SUMPRODUCT((区片价!B206:B244=I2)*(区片价!C3:F3=E2)*(区片价!C206:F244))</f>
        <v>0</v>
      </c>
      <c r="N8" s="995">
        <f>SUMPRODUCT((因素修正幅度!B206:B244=I2)*(因素修正幅度!C3:F3=E2)*(因素修正幅度!C206:F244))</f>
        <v>0</v>
      </c>
      <c r="O8" s="1248"/>
      <c r="P8" s="1248"/>
      <c r="Q8" s="1248"/>
      <c r="R8" s="1342">
        <v>7</v>
      </c>
      <c r="S8" s="1343"/>
      <c r="T8" s="1342">
        <f t="shared" si="0"/>
        <v>0</v>
      </c>
      <c r="U8" s="1343"/>
      <c r="V8" s="1342">
        <f t="shared" si="1"/>
        <v>0</v>
      </c>
      <c r="W8" s="3741" t="s">
        <v>2600</v>
      </c>
      <c r="X8" s="3742"/>
      <c r="Y8" s="1350" t="s">
        <v>2601</v>
      </c>
      <c r="Z8" s="1350" t="s">
        <v>2602</v>
      </c>
      <c r="AA8" s="1350" t="s">
        <v>2603</v>
      </c>
      <c r="AB8" s="1350" t="s">
        <v>2604</v>
      </c>
      <c r="AC8" s="1350" t="s">
        <v>2605</v>
      </c>
      <c r="AD8" s="1350" t="s">
        <v>2606</v>
      </c>
      <c r="AE8" s="1350" t="s">
        <v>2607</v>
      </c>
      <c r="AF8" s="1350" t="s">
        <v>2608</v>
      </c>
      <c r="AG8" s="1350" t="s">
        <v>2609</v>
      </c>
      <c r="AH8" s="1350" t="s">
        <v>2610</v>
      </c>
      <c r="AI8" s="1350" t="s">
        <v>2611</v>
      </c>
      <c r="AJ8" s="1350" t="s">
        <v>2612</v>
      </c>
    </row>
    <row r="9" spans="1:36" ht="15">
      <c r="A9" s="3749"/>
      <c r="B9" s="174" t="s">
        <v>2613</v>
      </c>
      <c r="C9" s="859">
        <f>SUMIF(修正!C59:C119,C8,修正!E59:E119)</f>
        <v>0</v>
      </c>
      <c r="D9" s="175" t="s">
        <v>140</v>
      </c>
      <c r="E9" s="175">
        <f>ROUND(C11/E7,4)</f>
        <v>0</v>
      </c>
      <c r="F9" s="2181" t="s">
        <v>2614</v>
      </c>
      <c r="G9" s="2182"/>
      <c r="H9" s="2182"/>
      <c r="I9" s="2182"/>
      <c r="J9" s="2183"/>
      <c r="K9" s="1248"/>
      <c r="L9" s="2156" t="s">
        <v>2615</v>
      </c>
      <c r="M9" s="993">
        <f>SUMPRODUCT((区片价!B245:B289=I2)*(区片价!C3:F3=E2)*(区片价!C245:F289))</f>
        <v>0</v>
      </c>
      <c r="N9" s="995">
        <f>SUMPRODUCT((因素修正幅度!B245:B289=I2)*(因素修正幅度!C3:F3=E2)*(因素修正幅度!C245:F289))</f>
        <v>0</v>
      </c>
      <c r="O9" s="1248"/>
      <c r="P9" s="1248"/>
      <c r="Q9" s="1248"/>
      <c r="R9" s="1342">
        <v>8</v>
      </c>
      <c r="S9" s="1343"/>
      <c r="T9" s="1342">
        <f t="shared" si="0"/>
        <v>0</v>
      </c>
      <c r="U9" s="1343"/>
      <c r="V9" s="1342">
        <f t="shared" si="1"/>
        <v>0</v>
      </c>
      <c r="W9" s="3743" t="s">
        <v>2616</v>
      </c>
      <c r="X9" s="1351" t="s">
        <v>2617</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749"/>
      <c r="B10" s="174" t="s">
        <v>2618</v>
      </c>
      <c r="C10" s="175">
        <f>SUMIF(修正!C59:C119,C8,修正!F59:F119)</f>
        <v>0</v>
      </c>
      <c r="D10" s="175" t="s">
        <v>141</v>
      </c>
      <c r="E10" s="175">
        <f>ROUND(C11/E7,4)</f>
        <v>0</v>
      </c>
      <c r="F10" s="2181" t="s">
        <v>2619</v>
      </c>
      <c r="G10" s="2182"/>
      <c r="H10" s="2182"/>
      <c r="I10" s="2182"/>
      <c r="J10" s="2183"/>
      <c r="K10" s="1248"/>
      <c r="L10" s="2156" t="s">
        <v>2620</v>
      </c>
      <c r="M10" s="993">
        <f>SUMPRODUCT((区片价!B290:B316=I2)*(区片价!C3:F3=E2)*(区片价!C290:F316))</f>
        <v>0</v>
      </c>
      <c r="N10" s="995">
        <f>SUMPRODUCT((因素修正幅度!B290:B316=I2)*(因素修正幅度!C3:F3=E2)*(因素修正幅度!C290:F316))</f>
        <v>0</v>
      </c>
      <c r="O10" s="1248"/>
      <c r="P10" s="1248"/>
      <c r="Q10" s="1248"/>
      <c r="R10" s="1342">
        <v>9</v>
      </c>
      <c r="S10" s="1343"/>
      <c r="T10" s="1342">
        <f t="shared" si="0"/>
        <v>0</v>
      </c>
      <c r="U10" s="1343"/>
      <c r="V10" s="1342">
        <f t="shared" si="1"/>
        <v>0</v>
      </c>
      <c r="W10" s="3743"/>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749"/>
      <c r="B11" s="2184" t="s">
        <v>2621</v>
      </c>
      <c r="C11" s="860">
        <f>C10/4</f>
        <v>0</v>
      </c>
      <c r="D11" s="860" t="s">
        <v>142</v>
      </c>
      <c r="E11" s="860">
        <f>ROUND(C11/E7,4)</f>
        <v>0</v>
      </c>
      <c r="F11" s="2185" t="s">
        <v>2622</v>
      </c>
      <c r="G11" s="2186"/>
      <c r="H11" s="2186"/>
      <c r="I11" s="2186"/>
      <c r="J11" s="2187"/>
      <c r="K11" s="1248"/>
      <c r="L11" s="2156" t="s">
        <v>2623</v>
      </c>
      <c r="M11" s="993">
        <f>SUMPRODUCT((区片价!B317:B337=I2)*(区片价!C3:F3=E2)*(区片价!C317:F337))</f>
        <v>0</v>
      </c>
      <c r="N11" s="995">
        <f>SUMPRODUCT((因素修正幅度!B317:B337=I2)*(因素修正幅度!C3:F3=E2)*(因素修正幅度!C317:F337))</f>
        <v>0</v>
      </c>
      <c r="O11" s="1248"/>
      <c r="P11" s="1248"/>
      <c r="Q11" s="1248"/>
      <c r="R11" s="1342">
        <v>10</v>
      </c>
      <c r="S11" s="1343"/>
      <c r="T11" s="1342">
        <f t="shared" si="0"/>
        <v>0</v>
      </c>
      <c r="U11" s="1343"/>
      <c r="V11" s="1342">
        <f t="shared" si="1"/>
        <v>0</v>
      </c>
      <c r="W11" s="3743" t="s">
        <v>2624</v>
      </c>
      <c r="X11" s="1354" t="s">
        <v>2625</v>
      </c>
      <c r="Y11" s="1355">
        <f>$G$3</f>
        <v>1.91</v>
      </c>
      <c r="Z11" s="1355">
        <f t="shared" ref="Z11:AJ11" si="3">$G$3</f>
        <v>1.91</v>
      </c>
      <c r="AA11" s="1355">
        <f t="shared" si="3"/>
        <v>1.91</v>
      </c>
      <c r="AB11" s="1355">
        <f t="shared" si="3"/>
        <v>1.91</v>
      </c>
      <c r="AC11" s="1355">
        <f t="shared" si="3"/>
        <v>1.91</v>
      </c>
      <c r="AD11" s="1355">
        <f t="shared" si="3"/>
        <v>1.91</v>
      </c>
      <c r="AE11" s="1355">
        <f t="shared" si="3"/>
        <v>1.91</v>
      </c>
      <c r="AF11" s="1355">
        <f t="shared" si="3"/>
        <v>1.91</v>
      </c>
      <c r="AG11" s="1355">
        <f t="shared" si="3"/>
        <v>1.91</v>
      </c>
      <c r="AH11" s="1355">
        <f t="shared" si="3"/>
        <v>1.91</v>
      </c>
      <c r="AI11" s="1355">
        <f t="shared" si="3"/>
        <v>1.91</v>
      </c>
      <c r="AJ11" s="1355">
        <f t="shared" si="3"/>
        <v>1.91</v>
      </c>
    </row>
    <row r="12" spans="1:36" ht="25.5" thickBot="1">
      <c r="A12" s="3748" t="s">
        <v>2626</v>
      </c>
      <c r="B12" s="2188" t="s">
        <v>2627</v>
      </c>
      <c r="C12" s="856">
        <f>ROUND(C15*D15*E15*F15*G15*H15*I15*J15,4)</f>
        <v>1</v>
      </c>
      <c r="D12" s="2189" t="s">
        <v>2628</v>
      </c>
      <c r="E12" s="2190"/>
      <c r="F12" s="2190"/>
      <c r="G12" s="2191"/>
      <c r="H12" s="2191"/>
      <c r="I12" s="2191"/>
      <c r="J12" s="2192"/>
      <c r="K12" s="1248"/>
      <c r="L12" s="2193" t="s">
        <v>2629</v>
      </c>
      <c r="M12" s="994">
        <f>SUMPRODUCT((区片价!B338:B344=I2)*(区片价!C3:F3=E2)*(区片价!C338:F344))</f>
        <v>0</v>
      </c>
      <c r="N12" s="995">
        <f>SUMPRODUCT((因素修正幅度!B338:B344=I2)*(因素修正幅度!C3:F3=E2)*(因素修正幅度!C338:F344))</f>
        <v>0</v>
      </c>
      <c r="O12" s="1248"/>
      <c r="P12" s="1248"/>
      <c r="Q12" s="1248"/>
      <c r="R12" s="1342">
        <v>11</v>
      </c>
      <c r="S12" s="1343"/>
      <c r="T12" s="1342">
        <f t="shared" si="0"/>
        <v>0</v>
      </c>
      <c r="U12" s="1343"/>
      <c r="V12" s="1342">
        <f t="shared" si="1"/>
        <v>0</v>
      </c>
      <c r="W12" s="3743"/>
      <c r="X12" s="1356" t="s">
        <v>2630</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750"/>
      <c r="B13" s="2194" t="s">
        <v>2631</v>
      </c>
      <c r="C13" s="2195" t="s">
        <v>2632</v>
      </c>
      <c r="D13" s="1500" t="s">
        <v>2633</v>
      </c>
      <c r="E13" s="1500" t="s">
        <v>2634</v>
      </c>
      <c r="F13" s="30" t="s">
        <v>2635</v>
      </c>
      <c r="G13" s="2196" t="s">
        <v>2636</v>
      </c>
      <c r="H13" s="2196" t="s">
        <v>2636</v>
      </c>
      <c r="I13" s="2196" t="s">
        <v>2636</v>
      </c>
      <c r="J13" s="2197" t="s">
        <v>2636</v>
      </c>
      <c r="K13" s="1248"/>
      <c r="L13" s="1248"/>
      <c r="M13" s="1248"/>
      <c r="N13" s="1248"/>
      <c r="O13" s="1248"/>
      <c r="P13" s="1248"/>
      <c r="Q13" s="1248"/>
      <c r="R13" s="1342">
        <v>12</v>
      </c>
      <c r="S13" s="1343"/>
      <c r="T13" s="1342">
        <f t="shared" si="0"/>
        <v>0</v>
      </c>
      <c r="U13" s="1343"/>
      <c r="V13" s="1342">
        <f t="shared" si="1"/>
        <v>0</v>
      </c>
      <c r="W13" s="3743"/>
      <c r="X13" s="1356"/>
      <c r="Y13" s="1353">
        <f>(-0.163*(Y12^2)-0.59*Y12+7617)*(10^(-4))/Y11</f>
        <v>0.39879581151832466</v>
      </c>
      <c r="Z13" s="1353">
        <f t="shared" ref="Z13:AJ13" si="5">(-0.163*(Z12^2)-0.59*Z12+7617)*(10^(-4))/Z11</f>
        <v>0.39879581151832466</v>
      </c>
      <c r="AA13" s="1353">
        <f t="shared" si="5"/>
        <v>0.39879581151832466</v>
      </c>
      <c r="AB13" s="1353">
        <f t="shared" si="5"/>
        <v>0.39879581151832466</v>
      </c>
      <c r="AC13" s="1353">
        <f t="shared" si="5"/>
        <v>0.39879581151832466</v>
      </c>
      <c r="AD13" s="1353">
        <f t="shared" si="5"/>
        <v>0.39879581151832466</v>
      </c>
      <c r="AE13" s="1353">
        <f t="shared" si="5"/>
        <v>0.39879581151832466</v>
      </c>
      <c r="AF13" s="1353">
        <f t="shared" si="5"/>
        <v>0.39879581151832466</v>
      </c>
      <c r="AG13" s="1353">
        <f t="shared" si="5"/>
        <v>0.39879581151832466</v>
      </c>
      <c r="AH13" s="1353">
        <f t="shared" si="5"/>
        <v>0.39879581151832466</v>
      </c>
      <c r="AI13" s="1353">
        <f t="shared" si="5"/>
        <v>0.39879581151832466</v>
      </c>
      <c r="AJ13" s="1353">
        <f t="shared" si="5"/>
        <v>0.39879581151832466</v>
      </c>
    </row>
    <row r="14" spans="1:36" ht="15">
      <c r="A14" s="3750"/>
      <c r="B14" s="2198"/>
      <c r="C14" s="2199" t="s">
        <v>3424</v>
      </c>
      <c r="D14" s="2200" t="s">
        <v>3424</v>
      </c>
      <c r="E14" s="2200" t="s">
        <v>3424</v>
      </c>
      <c r="F14" s="2201" t="s">
        <v>3425</v>
      </c>
      <c r="G14" s="2202" t="s">
        <v>2637</v>
      </c>
      <c r="H14" s="2203"/>
      <c r="I14" s="2204"/>
      <c r="J14" s="2205"/>
      <c r="K14" s="1248"/>
      <c r="L14" s="1248"/>
      <c r="M14" s="1248"/>
      <c r="N14" s="1248"/>
      <c r="O14" s="1248"/>
      <c r="P14" s="1248"/>
      <c r="Q14" s="1248"/>
      <c r="R14" s="1342">
        <v>13</v>
      </c>
      <c r="S14" s="1343"/>
      <c r="T14" s="1342">
        <f t="shared" si="0"/>
        <v>0</v>
      </c>
      <c r="U14" s="1343"/>
      <c r="V14" s="1342">
        <f t="shared" si="1"/>
        <v>0</v>
      </c>
      <c r="W14" s="1346"/>
      <c r="X14" s="1346"/>
      <c r="Y14" s="1346"/>
      <c r="Z14" s="1346"/>
      <c r="AA14" s="1346"/>
      <c r="AB14" s="1346"/>
      <c r="AC14" s="1347"/>
      <c r="AD14" s="2985"/>
      <c r="AE14" s="2985"/>
      <c r="AF14" s="2985"/>
      <c r="AG14" s="2985"/>
      <c r="AH14" s="2985"/>
      <c r="AI14" s="2985"/>
      <c r="AJ14" s="2986"/>
    </row>
    <row r="15" spans="1:36" ht="15.75" thickBot="1">
      <c r="A15" s="3751"/>
      <c r="B15" s="2206" t="s">
        <v>2638</v>
      </c>
      <c r="C15" s="192">
        <f>IF(C14="有",1.1,1)</f>
        <v>1</v>
      </c>
      <c r="D15" s="192">
        <f>IF(D14="有",1.1,1)</f>
        <v>1</v>
      </c>
      <c r="E15" s="192">
        <f>IF(E14="有",1.1,1)</f>
        <v>1</v>
      </c>
      <c r="F15" s="192">
        <f>IF(F14="500米范围内",1.2,IF(F14="500-1000米",1.1,1))</f>
        <v>1</v>
      </c>
      <c r="G15" s="881">
        <v>1</v>
      </c>
      <c r="H15" s="881">
        <v>1</v>
      </c>
      <c r="I15" s="881">
        <v>1</v>
      </c>
      <c r="J15" s="882">
        <v>1</v>
      </c>
      <c r="K15" s="1248"/>
      <c r="L15" s="2149"/>
      <c r="M15" s="2149"/>
      <c r="N15" s="2149"/>
      <c r="O15" s="2149"/>
      <c r="P15" s="2149"/>
      <c r="Q15" s="1248"/>
      <c r="R15" s="1342">
        <v>14</v>
      </c>
      <c r="S15" s="1343"/>
      <c r="T15" s="1342">
        <f t="shared" si="0"/>
        <v>0</v>
      </c>
      <c r="U15" s="1343"/>
      <c r="V15" s="1342">
        <f t="shared" si="1"/>
        <v>0</v>
      </c>
      <c r="W15" s="1346"/>
      <c r="X15" s="1346"/>
      <c r="Y15" s="1346"/>
      <c r="Z15" s="1346"/>
      <c r="AA15" s="1346"/>
      <c r="AB15" s="1346"/>
      <c r="AC15" s="1347"/>
      <c r="AD15" s="2985"/>
      <c r="AE15" s="2985"/>
      <c r="AF15" s="2985"/>
      <c r="AG15" s="2985"/>
      <c r="AH15" s="2985"/>
      <c r="AI15" s="2985"/>
      <c r="AJ15" s="2986"/>
    </row>
    <row r="16" spans="1:36" ht="24.6" customHeight="1">
      <c r="A16" s="3748" t="s">
        <v>2643</v>
      </c>
      <c r="B16" s="2175" t="s">
        <v>2644</v>
      </c>
      <c r="C16" s="2337">
        <f>ROUND(IF(F17="与级别开发程度一致",0,(G17-E17)/C17),0)</f>
        <v>0</v>
      </c>
      <c r="D16" s="3764" t="s">
        <v>2648</v>
      </c>
      <c r="E16" s="3765"/>
      <c r="F16" s="3764" t="s">
        <v>2645</v>
      </c>
      <c r="G16" s="3765"/>
      <c r="H16" s="2207" t="s">
        <v>3427</v>
      </c>
      <c r="I16" s="2207" t="s">
        <v>3426</v>
      </c>
      <c r="J16" s="2341" t="s">
        <v>3428</v>
      </c>
      <c r="K16" s="2207" t="s">
        <v>3429</v>
      </c>
      <c r="L16" s="2207" t="s">
        <v>3430</v>
      </c>
      <c r="M16" s="2207" t="s">
        <v>3431</v>
      </c>
      <c r="N16" s="2207" t="s">
        <v>3432</v>
      </c>
      <c r="O16" s="2208" t="s">
        <v>3433</v>
      </c>
      <c r="P16" s="2149"/>
      <c r="Q16" s="1248"/>
      <c r="R16" s="1342">
        <v>15</v>
      </c>
      <c r="S16" s="1343"/>
      <c r="T16" s="1342">
        <f t="shared" si="0"/>
        <v>0</v>
      </c>
      <c r="U16" s="1343"/>
      <c r="V16" s="1342">
        <f t="shared" si="1"/>
        <v>0</v>
      </c>
      <c r="W16" s="1346"/>
      <c r="X16" s="1346"/>
      <c r="Y16" s="1346"/>
      <c r="Z16" s="1346"/>
      <c r="AA16" s="1346"/>
      <c r="AB16" s="1346"/>
      <c r="AC16" s="1347"/>
      <c r="AD16" s="2985"/>
      <c r="AE16" s="2985"/>
      <c r="AF16" s="2985"/>
      <c r="AG16" s="2985"/>
      <c r="AH16" s="2985"/>
      <c r="AI16" s="2985"/>
      <c r="AJ16" s="2986"/>
    </row>
    <row r="17" spans="1:37" ht="13.5" thickBot="1">
      <c r="A17" s="3752"/>
      <c r="B17" s="2348" t="s">
        <v>2647</v>
      </c>
      <c r="C17" s="2349">
        <f>SUMPRODUCT((修正!A2:A5=E2)*(修正!B1:M1=G2)*(修正!B2:M5))</f>
        <v>2.5</v>
      </c>
      <c r="D17" s="192" t="str">
        <f>IF(OR(G2="八级",G2="九级",G2="十级",G2="十一级",G2="十二级"),"五通一平","七通一平")</f>
        <v>七通一平</v>
      </c>
      <c r="E17" s="2338">
        <f>SUMPRODUCT((修正!B1:M1=G2)*(修正!B15:M15))</f>
        <v>300</v>
      </c>
      <c r="F17" s="2339"/>
      <c r="G17" s="2340">
        <f>SUM(H17:O17)</f>
        <v>300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50</v>
      </c>
      <c r="N17" s="2349">
        <f>SUMPRODUCT((七通一平=N16)*(修正!B1:M1=G2)*(修正!B6:M14))</f>
        <v>40</v>
      </c>
      <c r="O17" s="2351">
        <f>SUMPRODUCT((七通一平=O16)*(修正!B1:M1=G2)*(修正!B6:M14))</f>
        <v>15</v>
      </c>
      <c r="P17" s="2149"/>
      <c r="Q17" s="1248"/>
      <c r="R17" s="1248"/>
      <c r="S17" s="1248"/>
      <c r="T17" s="1248"/>
      <c r="U17" s="1248"/>
      <c r="V17" s="1248"/>
      <c r="W17" s="1248"/>
      <c r="X17" s="1248"/>
      <c r="Y17" s="1248"/>
      <c r="Z17" s="1249"/>
      <c r="AA17" s="1249"/>
      <c r="AB17" s="1249"/>
      <c r="AC17" s="1249"/>
      <c r="AD17" s="1249"/>
      <c r="AE17" s="1248"/>
      <c r="AF17" s="1248"/>
      <c r="AG17" s="2149"/>
      <c r="AH17" s="2149"/>
      <c r="AI17" s="2149"/>
      <c r="AJ17" s="2149"/>
    </row>
    <row r="18" spans="1:37" s="2168" customFormat="1" ht="15.75" thickBot="1">
      <c r="A18" s="2342" t="s">
        <v>808</v>
      </c>
      <c r="B18" s="2343" t="s">
        <v>2650</v>
      </c>
      <c r="C18" s="2344">
        <f>SUMIF(修正!C18:C39,E3,修正!E18:E39)</f>
        <v>1</v>
      </c>
      <c r="D18" s="2345"/>
      <c r="E18" s="2346"/>
      <c r="F18" s="2346"/>
      <c r="G18" s="2346"/>
      <c r="H18" s="2346"/>
      <c r="I18" s="2346"/>
      <c r="J18" s="2347"/>
      <c r="K18" s="1255"/>
      <c r="L18" s="2984"/>
      <c r="M18" s="2984"/>
      <c r="N18" s="2984"/>
      <c r="O18" s="1253"/>
      <c r="P18" s="1253"/>
      <c r="Q18" s="1254"/>
      <c r="R18" s="1254"/>
      <c r="S18" s="1254"/>
      <c r="T18" s="1249"/>
      <c r="U18" s="1249"/>
      <c r="V18" s="1249"/>
      <c r="W18" s="1248"/>
      <c r="X18" s="1248"/>
      <c r="Y18" s="1248"/>
      <c r="Z18" s="1255"/>
      <c r="AA18" s="1255"/>
      <c r="AB18" s="1255"/>
      <c r="AC18" s="1255"/>
      <c r="AD18" s="1255"/>
      <c r="AE18" s="1249"/>
      <c r="AF18" s="1249"/>
      <c r="AG18" s="2306"/>
      <c r="AH18" s="2306"/>
      <c r="AI18" s="2306"/>
      <c r="AJ18" s="2984"/>
    </row>
    <row r="19" spans="1:37" s="2168" customFormat="1" ht="29.25" thickBot="1">
      <c r="A19" s="2212" t="s">
        <v>809</v>
      </c>
      <c r="B19" s="2213" t="s">
        <v>2651</v>
      </c>
      <c r="C19" s="861">
        <f>ROUND(IF(H19="按公示增长率计算",SUMPRODUCT((地价!A3:A37=YEAR(G19)&amp;"-"&amp;ROUNDUP(MONTH(G19)/3,0))*(地价!X2:AB2=E2)*(地价!X3:AB37)),IF(H19="地价指数",M20/M19,(1+I19)^O19)),4)</f>
        <v>1.7232000000000001</v>
      </c>
      <c r="D19" s="2217" t="s">
        <v>2652</v>
      </c>
      <c r="E19" s="862">
        <v>41640</v>
      </c>
      <c r="F19" s="2217" t="s">
        <v>2653</v>
      </c>
      <c r="G19" s="863">
        <f>'数据-取费表'!B2</f>
        <v>44617</v>
      </c>
      <c r="H19" s="2218" t="s">
        <v>3434</v>
      </c>
      <c r="I19" s="864" t="str">
        <f>IF(H19="季度增幅（自定义）",SUMIF(N21:N24,E2,O21:O24),"")</f>
        <v/>
      </c>
      <c r="J19" s="2215"/>
      <c r="K19" s="1255"/>
      <c r="L19" s="2219" t="s">
        <v>2654</v>
      </c>
      <c r="M19" s="1464">
        <f>ROUND(SUMIF(地价!B2:F2,E2,地价!B37:F37),0)</f>
        <v>423</v>
      </c>
      <c r="N19" s="2220" t="s">
        <v>2655</v>
      </c>
      <c r="O19" s="865">
        <f>ROUNDDOWN(DATEDIF(E19,G19,"M")/3,0)</f>
        <v>32</v>
      </c>
      <c r="P19" s="1252"/>
      <c r="Q19" s="1254"/>
      <c r="R19" s="1254"/>
      <c r="S19" s="1254"/>
      <c r="T19" s="1249"/>
      <c r="U19" s="1249"/>
      <c r="V19" s="1249"/>
      <c r="W19" s="1248"/>
      <c r="X19" s="1248"/>
      <c r="Y19" s="1248"/>
      <c r="Z19" s="1255"/>
      <c r="AA19" s="1255"/>
      <c r="AB19" s="1255"/>
      <c r="AC19" s="1255"/>
      <c r="AD19" s="1255"/>
      <c r="AE19" s="1255"/>
      <c r="AF19" s="1254"/>
      <c r="AG19" s="2987"/>
      <c r="AH19" s="2306"/>
      <c r="AI19" s="2988"/>
      <c r="AJ19" s="2988"/>
      <c r="AK19" s="2221"/>
    </row>
    <row r="20" spans="1:37" s="2168" customFormat="1" ht="27.75" thickBot="1">
      <c r="A20" s="2222" t="s">
        <v>810</v>
      </c>
      <c r="B20" s="2223" t="s">
        <v>2656</v>
      </c>
      <c r="C20" s="866">
        <f>ROUND(POWER(1+G20,J20-I20)*(POWER(1+G20,I20)-1)/(POWER(1+G20,J20)-1),4)</f>
        <v>1</v>
      </c>
      <c r="D20" s="2224" t="s">
        <v>2657</v>
      </c>
      <c r="E20" s="1471">
        <f>存贷款利率!E20/100</f>
        <v>4.3499999999999997E-2</v>
      </c>
      <c r="F20" s="2224" t="s">
        <v>2649</v>
      </c>
      <c r="G20" s="871">
        <f>SUMIF(M26:P26,E2,M28:P28)</f>
        <v>0.05</v>
      </c>
      <c r="H20" s="2224" t="s">
        <v>2658</v>
      </c>
      <c r="I20" s="872">
        <f>SUMIF('数据-取费表'!C6:C15,E2,'数据-取费表'!F6:F15)/COUNTIF('数据-取费表'!C6:C15,E2)</f>
        <v>70</v>
      </c>
      <c r="J20" s="873">
        <f>IF(E2="住宅",70,IF(E2="商业",40,50))</f>
        <v>70</v>
      </c>
      <c r="K20" s="1255"/>
      <c r="L20" s="2225" t="s">
        <v>2659</v>
      </c>
      <c r="M20" s="1465">
        <f>ROUND(SUMPRODUCT((地价!A4:A37=YEAR(G19)&amp;"-"&amp;ROUNDUP(MONTH(G19)/3,0))*(地价!B2:F2=E2)*(地价!B4:F37)),0)</f>
        <v>729</v>
      </c>
      <c r="N20" s="2226" t="s">
        <v>2660</v>
      </c>
      <c r="O20" s="2227" t="s">
        <v>2661</v>
      </c>
      <c r="P20" s="2228" t="s">
        <v>2662</v>
      </c>
      <c r="Q20" s="2984"/>
      <c r="R20" s="1254"/>
      <c r="S20" s="1254"/>
      <c r="T20" s="1249"/>
      <c r="U20" s="1249"/>
      <c r="V20" s="1249"/>
      <c r="W20" s="1248"/>
      <c r="X20" s="1248"/>
      <c r="Y20" s="1248"/>
      <c r="Z20" s="1255"/>
      <c r="AA20" s="1255"/>
      <c r="AB20" s="1255"/>
      <c r="AC20" s="1255"/>
      <c r="AD20" s="1255"/>
      <c r="AE20" s="1255"/>
      <c r="AF20" s="1255"/>
      <c r="AG20" s="2984"/>
      <c r="AH20" s="2984"/>
      <c r="AI20" s="2984"/>
      <c r="AJ20" s="2984"/>
    </row>
    <row r="21" spans="1:37" s="2168" customFormat="1" ht="15">
      <c r="A21" s="2229" t="s">
        <v>811</v>
      </c>
      <c r="B21" s="2230" t="s">
        <v>3435</v>
      </c>
      <c r="C21" s="874">
        <f>IF(B21="容积率修正",IF(G3&lt;=10,D22,J22),C23)</f>
        <v>1.0727</v>
      </c>
      <c r="D21" s="2231"/>
      <c r="E21" s="2231"/>
      <c r="F21" s="2231"/>
      <c r="G21" s="2231"/>
      <c r="H21" s="2231"/>
      <c r="I21" s="2231"/>
      <c r="J21" s="2232"/>
      <c r="K21" s="1255"/>
      <c r="L21" s="2984"/>
      <c r="M21" s="2984"/>
      <c r="N21" s="2233" t="s">
        <v>2663</v>
      </c>
      <c r="O21" s="1303"/>
      <c r="P21" s="1304">
        <f>SUMPRODUCT((地价!A3:A37=YEAR(G19)&amp;"-"&amp;ROUNDUP(MONTH(G19)/3,0))*(地价!AD2:AH2=N21)*(地价!AD3:AH37))</f>
        <v>1.0200000000000001E-2</v>
      </c>
      <c r="Q21" s="2984"/>
      <c r="R21" s="1254"/>
      <c r="S21" s="1254"/>
      <c r="T21" s="1249"/>
      <c r="U21" s="1249"/>
      <c r="V21" s="1249"/>
      <c r="W21" s="1248"/>
      <c r="X21" s="1248"/>
      <c r="Y21" s="1248"/>
      <c r="Z21" s="1255"/>
      <c r="AA21" s="1255"/>
      <c r="AB21" s="1255"/>
      <c r="AC21" s="1255"/>
      <c r="AD21" s="1255"/>
      <c r="AE21" s="1255"/>
      <c r="AF21" s="1255"/>
      <c r="AG21" s="2984"/>
      <c r="AH21" s="2984"/>
      <c r="AI21" s="2984"/>
      <c r="AJ21" s="2984"/>
    </row>
    <row r="22" spans="1:37" s="2168" customFormat="1" ht="14.25">
      <c r="A22" s="2107" t="s">
        <v>2664</v>
      </c>
      <c r="B22" s="2234" t="s">
        <v>2665</v>
      </c>
      <c r="C22" s="1502" t="s">
        <v>2666</v>
      </c>
      <c r="D22" s="1502">
        <f>IF(E22=G22,F22,IF(G3&lt;=10,ROUND(F22+(H22-F22)*(G3-E22)/(G22-E22),4),"——"))</f>
        <v>1.0727</v>
      </c>
      <c r="E22" s="853">
        <f>ROUNDDOWN(G3,1)</f>
        <v>1.9</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3">
        <f>ROUNDUP(G3,1)</f>
        <v>2</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2" t="s">
        <v>155</v>
      </c>
      <c r="J22" s="875" t="str">
        <f>IF(G3&gt;10,D113,"——")</f>
        <v>——</v>
      </c>
      <c r="K22" s="1255"/>
      <c r="L22" s="2984"/>
      <c r="M22" s="2984"/>
      <c r="N22" s="2233" t="s">
        <v>2667</v>
      </c>
      <c r="O22" s="1303"/>
      <c r="P22" s="1304">
        <f>SUMPRODUCT((地价!A3:A37=YEAR(G19)&amp;"-"&amp;ROUNDUP(MONTH(G19)/3,0))*(地价!AD2:AH2=N22)*(地价!AD3:AH37))</f>
        <v>1.0200000000000001E-2</v>
      </c>
      <c r="Q22" s="2984"/>
      <c r="R22" s="1254"/>
      <c r="S22" s="1254"/>
      <c r="T22" s="1249"/>
      <c r="U22" s="1249"/>
      <c r="V22" s="1249"/>
      <c r="W22" s="1248"/>
      <c r="X22" s="1248"/>
      <c r="Y22" s="1248"/>
      <c r="Z22" s="1255"/>
      <c r="AA22" s="1255"/>
      <c r="AB22" s="1255"/>
      <c r="AC22" s="1255"/>
      <c r="AD22" s="1255"/>
      <c r="AE22" s="1255"/>
      <c r="AF22" s="1255"/>
      <c r="AG22" s="2984"/>
      <c r="AH22" s="2984"/>
      <c r="AI22" s="2984"/>
      <c r="AJ22" s="2984"/>
    </row>
    <row r="23" spans="1:37" ht="27.75" thickBot="1">
      <c r="A23" s="2107" t="s">
        <v>2668</v>
      </c>
      <c r="B23" s="2235" t="s">
        <v>2669</v>
      </c>
      <c r="C23" s="948">
        <f>ROUND(IF(G3&gt;1,IF(I3&lt;7,SUMPRODUCT((B93:B98=I3)*(C92:N92=G2)*(C93:N98)),SUMIF(C92:N92,G2,C100:N100)),IF(I3&lt;7,SUMPRODUCT((B102:B107=I3)*(C92:N92=G2)*(C102:N107)),SUMIF(C92:N92,G2,C109:N109))),4)</f>
        <v>0</v>
      </c>
      <c r="D23" s="2203"/>
      <c r="E23" s="2203"/>
      <c r="F23" s="2236"/>
      <c r="G23" s="2237"/>
      <c r="H23" s="2238"/>
      <c r="I23" s="2239"/>
      <c r="J23" s="2240"/>
      <c r="K23" s="1248"/>
      <c r="L23" s="2149"/>
      <c r="M23" s="2149"/>
      <c r="N23" s="2233" t="s">
        <v>2670</v>
      </c>
      <c r="O23" s="1303"/>
      <c r="P23" s="1304">
        <f>SUMPRODUCT((地价!A3:A37=YEAR(G19)&amp;"-"&amp;ROUNDUP(MONTH(G19)/3,0))*(地价!AD2:AH2=N23)*(地价!AD3:AH37))</f>
        <v>1.77E-2</v>
      </c>
      <c r="Q23" s="2149"/>
      <c r="R23" s="1254"/>
      <c r="S23" s="1254"/>
      <c r="T23" s="1249"/>
      <c r="U23" s="1249"/>
      <c r="V23" s="1249"/>
      <c r="W23" s="1248"/>
      <c r="X23" s="1248"/>
      <c r="Y23" s="1248"/>
      <c r="Z23" s="1255"/>
      <c r="AA23" s="1255"/>
      <c r="AB23" s="1255"/>
      <c r="AC23" s="1255"/>
      <c r="AD23" s="1255"/>
      <c r="AE23" s="1249"/>
      <c r="AF23" s="1249"/>
      <c r="AG23" s="2306"/>
      <c r="AH23" s="2306"/>
      <c r="AI23" s="2306"/>
      <c r="AJ23" s="2306"/>
      <c r="AK23" s="2216"/>
    </row>
    <row r="24" spans="1:37" s="2168" customFormat="1" ht="15.75" thickBot="1">
      <c r="A24" s="2222" t="s">
        <v>812</v>
      </c>
      <c r="B24" s="2213" t="s">
        <v>2671</v>
      </c>
      <c r="C24" s="861">
        <f>SUMIF(A45:A88,E2,B45:B88)</f>
        <v>1</v>
      </c>
      <c r="D24" s="2214"/>
      <c r="E24" s="2241"/>
      <c r="F24" s="2241"/>
      <c r="G24" s="2241"/>
      <c r="H24" s="2241"/>
      <c r="I24" s="2241"/>
      <c r="J24" s="2242"/>
      <c r="K24" s="1255"/>
      <c r="L24" s="2984"/>
      <c r="M24" s="2984"/>
      <c r="N24" s="2243" t="s">
        <v>2672</v>
      </c>
      <c r="O24" s="1305"/>
      <c r="P24" s="1306">
        <f>SUMPRODUCT((地价!A3:A37=YEAR(G19)&amp;"-"&amp;ROUNDUP(MONTH(G19)/3,0))*(地价!AD2:AH2=N24)*(地价!AD3:AH37))</f>
        <v>1.18E-2</v>
      </c>
      <c r="Q24" s="2984"/>
      <c r="R24" s="1254"/>
      <c r="S24" s="1254"/>
      <c r="T24" s="1249"/>
      <c r="U24" s="1249"/>
      <c r="V24" s="1249"/>
      <c r="W24" s="1248"/>
      <c r="X24" s="1248"/>
      <c r="Y24" s="1248"/>
      <c r="Z24" s="1255"/>
      <c r="AA24" s="1255"/>
      <c r="AB24" s="1255"/>
      <c r="AC24" s="1255"/>
      <c r="AD24" s="1255"/>
      <c r="AE24" s="1255"/>
      <c r="AF24" s="1255"/>
      <c r="AG24" s="2984"/>
      <c r="AH24" s="2984"/>
      <c r="AI24" s="2984"/>
      <c r="AJ24" s="2984"/>
    </row>
    <row r="25" spans="1:37" ht="15.75" thickBot="1">
      <c r="A25" s="2222" t="s">
        <v>813</v>
      </c>
      <c r="B25" s="2244" t="s">
        <v>2673</v>
      </c>
      <c r="C25" s="867"/>
      <c r="D25" s="2178"/>
      <c r="E25" s="2178"/>
      <c r="F25" s="2245"/>
      <c r="G25" s="2178"/>
      <c r="H25" s="2178"/>
      <c r="I25" s="2178"/>
      <c r="J25" s="2179"/>
      <c r="K25" s="1248"/>
      <c r="L25" s="2149"/>
      <c r="M25" s="2149"/>
      <c r="N25" s="2979" t="s">
        <v>2674</v>
      </c>
      <c r="O25" s="2980"/>
      <c r="P25" s="2981">
        <f>SUMPRODUCT((地价!A3:A37=YEAR(G19)&amp;"-"&amp;ROUNDUP(MONTH(G19)/3,0))*(地价!AD2:AH2=N25)*(地价!AD3:AH37))</f>
        <v>1.61E-2</v>
      </c>
      <c r="Q25" s="2149"/>
      <c r="R25" s="1254"/>
      <c r="S25" s="1254"/>
      <c r="T25" s="1249"/>
      <c r="U25" s="1249"/>
      <c r="V25" s="1249"/>
      <c r="W25" s="1248"/>
      <c r="X25" s="1248"/>
      <c r="Y25" s="1248"/>
      <c r="Z25" s="1255"/>
      <c r="AA25" s="1255"/>
      <c r="AB25" s="1255"/>
      <c r="AC25" s="1255"/>
      <c r="AD25" s="1255"/>
      <c r="AE25" s="1249"/>
      <c r="AF25" s="1249"/>
      <c r="AG25" s="2306"/>
      <c r="AH25" s="2306"/>
      <c r="AI25" s="2306"/>
      <c r="AJ25" s="2306"/>
    </row>
    <row r="26" spans="1:37" ht="15">
      <c r="A26" s="2246"/>
      <c r="B26" s="2234" t="s">
        <v>2675</v>
      </c>
      <c r="C26" s="2508">
        <f>IF(B21="容积率修正",E29+SUM(E33:E39),SUM(V2:V16)+SUM(E33:E39))</f>
        <v>0</v>
      </c>
      <c r="D26" s="2247"/>
      <c r="E26" s="2203"/>
      <c r="F26" s="2248"/>
      <c r="G26" s="2203"/>
      <c r="H26" s="2203"/>
      <c r="I26" s="2203"/>
      <c r="J26" s="2249"/>
      <c r="K26" s="1248"/>
      <c r="L26" s="2982" t="s">
        <v>2574</v>
      </c>
      <c r="M26" s="2176" t="s">
        <v>2639</v>
      </c>
      <c r="N26" s="2176" t="s">
        <v>2640</v>
      </c>
      <c r="O26" s="2176" t="s">
        <v>2641</v>
      </c>
      <c r="P26" s="2983" t="s">
        <v>2642</v>
      </c>
      <c r="Q26" s="2149"/>
      <c r="R26" s="1254"/>
      <c r="S26" s="1254"/>
      <c r="T26" s="1249"/>
      <c r="U26" s="1249"/>
      <c r="V26" s="1249"/>
      <c r="W26" s="1248"/>
      <c r="X26" s="1248"/>
      <c r="Y26" s="1248"/>
      <c r="Z26" s="1255"/>
      <c r="AA26" s="1255"/>
      <c r="AB26" s="1255"/>
      <c r="AC26" s="1255"/>
      <c r="AD26" s="1255"/>
      <c r="AE26" s="1249"/>
      <c r="AF26" s="1249"/>
      <c r="AG26" s="2306"/>
      <c r="AH26" s="2306"/>
      <c r="AI26" s="2306"/>
      <c r="AJ26" s="2306"/>
    </row>
    <row r="27" spans="1:37" ht="15.75" thickBot="1">
      <c r="A27" s="2246"/>
      <c r="B27" s="2250" t="s">
        <v>2676</v>
      </c>
      <c r="C27" s="868">
        <f>E30+SUM(I33:I39)</f>
        <v>0</v>
      </c>
      <c r="D27" s="2251"/>
      <c r="E27" s="2252"/>
      <c r="F27" s="2253"/>
      <c r="G27" s="2252"/>
      <c r="H27" s="2252"/>
      <c r="I27" s="2252"/>
      <c r="J27" s="2254"/>
      <c r="K27" s="1248"/>
      <c r="L27" s="2209" t="s">
        <v>2646</v>
      </c>
      <c r="M27" s="859">
        <v>0.25</v>
      </c>
      <c r="N27" s="859">
        <v>0.2</v>
      </c>
      <c r="O27" s="859">
        <v>0.15</v>
      </c>
      <c r="P27" s="1247">
        <v>0.1</v>
      </c>
      <c r="Q27" s="1254"/>
      <c r="R27" s="1254"/>
      <c r="S27" s="1254"/>
      <c r="T27" s="1249"/>
      <c r="U27" s="1249"/>
      <c r="V27" s="1249"/>
      <c r="W27" s="1248"/>
      <c r="X27" s="1248"/>
      <c r="Y27" s="1248"/>
      <c r="Z27" s="1255"/>
      <c r="AA27" s="1255"/>
      <c r="AB27" s="1255"/>
      <c r="AC27" s="1255"/>
      <c r="AD27" s="1255"/>
      <c r="AE27" s="1249"/>
      <c r="AF27" s="1249"/>
      <c r="AG27" s="2306"/>
      <c r="AH27" s="2306"/>
      <c r="AI27" s="2306"/>
      <c r="AJ27" s="2306"/>
    </row>
    <row r="28" spans="1:37" ht="15.75" thickBot="1">
      <c r="A28" s="2255"/>
      <c r="B28" s="2256" t="s">
        <v>2677</v>
      </c>
      <c r="C28" s="2257" t="s">
        <v>2678</v>
      </c>
      <c r="D28" s="2257" t="s">
        <v>2679</v>
      </c>
      <c r="E28" s="2258" t="s">
        <v>2680</v>
      </c>
      <c r="F28" s="2259"/>
      <c r="G28" s="2191"/>
      <c r="H28" s="2191"/>
      <c r="I28" s="2191"/>
      <c r="J28" s="2192"/>
      <c r="K28" s="1248"/>
      <c r="L28" s="2210" t="s">
        <v>2649</v>
      </c>
      <c r="M28" s="182">
        <f>ROUND($E$20*(1+M27),3)</f>
        <v>5.3999999999999999E-2</v>
      </c>
      <c r="N28" s="182">
        <f>ROUND($E$20*(1+N27),3)</f>
        <v>5.1999999999999998E-2</v>
      </c>
      <c r="O28" s="182">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6"/>
      <c r="AH28" s="2306"/>
      <c r="AI28" s="2306"/>
      <c r="AJ28" s="2306"/>
    </row>
    <row r="29" spans="1:37" ht="22.5" customHeight="1">
      <c r="A29" s="2260"/>
      <c r="B29" s="2261" t="s">
        <v>2681</v>
      </c>
      <c r="C29" s="179">
        <f>ROUND(C5*C18*C19*C20*C21*C24,0)</f>
        <v>14954</v>
      </c>
      <c r="D29" s="2262"/>
      <c r="E29" s="877">
        <f>ROUND(C29*D29/10000,0)</f>
        <v>0</v>
      </c>
      <c r="F29" s="2263" t="s">
        <v>2682</v>
      </c>
      <c r="G29" s="2264"/>
      <c r="H29" s="2264"/>
      <c r="I29" s="2264"/>
      <c r="J29" s="2265"/>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9"/>
      <c r="AH29" s="2149"/>
      <c r="AI29" s="2149"/>
      <c r="AJ29" s="2149"/>
    </row>
    <row r="30" spans="1:37" ht="25.5" thickBot="1">
      <c r="A30" s="2266"/>
      <c r="B30" s="2267" t="s">
        <v>2683</v>
      </c>
      <c r="C30" s="192">
        <f>ROUND(IF(E2="工业",C29*M39,C29*M38),0)</f>
        <v>3739</v>
      </c>
      <c r="D30" s="2268"/>
      <c r="E30" s="877">
        <f>ROUND(C30*D30/10000,0)</f>
        <v>0</v>
      </c>
      <c r="F30" s="2269" t="s">
        <v>2684</v>
      </c>
      <c r="G30" s="2270"/>
      <c r="H30" s="2270"/>
      <c r="I30" s="2270"/>
      <c r="J30" s="2271"/>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9"/>
      <c r="AH30" s="2149"/>
      <c r="AI30" s="2149"/>
      <c r="AJ30" s="2149"/>
    </row>
    <row r="31" spans="1:37" ht="14.25">
      <c r="A31" s="2272"/>
      <c r="B31" s="2273" t="s">
        <v>2685</v>
      </c>
      <c r="C31" s="2274" t="s">
        <v>2686</v>
      </c>
      <c r="D31" s="2191"/>
      <c r="E31" s="2274"/>
      <c r="F31" s="2274"/>
      <c r="G31" s="2189" t="s">
        <v>2687</v>
      </c>
      <c r="H31" s="2191"/>
      <c r="I31" s="2275"/>
      <c r="J31" s="2192"/>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9"/>
      <c r="AH31" s="2149"/>
      <c r="AI31" s="2149"/>
      <c r="AJ31" s="2149"/>
    </row>
    <row r="32" spans="1:37" ht="24">
      <c r="A32" s="2260"/>
      <c r="B32" s="2276"/>
      <c r="C32" s="457" t="s">
        <v>2678</v>
      </c>
      <c r="D32" s="454" t="s">
        <v>2679</v>
      </c>
      <c r="E32" s="454" t="s">
        <v>2680</v>
      </c>
      <c r="F32" s="347" t="s">
        <v>2688</v>
      </c>
      <c r="G32" s="2277" t="s">
        <v>2678</v>
      </c>
      <c r="H32" s="2277" t="s">
        <v>2679</v>
      </c>
      <c r="I32" s="2277" t="s">
        <v>2680</v>
      </c>
      <c r="J32" s="248"/>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9"/>
      <c r="AH32" s="2149"/>
      <c r="AI32" s="2149"/>
      <c r="AJ32" s="2149"/>
    </row>
    <row r="33" spans="1:37" ht="36" customHeight="1">
      <c r="A33" s="3761"/>
      <c r="B33" s="2278" t="s">
        <v>2689</v>
      </c>
      <c r="C33" s="179">
        <f>ROUND(D5*C19*C20*C24*F33,0)</f>
        <v>9758</v>
      </c>
      <c r="D33" s="2262"/>
      <c r="E33" s="175">
        <f>ROUND(C33*D33/10000,0)</f>
        <v>0</v>
      </c>
      <c r="F33" s="175">
        <f>SUMIF(修正!A45:A56,G2,修正!B45:B56)</f>
        <v>0.7</v>
      </c>
      <c r="G33" s="175">
        <f t="shared" ref="G33" si="6">ROUND(IF(E2="工业",C33*$M$39,C33*$M$38),0)</f>
        <v>2440</v>
      </c>
      <c r="H33" s="175">
        <f>D33</f>
        <v>0</v>
      </c>
      <c r="I33" s="175">
        <f>ROUND(G33*H33/10000,0)</f>
        <v>0</v>
      </c>
      <c r="J33" s="3766" t="s">
        <v>2995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6"/>
      <c r="AH33" s="2306"/>
      <c r="AI33" s="2306"/>
      <c r="AJ33" s="2306"/>
    </row>
    <row r="34" spans="1:37" ht="14.25">
      <c r="A34" s="3762"/>
      <c r="B34" s="2195" t="s">
        <v>2690</v>
      </c>
      <c r="C34" s="179">
        <f>ROUND(D5*C19*C20*C24*F34,0)</f>
        <v>5576</v>
      </c>
      <c r="D34" s="2262"/>
      <c r="E34" s="175">
        <f t="shared" ref="E34:E39" si="7">ROUND(C34*D34/10000,0)</f>
        <v>0</v>
      </c>
      <c r="F34" s="175">
        <f>SUMIF(修正!A45:A56,G2,修正!C45:C56)</f>
        <v>0.4</v>
      </c>
      <c r="G34" s="175">
        <f>ROUND(IF(E2="工业",C34*$M$39,C34*$M$38),0)</f>
        <v>1394</v>
      </c>
      <c r="H34" s="175">
        <f t="shared" ref="H34:H39" si="8">D34</f>
        <v>0</v>
      </c>
      <c r="I34" s="175">
        <f t="shared" ref="I34:I39" si="9">ROUND(G34*H34/10000,0)</f>
        <v>0</v>
      </c>
      <c r="J34" s="3762"/>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6"/>
      <c r="AH34" s="2306"/>
      <c r="AI34" s="2306"/>
      <c r="AJ34" s="2306"/>
    </row>
    <row r="35" spans="1:37">
      <c r="A35" s="3762"/>
      <c r="B35" s="2195" t="s">
        <v>2691</v>
      </c>
      <c r="C35" s="179">
        <f>ROUND(D5*C19*C20*C24*F35,0)</f>
        <v>3903</v>
      </c>
      <c r="D35" s="2262"/>
      <c r="E35" s="175">
        <f t="shared" si="7"/>
        <v>0</v>
      </c>
      <c r="F35" s="175">
        <f>SUMIF(修正!A45:A56,G2,修正!D45:D56)</f>
        <v>0.28000000000000003</v>
      </c>
      <c r="G35" s="175">
        <f>ROUND(IF(E2="工业",C35*$M$39,C35*$M$38),0)</f>
        <v>976</v>
      </c>
      <c r="H35" s="175">
        <f t="shared" si="8"/>
        <v>0</v>
      </c>
      <c r="I35" s="175">
        <f t="shared" si="9"/>
        <v>0</v>
      </c>
      <c r="J35" s="3762"/>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6"/>
      <c r="AH35" s="2306"/>
      <c r="AI35" s="2306"/>
      <c r="AJ35" s="2306"/>
    </row>
    <row r="36" spans="1:37" ht="13.5" thickBot="1">
      <c r="A36" s="3763"/>
      <c r="B36" s="2195" t="s">
        <v>2692</v>
      </c>
      <c r="C36" s="179">
        <f>ROUND(D5*C19*C20*C24*F36,0)</f>
        <v>3485</v>
      </c>
      <c r="D36" s="2262"/>
      <c r="E36" s="175">
        <f t="shared" si="7"/>
        <v>0</v>
      </c>
      <c r="F36" s="175">
        <f>SUMIF(修正!A45:A56,G2,修正!E45:E56)</f>
        <v>0.25</v>
      </c>
      <c r="G36" s="175">
        <f>ROUND(IF(E2="工业",C36*$M$39,C36*$M$38),0)</f>
        <v>871</v>
      </c>
      <c r="H36" s="175">
        <f t="shared" si="8"/>
        <v>0</v>
      </c>
      <c r="I36" s="175">
        <f t="shared" si="9"/>
        <v>0</v>
      </c>
      <c r="J36" s="3763"/>
      <c r="K36" s="1248"/>
      <c r="L36" s="2149"/>
      <c r="M36" s="2149"/>
      <c r="N36" s="1248"/>
      <c r="O36" s="1248"/>
      <c r="P36" s="1248"/>
      <c r="Q36" s="1248"/>
      <c r="R36" s="1248"/>
      <c r="S36" s="1248"/>
      <c r="T36" s="1248"/>
      <c r="U36" s="1248"/>
      <c r="V36" s="1248"/>
      <c r="W36" s="1248"/>
      <c r="X36" s="1248"/>
      <c r="Y36" s="1248"/>
      <c r="Z36" s="1249"/>
      <c r="AA36" s="1249"/>
      <c r="AB36" s="1249"/>
      <c r="AC36" s="1249"/>
      <c r="AD36" s="1249"/>
      <c r="AE36" s="1249"/>
      <c r="AF36" s="1249"/>
      <c r="AG36" s="2306"/>
      <c r="AH36" s="2306"/>
      <c r="AI36" s="2306"/>
      <c r="AJ36" s="2306"/>
    </row>
    <row r="37" spans="1:37">
      <c r="A37" s="2280"/>
      <c r="B37" s="2195" t="s">
        <v>2693</v>
      </c>
      <c r="C37" s="175">
        <f>ROUND(D5*C19*C20*C24*F37,0)</f>
        <v>3485</v>
      </c>
      <c r="D37" s="2262"/>
      <c r="E37" s="175">
        <f t="shared" si="7"/>
        <v>0</v>
      </c>
      <c r="F37" s="179">
        <f>SUMIF(修正!A45:A56,G2,修正!F45:F56)</f>
        <v>0.25</v>
      </c>
      <c r="G37" s="175">
        <f>ROUND(IF(E2="工业",C37*$M$39,C37*$M$38),0)</f>
        <v>871</v>
      </c>
      <c r="H37" s="175">
        <f t="shared" si="8"/>
        <v>0</v>
      </c>
      <c r="I37" s="175">
        <f t="shared" si="9"/>
        <v>0</v>
      </c>
      <c r="J37" s="2279"/>
      <c r="K37" s="1248"/>
      <c r="L37" s="2281" t="s">
        <v>2694</v>
      </c>
      <c r="M37" s="2282"/>
      <c r="N37" s="1248"/>
      <c r="O37" s="1248"/>
      <c r="P37" s="1248"/>
      <c r="Q37" s="1248"/>
      <c r="R37" s="1248"/>
      <c r="S37" s="1248"/>
      <c r="T37" s="1248"/>
      <c r="U37" s="1248"/>
      <c r="V37" s="1248"/>
      <c r="W37" s="1248"/>
      <c r="X37" s="1248"/>
      <c r="Y37" s="1248"/>
      <c r="Z37" s="1249"/>
      <c r="AA37" s="1249"/>
      <c r="AB37" s="1249"/>
      <c r="AC37" s="1249"/>
      <c r="AD37" s="1249"/>
      <c r="AE37" s="1249"/>
      <c r="AF37" s="1249"/>
      <c r="AG37" s="2306"/>
      <c r="AH37" s="2306"/>
      <c r="AI37" s="2306"/>
      <c r="AJ37" s="2306"/>
    </row>
    <row r="38" spans="1:37">
      <c r="A38" s="2280"/>
      <c r="B38" s="2195" t="s">
        <v>2695</v>
      </c>
      <c r="C38" s="175">
        <f>ROUND(D5*C19*C41*C24*F38,0)</f>
        <v>0</v>
      </c>
      <c r="D38" s="2262"/>
      <c r="E38" s="175">
        <f t="shared" si="7"/>
        <v>0</v>
      </c>
      <c r="F38" s="179">
        <f>SUMIF(修正!A45:A56,G2,修正!G45:G56)</f>
        <v>0.25</v>
      </c>
      <c r="G38" s="175">
        <f>ROUND(IF(E2="工业",C38*$M$39,C38*$M$38),0)</f>
        <v>0</v>
      </c>
      <c r="H38" s="175">
        <f t="shared" si="8"/>
        <v>0</v>
      </c>
      <c r="I38" s="175">
        <f t="shared" si="9"/>
        <v>0</v>
      </c>
      <c r="J38" s="2279"/>
      <c r="K38" s="1248"/>
      <c r="L38" s="1571" t="s">
        <v>2696</v>
      </c>
      <c r="M38" s="2283">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6"/>
      <c r="B39" s="2284" t="s">
        <v>2697</v>
      </c>
      <c r="C39" s="192">
        <f>ROUND(D5*C19*C41*C24*F39,0)</f>
        <v>0</v>
      </c>
      <c r="D39" s="2268"/>
      <c r="E39" s="192">
        <f t="shared" si="7"/>
        <v>0</v>
      </c>
      <c r="F39" s="869">
        <f>SUMIF(修正!A45:A56,G2,修正!H45:H56)</f>
        <v>0.2</v>
      </c>
      <c r="G39" s="192">
        <f>ROUND(IF(E2="工业",C39*$M$39,C39*$M$38),0)</f>
        <v>0</v>
      </c>
      <c r="H39" s="192">
        <f t="shared" si="8"/>
        <v>0</v>
      </c>
      <c r="I39" s="192">
        <f t="shared" si="9"/>
        <v>0</v>
      </c>
      <c r="J39" s="2285"/>
      <c r="K39" s="1248"/>
      <c r="L39" s="2286" t="s">
        <v>2642</v>
      </c>
      <c r="M39" s="2287">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6" t="s">
        <v>2802</v>
      </c>
      <c r="C41" s="347">
        <f>ROUND(POWER(1+E41,H41-G41)*(POWER(1+E41,G41)-1)/(POWER(1+E41,H41)-1),4)</f>
        <v>0</v>
      </c>
      <c r="D41" s="175" t="s">
        <v>2649</v>
      </c>
      <c r="E41" s="2335">
        <f>G20</f>
        <v>0.05</v>
      </c>
      <c r="F41" s="175" t="s">
        <v>2658</v>
      </c>
      <c r="G41" s="188"/>
      <c r="H41" s="175">
        <v>50</v>
      </c>
      <c r="Z41" s="1249"/>
      <c r="AA41" s="1249"/>
      <c r="AB41" s="1249"/>
      <c r="AC41" s="1249"/>
      <c r="AD41" s="1249"/>
      <c r="AE41" s="1249"/>
      <c r="AF41" s="1249"/>
      <c r="AG41" s="1249"/>
      <c r="AH41" s="1249"/>
      <c r="AI41" s="1249"/>
      <c r="AJ41" s="1249"/>
    </row>
    <row r="42" spans="1:37" s="1248" customFormat="1">
      <c r="A42" s="1249"/>
      <c r="B42" s="2288"/>
      <c r="Z42" s="1249"/>
      <c r="AA42" s="1249"/>
      <c r="AB42" s="1249"/>
      <c r="AC42" s="1249"/>
      <c r="AD42" s="1249"/>
      <c r="AE42" s="1249"/>
      <c r="AF42" s="1249"/>
      <c r="AG42" s="1249"/>
      <c r="AH42" s="1249"/>
      <c r="AI42" s="1249"/>
      <c r="AJ42" s="1249"/>
    </row>
    <row r="43" spans="1:37" s="1248" customFormat="1">
      <c r="A43" s="1249"/>
      <c r="B43" s="2288"/>
      <c r="Z43" s="1249"/>
      <c r="AA43" s="1249"/>
      <c r="AB43" s="1249"/>
      <c r="AC43" s="1249"/>
      <c r="AD43" s="1249"/>
      <c r="AE43" s="1249"/>
      <c r="AF43" s="1249"/>
      <c r="AG43" s="1249"/>
      <c r="AH43" s="1249"/>
      <c r="AI43" s="1249"/>
      <c r="AJ43" s="1249"/>
    </row>
    <row r="44" spans="1:37" s="1248" customFormat="1">
      <c r="A44" s="1249"/>
      <c r="B44" s="2288"/>
      <c r="Z44" s="1249"/>
      <c r="AA44" s="1249"/>
      <c r="AB44" s="1249"/>
      <c r="AC44" s="1249"/>
      <c r="AD44" s="1249"/>
      <c r="AE44" s="1249"/>
      <c r="AF44" s="1249"/>
      <c r="AG44" s="1249"/>
      <c r="AH44" s="1249"/>
      <c r="AI44" s="1249"/>
      <c r="AJ44" s="1249"/>
    </row>
    <row r="45" spans="1:37" s="1248" customFormat="1" ht="15.75" thickBot="1">
      <c r="A45" s="2289" t="s">
        <v>2698</v>
      </c>
      <c r="B45" s="2290"/>
      <c r="C45" s="7"/>
      <c r="D45" s="7"/>
      <c r="E45" s="7"/>
      <c r="F45" s="6"/>
      <c r="G45" s="6"/>
      <c r="H45" s="6"/>
      <c r="I45" s="1973"/>
      <c r="J45" s="1973"/>
      <c r="K45" s="1973"/>
      <c r="L45" s="1973"/>
      <c r="M45" s="1973"/>
      <c r="Z45" s="1249"/>
      <c r="AA45" s="1249"/>
      <c r="AB45" s="1249"/>
      <c r="AC45" s="1249"/>
      <c r="AD45" s="1249"/>
      <c r="AE45" s="1249"/>
      <c r="AF45" s="1249"/>
      <c r="AG45" s="1249"/>
      <c r="AH45" s="1249"/>
      <c r="AI45" s="1249"/>
      <c r="AJ45" s="1249"/>
    </row>
    <row r="46" spans="1:37" s="1248" customFormat="1" ht="15">
      <c r="A46" s="2291" t="s">
        <v>2699</v>
      </c>
      <c r="B46" s="2292">
        <f>1+E48</f>
        <v>1</v>
      </c>
      <c r="C46" s="2293"/>
      <c r="D46" s="751"/>
      <c r="E46" s="752"/>
      <c r="F46" s="2294"/>
      <c r="G46" s="6"/>
      <c r="H46" s="7"/>
      <c r="I46" s="1973"/>
      <c r="J46" s="1973"/>
      <c r="K46" s="1973"/>
      <c r="L46" s="1973"/>
      <c r="M46" s="1973"/>
      <c r="Z46" s="1249"/>
      <c r="AA46" s="1249"/>
      <c r="AB46" s="1249"/>
      <c r="AC46" s="1249"/>
      <c r="AD46" s="1249"/>
      <c r="AE46" s="1249"/>
      <c r="AF46" s="1249"/>
      <c r="AG46" s="1249"/>
      <c r="AH46" s="1249"/>
      <c r="AI46" s="1249"/>
      <c r="AJ46" s="1249"/>
    </row>
    <row r="47" spans="1:37" s="1248" customFormat="1" ht="24.75">
      <c r="A47" s="2295" t="s">
        <v>2700</v>
      </c>
      <c r="B47" s="1501" t="s">
        <v>2701</v>
      </c>
      <c r="C47" s="1501" t="s">
        <v>2702</v>
      </c>
      <c r="D47" s="1501" t="s">
        <v>2703</v>
      </c>
      <c r="E47" s="756" t="s">
        <v>2704</v>
      </c>
      <c r="F47" s="2296" t="s">
        <v>2705</v>
      </c>
      <c r="G47" s="1501" t="s">
        <v>754</v>
      </c>
      <c r="H47" s="2297" t="s">
        <v>2706</v>
      </c>
      <c r="I47" s="1501" t="s">
        <v>2707</v>
      </c>
      <c r="J47" s="559" t="s">
        <v>2358</v>
      </c>
      <c r="K47" s="559" t="s">
        <v>2359</v>
      </c>
      <c r="L47" s="559" t="s">
        <v>2360</v>
      </c>
      <c r="M47" s="559" t="s">
        <v>2361</v>
      </c>
      <c r="N47" s="559" t="s">
        <v>2362</v>
      </c>
      <c r="AA47" s="1249"/>
      <c r="AB47" s="1249"/>
      <c r="AC47" s="1249"/>
      <c r="AD47" s="1249"/>
      <c r="AE47" s="1249"/>
      <c r="AF47" s="1249"/>
      <c r="AG47" s="1249"/>
      <c r="AH47" s="1249"/>
      <c r="AI47" s="1249"/>
      <c r="AJ47" s="1249"/>
      <c r="AK47" s="1249"/>
    </row>
    <row r="48" spans="1:37" s="1248" customFormat="1" ht="38.25">
      <c r="A48" s="2295" t="s">
        <v>2708</v>
      </c>
      <c r="B48" s="2298" t="str">
        <f>估价对象房地状况!C4</f>
        <v>估价对象位于XX商圈，周边商业氛围成熟，人流量大，商业繁华度好</v>
      </c>
      <c r="C48" s="2200"/>
      <c r="D48" s="1193">
        <f t="shared" ref="D48:D56" si="10">SUMIF($J$47:$N$47,C48,J48:N48)</f>
        <v>0</v>
      </c>
      <c r="E48" s="758">
        <f>ROUND(SUM(D48:D56),4)</f>
        <v>0</v>
      </c>
      <c r="F48" s="1966"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49"/>
      <c r="AB48" s="1249"/>
      <c r="AC48" s="1249"/>
      <c r="AD48" s="1249"/>
      <c r="AE48" s="1249"/>
      <c r="AF48" s="1249"/>
      <c r="AG48" s="1249"/>
      <c r="AH48" s="1249"/>
      <c r="AI48" s="1249"/>
      <c r="AJ48" s="1249"/>
      <c r="AK48" s="1249"/>
    </row>
    <row r="49" spans="1:37" s="1248" customFormat="1" ht="51">
      <c r="A49" s="2295" t="s">
        <v>2709</v>
      </c>
      <c r="B49" s="2299" t="str">
        <f>估价对象房地状况!C18</f>
        <v>估价对象周边道路状况、公共交通通达情况、停车便捷程度，综合评价交通便捷度较好</v>
      </c>
      <c r="C49" s="2200"/>
      <c r="D49" s="1193">
        <f t="shared" si="10"/>
        <v>0</v>
      </c>
      <c r="E49" s="759"/>
      <c r="F49" s="1966"/>
      <c r="G49" s="1191"/>
      <c r="H49" s="1195" t="str">
        <f t="shared" si="11"/>
        <v>——</v>
      </c>
      <c r="I49" s="757">
        <v>0.25</v>
      </c>
      <c r="J49" s="1192">
        <f t="shared" si="12"/>
        <v>0</v>
      </c>
      <c r="K49" s="1192">
        <f t="shared" si="13"/>
        <v>0</v>
      </c>
      <c r="L49" s="1192">
        <v>0</v>
      </c>
      <c r="M49" s="1192">
        <f t="shared" si="14"/>
        <v>0</v>
      </c>
      <c r="N49" s="1192">
        <f t="shared" si="14"/>
        <v>0</v>
      </c>
      <c r="AA49" s="1249"/>
      <c r="AB49" s="1249"/>
      <c r="AC49" s="1249"/>
      <c r="AD49" s="1249"/>
      <c r="AE49" s="1249"/>
      <c r="AF49" s="1249"/>
      <c r="AG49" s="1249"/>
      <c r="AH49" s="1249"/>
      <c r="AI49" s="1249"/>
      <c r="AJ49" s="1249"/>
      <c r="AK49" s="1249"/>
    </row>
    <row r="50" spans="1:37" s="1248" customFormat="1" ht="24">
      <c r="A50" s="2295" t="s">
        <v>2710</v>
      </c>
      <c r="B50" s="2299">
        <f>估价对象房地状况!C19</f>
        <v>0</v>
      </c>
      <c r="C50" s="2200"/>
      <c r="D50" s="1193">
        <f t="shared" si="10"/>
        <v>0</v>
      </c>
      <c r="E50" s="759"/>
      <c r="F50" s="1966"/>
      <c r="G50" s="1191"/>
      <c r="H50" s="1195" t="str">
        <f t="shared" si="11"/>
        <v>——</v>
      </c>
      <c r="I50" s="757">
        <v>0.05</v>
      </c>
      <c r="J50" s="1192">
        <f t="shared" si="12"/>
        <v>0</v>
      </c>
      <c r="K50" s="1192">
        <f t="shared" si="13"/>
        <v>0</v>
      </c>
      <c r="L50" s="1192">
        <v>0</v>
      </c>
      <c r="M50" s="1192">
        <f t="shared" si="14"/>
        <v>0</v>
      </c>
      <c r="N50" s="1192">
        <f t="shared" si="14"/>
        <v>0</v>
      </c>
      <c r="AA50" s="1249"/>
      <c r="AB50" s="1249"/>
      <c r="AC50" s="1249"/>
      <c r="AD50" s="1249"/>
      <c r="AE50" s="1249"/>
      <c r="AF50" s="1249"/>
      <c r="AG50" s="1249"/>
      <c r="AH50" s="1249"/>
      <c r="AI50" s="1249"/>
      <c r="AJ50" s="1249"/>
      <c r="AK50" s="1249"/>
    </row>
    <row r="51" spans="1:37" s="1248" customFormat="1" ht="36.75">
      <c r="A51" s="2295" t="s">
        <v>2711</v>
      </c>
      <c r="B51" s="2300" t="s">
        <v>2712</v>
      </c>
      <c r="C51" s="2200"/>
      <c r="D51" s="1193">
        <f t="shared" si="10"/>
        <v>0</v>
      </c>
      <c r="E51" s="759"/>
      <c r="F51" s="1966"/>
      <c r="G51" s="1191"/>
      <c r="H51" s="1195" t="str">
        <f t="shared" si="11"/>
        <v>——</v>
      </c>
      <c r="I51" s="757">
        <v>0.05</v>
      </c>
      <c r="J51" s="1192">
        <f t="shared" si="12"/>
        <v>0</v>
      </c>
      <c r="K51" s="1192">
        <f t="shared" si="13"/>
        <v>0</v>
      </c>
      <c r="L51" s="1192">
        <v>0</v>
      </c>
      <c r="M51" s="1192">
        <f t="shared" si="14"/>
        <v>0</v>
      </c>
      <c r="N51" s="1192">
        <f t="shared" si="14"/>
        <v>0</v>
      </c>
      <c r="AA51" s="1249"/>
      <c r="AB51" s="1249"/>
      <c r="AC51" s="1249"/>
      <c r="AD51" s="1249"/>
      <c r="AE51" s="1249"/>
      <c r="AF51" s="1249"/>
      <c r="AG51" s="1249"/>
      <c r="AH51" s="1249"/>
      <c r="AI51" s="1249"/>
      <c r="AJ51" s="1249"/>
      <c r="AK51" s="1249"/>
    </row>
    <row r="52" spans="1:37" s="1248" customFormat="1" ht="24">
      <c r="A52" s="2295" t="s">
        <v>2713</v>
      </c>
      <c r="B52" s="2299">
        <f>估价对象房地状况!C24</f>
        <v>0</v>
      </c>
      <c r="C52" s="2200"/>
      <c r="D52" s="1193">
        <f t="shared" si="10"/>
        <v>0</v>
      </c>
      <c r="E52" s="759"/>
      <c r="F52" s="1966"/>
      <c r="G52" s="1191"/>
      <c r="H52" s="1195" t="str">
        <f t="shared" si="11"/>
        <v>——</v>
      </c>
      <c r="I52" s="757">
        <v>0.08</v>
      </c>
      <c r="J52" s="1192">
        <f t="shared" si="12"/>
        <v>0</v>
      </c>
      <c r="K52" s="1192">
        <f t="shared" si="13"/>
        <v>0</v>
      </c>
      <c r="L52" s="1192">
        <v>0</v>
      </c>
      <c r="M52" s="1192">
        <f t="shared" si="14"/>
        <v>0</v>
      </c>
      <c r="N52" s="1192">
        <f t="shared" si="14"/>
        <v>0</v>
      </c>
      <c r="AA52" s="1249"/>
      <c r="AB52" s="1249"/>
      <c r="AC52" s="1249"/>
      <c r="AD52" s="1249"/>
      <c r="AE52" s="1249"/>
      <c r="AF52" s="1249"/>
      <c r="AG52" s="1249"/>
      <c r="AH52" s="1249"/>
      <c r="AI52" s="1249"/>
      <c r="AJ52" s="1249"/>
      <c r="AK52" s="1249"/>
    </row>
    <row r="53" spans="1:37" s="1248" customFormat="1" ht="24">
      <c r="A53" s="2295" t="s">
        <v>2714</v>
      </c>
      <c r="B53" s="2301" t="s">
        <v>2715</v>
      </c>
      <c r="C53" s="2200"/>
      <c r="D53" s="1193">
        <f t="shared" si="10"/>
        <v>0</v>
      </c>
      <c r="E53" s="759"/>
      <c r="F53" s="1966"/>
      <c r="G53" s="1191"/>
      <c r="H53" s="1195" t="str">
        <f t="shared" si="11"/>
        <v>——</v>
      </c>
      <c r="I53" s="757">
        <v>0.03</v>
      </c>
      <c r="J53" s="1192">
        <f t="shared" si="12"/>
        <v>0</v>
      </c>
      <c r="K53" s="1192">
        <f t="shared" si="13"/>
        <v>0</v>
      </c>
      <c r="L53" s="1192">
        <v>0</v>
      </c>
      <c r="M53" s="1192">
        <f t="shared" si="14"/>
        <v>0</v>
      </c>
      <c r="N53" s="1192">
        <f t="shared" si="14"/>
        <v>0</v>
      </c>
      <c r="AA53" s="1249"/>
      <c r="AB53" s="1249"/>
      <c r="AC53" s="1249"/>
      <c r="AD53" s="1249"/>
      <c r="AE53" s="1249"/>
      <c r="AF53" s="1249"/>
      <c r="AG53" s="1249"/>
      <c r="AH53" s="1249"/>
      <c r="AI53" s="1249"/>
      <c r="AJ53" s="1249"/>
      <c r="AK53" s="1249"/>
    </row>
    <row r="54" spans="1:37" s="1248" customFormat="1" ht="25.5">
      <c r="A54" s="2302" t="s">
        <v>2716</v>
      </c>
      <c r="B54" s="1462" t="str">
        <f>估价对象房地状况!C21</f>
        <v>估价对象所在区域公共配套设施齐备情况</v>
      </c>
      <c r="C54" s="2200"/>
      <c r="D54" s="1193">
        <f t="shared" si="10"/>
        <v>0</v>
      </c>
      <c r="E54" s="759"/>
      <c r="F54" s="1966"/>
      <c r="G54" s="1191"/>
      <c r="H54" s="1195" t="str">
        <f t="shared" si="11"/>
        <v>——</v>
      </c>
      <c r="I54" s="757">
        <v>0.05</v>
      </c>
      <c r="J54" s="1192">
        <f t="shared" si="12"/>
        <v>0</v>
      </c>
      <c r="K54" s="1192">
        <f t="shared" si="13"/>
        <v>0</v>
      </c>
      <c r="L54" s="1192">
        <v>0</v>
      </c>
      <c r="M54" s="1192">
        <f t="shared" si="14"/>
        <v>0</v>
      </c>
      <c r="N54" s="1192">
        <f t="shared" si="14"/>
        <v>0</v>
      </c>
      <c r="AA54" s="1249"/>
      <c r="AB54" s="1249"/>
      <c r="AC54" s="1249"/>
      <c r="AD54" s="1249"/>
      <c r="AE54" s="1249"/>
      <c r="AF54" s="1249"/>
      <c r="AG54" s="1249"/>
      <c r="AH54" s="1249"/>
      <c r="AI54" s="1249"/>
      <c r="AJ54" s="1249"/>
      <c r="AK54" s="1249"/>
    </row>
    <row r="55" spans="1:37" s="1248" customFormat="1" ht="25.5">
      <c r="A55" s="2302" t="s">
        <v>2717</v>
      </c>
      <c r="B55" s="2299" t="str">
        <f>估价对象房地状况!C22</f>
        <v>估价对象所在区域基础设施水平</v>
      </c>
      <c r="C55" s="2200"/>
      <c r="D55" s="1193">
        <f t="shared" si="10"/>
        <v>0</v>
      </c>
      <c r="E55" s="759"/>
      <c r="F55" s="1966"/>
      <c r="G55" s="1191"/>
      <c r="H55" s="1195" t="str">
        <f t="shared" si="11"/>
        <v>——</v>
      </c>
      <c r="I55" s="757">
        <v>0.1</v>
      </c>
      <c r="J55" s="1192">
        <f t="shared" si="12"/>
        <v>0</v>
      </c>
      <c r="K55" s="1192">
        <f t="shared" si="13"/>
        <v>0</v>
      </c>
      <c r="L55" s="1192">
        <v>0</v>
      </c>
      <c r="M55" s="1192">
        <f t="shared" si="14"/>
        <v>0</v>
      </c>
      <c r="N55" s="1192">
        <f t="shared" si="14"/>
        <v>0</v>
      </c>
      <c r="AA55" s="1249"/>
      <c r="AB55" s="1249"/>
      <c r="AC55" s="1249"/>
      <c r="AD55" s="1249"/>
      <c r="AE55" s="1249"/>
      <c r="AF55" s="1249"/>
      <c r="AG55" s="1249"/>
      <c r="AH55" s="1249"/>
      <c r="AI55" s="1249"/>
      <c r="AJ55" s="1249"/>
      <c r="AK55" s="1249"/>
    </row>
    <row r="56" spans="1:37" s="1248" customFormat="1" ht="39" thickBot="1">
      <c r="A56" s="2303" t="s">
        <v>2718</v>
      </c>
      <c r="B56" s="2304" t="str">
        <f>估价对象房地状况!C20</f>
        <v>区域自然环境：；人文环境；综合评价环境状况一般</v>
      </c>
      <c r="C56" s="2200"/>
      <c r="D56" s="1193">
        <f t="shared" si="10"/>
        <v>0</v>
      </c>
      <c r="E56" s="762"/>
      <c r="F56" s="1966"/>
      <c r="G56" s="1191"/>
      <c r="H56" s="1195" t="str">
        <f t="shared" si="11"/>
        <v>——</v>
      </c>
      <c r="I56" s="761">
        <v>0.06</v>
      </c>
      <c r="J56" s="1192">
        <f t="shared" si="12"/>
        <v>0</v>
      </c>
      <c r="K56" s="1192">
        <f t="shared" si="13"/>
        <v>0</v>
      </c>
      <c r="L56" s="1192">
        <v>0</v>
      </c>
      <c r="M56" s="1192">
        <f t="shared" si="14"/>
        <v>0</v>
      </c>
      <c r="N56" s="1192">
        <f t="shared" si="14"/>
        <v>0</v>
      </c>
      <c r="AA56" s="1249"/>
      <c r="AB56" s="1249"/>
      <c r="AC56" s="1249"/>
      <c r="AD56" s="1249"/>
      <c r="AE56" s="1249"/>
      <c r="AF56" s="1249"/>
      <c r="AG56" s="1249"/>
      <c r="AH56" s="1249"/>
      <c r="AI56" s="1249"/>
      <c r="AJ56" s="1249"/>
      <c r="AK56" s="1249"/>
    </row>
    <row r="57" spans="1:37" s="1248" customFormat="1" ht="15">
      <c r="A57" s="2291" t="s">
        <v>2719</v>
      </c>
      <c r="B57" s="2292">
        <f>1+E59</f>
        <v>1</v>
      </c>
      <c r="C57" s="751"/>
      <c r="D57" s="751"/>
      <c r="E57" s="752"/>
      <c r="F57" s="2294"/>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5" t="s">
        <v>2700</v>
      </c>
      <c r="B58" s="1501"/>
      <c r="C58" s="1501" t="s">
        <v>2702</v>
      </c>
      <c r="D58" s="1501" t="s">
        <v>2703</v>
      </c>
      <c r="E58" s="756" t="s">
        <v>2704</v>
      </c>
      <c r="F58" s="2296" t="s">
        <v>2720</v>
      </c>
      <c r="G58" s="1501" t="s">
        <v>754</v>
      </c>
      <c r="H58" s="2297" t="s">
        <v>2706</v>
      </c>
      <c r="I58" s="1501" t="s">
        <v>2707</v>
      </c>
      <c r="J58" s="559" t="s">
        <v>2358</v>
      </c>
      <c r="K58" s="559" t="s">
        <v>2359</v>
      </c>
      <c r="L58" s="559" t="s">
        <v>2360</v>
      </c>
      <c r="M58" s="559" t="s">
        <v>2361</v>
      </c>
      <c r="N58" s="559" t="s">
        <v>2362</v>
      </c>
      <c r="AA58" s="1249"/>
      <c r="AB58" s="1249"/>
      <c r="AC58" s="1249"/>
      <c r="AD58" s="1249"/>
      <c r="AE58" s="1249"/>
      <c r="AF58" s="1249"/>
      <c r="AG58" s="1249"/>
      <c r="AH58" s="1249"/>
      <c r="AI58" s="1249"/>
      <c r="AJ58" s="1249"/>
      <c r="AK58" s="1249"/>
    </row>
    <row r="59" spans="1:37" s="1248" customFormat="1" ht="38.25">
      <c r="A59" s="2295" t="s">
        <v>2721</v>
      </c>
      <c r="B59" s="2298" t="str">
        <f>估价对象房地状况!C17</f>
        <v>估价对象位于XX商圈，周边办公楼项目较多，入驻率高，办公集聚程度较好</v>
      </c>
      <c r="C59" s="2200"/>
      <c r="D59" s="1193">
        <f t="shared" ref="D59:D67" si="15">SUMIF($J$58:$N$58,C59,J59:N59)</f>
        <v>0</v>
      </c>
      <c r="E59" s="758">
        <f>ROUND(SUM(D59:D67),4)</f>
        <v>0</v>
      </c>
      <c r="F59" s="1966"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49"/>
      <c r="AB59" s="1249"/>
      <c r="AC59" s="1249"/>
      <c r="AD59" s="1249"/>
      <c r="AE59" s="1249"/>
      <c r="AF59" s="1249"/>
      <c r="AG59" s="1249"/>
      <c r="AH59" s="1249"/>
      <c r="AI59" s="1249"/>
      <c r="AJ59" s="1249"/>
      <c r="AK59" s="1249"/>
    </row>
    <row r="60" spans="1:37" s="1248" customFormat="1" ht="51">
      <c r="A60" s="2295" t="s">
        <v>2709</v>
      </c>
      <c r="B60" s="2299" t="str">
        <f>估价对象房地状况!C18</f>
        <v>估价对象周边道路状况、公共交通通达情况、停车便捷程度，综合评价交通便捷度较好</v>
      </c>
      <c r="C60" s="2200"/>
      <c r="D60" s="1193">
        <f t="shared" si="15"/>
        <v>0</v>
      </c>
      <c r="E60" s="759"/>
      <c r="F60" s="1966"/>
      <c r="G60" s="1191"/>
      <c r="H60" s="1195" t="str">
        <f t="shared" si="16"/>
        <v>——</v>
      </c>
      <c r="I60" s="757">
        <v>0.3</v>
      </c>
      <c r="J60" s="1192">
        <f t="shared" si="17"/>
        <v>0</v>
      </c>
      <c r="K60" s="1192">
        <f t="shared" si="18"/>
        <v>0</v>
      </c>
      <c r="L60" s="1192">
        <v>0</v>
      </c>
      <c r="M60" s="1192">
        <f t="shared" si="19"/>
        <v>0</v>
      </c>
      <c r="N60" s="1192">
        <f t="shared" si="19"/>
        <v>0</v>
      </c>
      <c r="AA60" s="1249"/>
      <c r="AB60" s="1249"/>
      <c r="AC60" s="1249"/>
      <c r="AD60" s="1249"/>
      <c r="AE60" s="1249"/>
      <c r="AF60" s="1249"/>
      <c r="AG60" s="1249"/>
      <c r="AH60" s="1249"/>
      <c r="AI60" s="1249"/>
      <c r="AJ60" s="1249"/>
      <c r="AK60" s="1249"/>
    </row>
    <row r="61" spans="1:37" s="1248" customFormat="1" ht="24">
      <c r="A61" s="2295" t="s">
        <v>2710</v>
      </c>
      <c r="B61" s="2299">
        <f>估价对象房地状况!C19</f>
        <v>0</v>
      </c>
      <c r="C61" s="2200"/>
      <c r="D61" s="1193">
        <f t="shared" si="15"/>
        <v>0</v>
      </c>
      <c r="E61" s="759"/>
      <c r="F61" s="1966"/>
      <c r="G61" s="1191"/>
      <c r="H61" s="1195" t="str">
        <f t="shared" si="16"/>
        <v>——</v>
      </c>
      <c r="I61" s="757">
        <v>0.08</v>
      </c>
      <c r="J61" s="1192">
        <f t="shared" si="17"/>
        <v>0</v>
      </c>
      <c r="K61" s="1192">
        <f t="shared" si="18"/>
        <v>0</v>
      </c>
      <c r="L61" s="1192">
        <v>0</v>
      </c>
      <c r="M61" s="1192">
        <f t="shared" si="19"/>
        <v>0</v>
      </c>
      <c r="N61" s="1192">
        <f t="shared" si="19"/>
        <v>0</v>
      </c>
      <c r="AA61" s="1249"/>
      <c r="AB61" s="1249"/>
      <c r="AC61" s="1249"/>
      <c r="AD61" s="1249"/>
      <c r="AE61" s="1249"/>
      <c r="AF61" s="1249"/>
      <c r="AG61" s="1249"/>
      <c r="AH61" s="1249"/>
      <c r="AI61" s="1249"/>
      <c r="AJ61" s="1249"/>
      <c r="AK61" s="1249"/>
    </row>
    <row r="62" spans="1:37" s="1248" customFormat="1" ht="36.75">
      <c r="A62" s="2295" t="s">
        <v>2711</v>
      </c>
      <c r="B62" s="2300" t="s">
        <v>2712</v>
      </c>
      <c r="C62" s="2200"/>
      <c r="D62" s="1193">
        <f t="shared" si="15"/>
        <v>0</v>
      </c>
      <c r="E62" s="759"/>
      <c r="F62" s="1966"/>
      <c r="G62" s="1191"/>
      <c r="H62" s="1195" t="str">
        <f t="shared" si="16"/>
        <v>——</v>
      </c>
      <c r="I62" s="757">
        <v>0.04</v>
      </c>
      <c r="J62" s="1192">
        <f t="shared" si="17"/>
        <v>0</v>
      </c>
      <c r="K62" s="1192">
        <f t="shared" si="18"/>
        <v>0</v>
      </c>
      <c r="L62" s="1192">
        <v>0</v>
      </c>
      <c r="M62" s="1192">
        <f t="shared" si="19"/>
        <v>0</v>
      </c>
      <c r="N62" s="1192">
        <f t="shared" si="19"/>
        <v>0</v>
      </c>
      <c r="AA62" s="1249"/>
      <c r="AB62" s="1249"/>
      <c r="AC62" s="1249"/>
      <c r="AD62" s="1249"/>
      <c r="AE62" s="1249"/>
      <c r="AF62" s="1249"/>
      <c r="AG62" s="1249"/>
      <c r="AH62" s="1249"/>
      <c r="AI62" s="1249"/>
      <c r="AJ62" s="1249"/>
      <c r="AK62" s="1249"/>
    </row>
    <row r="63" spans="1:37" s="1248" customFormat="1" ht="24">
      <c r="A63" s="2295" t="s">
        <v>2713</v>
      </c>
      <c r="B63" s="2299">
        <f>估价对象房地状况!C24</f>
        <v>0</v>
      </c>
      <c r="C63" s="2200"/>
      <c r="D63" s="1193">
        <f t="shared" si="15"/>
        <v>0</v>
      </c>
      <c r="E63" s="759"/>
      <c r="F63" s="1966"/>
      <c r="G63" s="1191"/>
      <c r="H63" s="1195" t="str">
        <f t="shared" si="16"/>
        <v>——</v>
      </c>
      <c r="I63" s="757">
        <v>0.05</v>
      </c>
      <c r="J63" s="1192">
        <f t="shared" si="17"/>
        <v>0</v>
      </c>
      <c r="K63" s="1192">
        <f t="shared" si="18"/>
        <v>0</v>
      </c>
      <c r="L63" s="1192">
        <v>0</v>
      </c>
      <c r="M63" s="1192">
        <f t="shared" si="19"/>
        <v>0</v>
      </c>
      <c r="N63" s="1192">
        <f t="shared" si="19"/>
        <v>0</v>
      </c>
      <c r="AA63" s="1249"/>
      <c r="AB63" s="1249"/>
      <c r="AC63" s="1249"/>
      <c r="AD63" s="1249"/>
      <c r="AE63" s="1249"/>
      <c r="AF63" s="1249"/>
      <c r="AG63" s="1249"/>
      <c r="AH63" s="1249"/>
      <c r="AI63" s="1249"/>
      <c r="AJ63" s="1249"/>
      <c r="AK63" s="1249"/>
    </row>
    <row r="64" spans="1:37" s="1248" customFormat="1" ht="24">
      <c r="A64" s="2295" t="s">
        <v>2714</v>
      </c>
      <c r="B64" s="2301" t="s">
        <v>2715</v>
      </c>
      <c r="C64" s="2200"/>
      <c r="D64" s="1193">
        <f t="shared" si="15"/>
        <v>0</v>
      </c>
      <c r="E64" s="759"/>
      <c r="F64" s="1966"/>
      <c r="G64" s="1191"/>
      <c r="H64" s="1195" t="str">
        <f t="shared" si="16"/>
        <v>——</v>
      </c>
      <c r="I64" s="757">
        <v>0.05</v>
      </c>
      <c r="J64" s="1192">
        <f t="shared" si="17"/>
        <v>0</v>
      </c>
      <c r="K64" s="1192">
        <f t="shared" si="18"/>
        <v>0</v>
      </c>
      <c r="L64" s="1192">
        <v>0</v>
      </c>
      <c r="M64" s="1192">
        <f t="shared" si="19"/>
        <v>0</v>
      </c>
      <c r="N64" s="1192">
        <f t="shared" si="19"/>
        <v>0</v>
      </c>
      <c r="AA64" s="1249"/>
      <c r="AB64" s="1249"/>
      <c r="AC64" s="1249"/>
      <c r="AD64" s="1249"/>
      <c r="AE64" s="1249"/>
      <c r="AF64" s="1249"/>
      <c r="AG64" s="1249"/>
      <c r="AH64" s="1249"/>
      <c r="AI64" s="1249"/>
      <c r="AJ64" s="1249"/>
      <c r="AK64" s="1249"/>
    </row>
    <row r="65" spans="1:37" s="1248" customFormat="1" ht="25.5">
      <c r="A65" s="2295" t="s">
        <v>2716</v>
      </c>
      <c r="B65" s="1462" t="str">
        <f>估价对象房地状况!C21</f>
        <v>估价对象所在区域公共配套设施齐备情况</v>
      </c>
      <c r="C65" s="2200"/>
      <c r="D65" s="1193">
        <f t="shared" si="15"/>
        <v>0</v>
      </c>
      <c r="E65" s="759"/>
      <c r="F65" s="1966"/>
      <c r="G65" s="1191"/>
      <c r="H65" s="1195" t="str">
        <f t="shared" si="16"/>
        <v>——</v>
      </c>
      <c r="I65" s="757">
        <v>0.06</v>
      </c>
      <c r="J65" s="1192">
        <f t="shared" si="17"/>
        <v>0</v>
      </c>
      <c r="K65" s="1192">
        <f t="shared" si="18"/>
        <v>0</v>
      </c>
      <c r="L65" s="1192">
        <v>0</v>
      </c>
      <c r="M65" s="1192">
        <f t="shared" si="19"/>
        <v>0</v>
      </c>
      <c r="N65" s="1192">
        <f t="shared" si="19"/>
        <v>0</v>
      </c>
      <c r="AA65" s="1249"/>
      <c r="AB65" s="1249"/>
      <c r="AC65" s="1249"/>
      <c r="AD65" s="1249"/>
      <c r="AE65" s="1249"/>
      <c r="AF65" s="1249"/>
      <c r="AG65" s="1249"/>
      <c r="AH65" s="1249"/>
      <c r="AI65" s="1249"/>
      <c r="AJ65" s="1249"/>
      <c r="AK65" s="1249"/>
    </row>
    <row r="66" spans="1:37" s="1248" customFormat="1" ht="25.5">
      <c r="A66" s="2295" t="s">
        <v>2717</v>
      </c>
      <c r="B66" s="1462" t="str">
        <f>估价对象房地状况!C22</f>
        <v>估价对象所在区域基础设施水平</v>
      </c>
      <c r="C66" s="2200"/>
      <c r="D66" s="1193">
        <f t="shared" si="15"/>
        <v>0</v>
      </c>
      <c r="E66" s="759"/>
      <c r="F66" s="1966"/>
      <c r="G66" s="1191"/>
      <c r="H66" s="1195" t="str">
        <f t="shared" si="16"/>
        <v>——</v>
      </c>
      <c r="I66" s="757">
        <v>0.12</v>
      </c>
      <c r="J66" s="1192">
        <f t="shared" si="17"/>
        <v>0</v>
      </c>
      <c r="K66" s="1192">
        <f t="shared" si="18"/>
        <v>0</v>
      </c>
      <c r="L66" s="1192">
        <v>0</v>
      </c>
      <c r="M66" s="1192">
        <f t="shared" si="19"/>
        <v>0</v>
      </c>
      <c r="N66" s="1192">
        <f t="shared" si="19"/>
        <v>0</v>
      </c>
      <c r="AA66" s="1249"/>
      <c r="AB66" s="1249"/>
      <c r="AC66" s="1249"/>
      <c r="AD66" s="1249"/>
      <c r="AE66" s="1249"/>
      <c r="AF66" s="1249"/>
      <c r="AG66" s="1249"/>
      <c r="AH66" s="1249"/>
      <c r="AI66" s="1249"/>
      <c r="AJ66" s="1249"/>
      <c r="AK66" s="1249"/>
    </row>
    <row r="67" spans="1:37" s="1248" customFormat="1" ht="39" thickBot="1">
      <c r="A67" s="2303" t="s">
        <v>2718</v>
      </c>
      <c r="B67" s="2305" t="str">
        <f>估价对象房地状况!C20</f>
        <v>区域自然环境：；人文环境；综合评价环境状况一般</v>
      </c>
      <c r="C67" s="2200"/>
      <c r="D67" s="1193">
        <f t="shared" si="15"/>
        <v>0</v>
      </c>
      <c r="E67" s="762"/>
      <c r="F67" s="1966"/>
      <c r="G67" s="1191"/>
      <c r="H67" s="1195" t="str">
        <f t="shared" si="16"/>
        <v>——</v>
      </c>
      <c r="I67" s="761">
        <v>0.06</v>
      </c>
      <c r="J67" s="1192">
        <f t="shared" si="17"/>
        <v>0</v>
      </c>
      <c r="K67" s="1192">
        <f t="shared" si="18"/>
        <v>0</v>
      </c>
      <c r="L67" s="1192">
        <v>0</v>
      </c>
      <c r="M67" s="1192">
        <f t="shared" si="19"/>
        <v>0</v>
      </c>
      <c r="N67" s="1192">
        <f t="shared" si="19"/>
        <v>0</v>
      </c>
      <c r="AA67" s="1249"/>
      <c r="AB67" s="1249"/>
      <c r="AC67" s="1249"/>
      <c r="AD67" s="1249"/>
      <c r="AE67" s="1249"/>
      <c r="AF67" s="1249"/>
      <c r="AG67" s="1249"/>
      <c r="AH67" s="1249"/>
      <c r="AI67" s="1249"/>
      <c r="AJ67" s="1249"/>
      <c r="AK67" s="1249"/>
    </row>
    <row r="68" spans="1:37" s="1248" customFormat="1" ht="15">
      <c r="A68" s="2291" t="s">
        <v>2722</v>
      </c>
      <c r="B68" s="2292">
        <f>1+E70</f>
        <v>1</v>
      </c>
      <c r="C68" s="751"/>
      <c r="D68" s="751"/>
      <c r="E68" s="752"/>
      <c r="F68" s="2294"/>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5" t="s">
        <v>2700</v>
      </c>
      <c r="B69" s="1501"/>
      <c r="C69" s="1501" t="s">
        <v>2702</v>
      </c>
      <c r="D69" s="1501" t="s">
        <v>2703</v>
      </c>
      <c r="E69" s="756" t="s">
        <v>2704</v>
      </c>
      <c r="F69" s="2296" t="s">
        <v>2720</v>
      </c>
      <c r="G69" s="1501" t="s">
        <v>754</v>
      </c>
      <c r="H69" s="2297" t="s">
        <v>2706</v>
      </c>
      <c r="I69" s="1501" t="s">
        <v>2707</v>
      </c>
      <c r="J69" s="559" t="s">
        <v>2358</v>
      </c>
      <c r="K69" s="559" t="s">
        <v>2359</v>
      </c>
      <c r="L69" s="559" t="s">
        <v>2360</v>
      </c>
      <c r="M69" s="559" t="s">
        <v>2361</v>
      </c>
      <c r="N69" s="559" t="s">
        <v>2362</v>
      </c>
      <c r="AA69" s="1249"/>
      <c r="AB69" s="1249"/>
      <c r="AC69" s="1249"/>
      <c r="AD69" s="1249"/>
      <c r="AE69" s="1249"/>
      <c r="AF69" s="1249"/>
      <c r="AG69" s="1249"/>
      <c r="AH69" s="1249"/>
      <c r="AI69" s="1249"/>
      <c r="AJ69" s="1249"/>
      <c r="AK69" s="1249"/>
    </row>
    <row r="70" spans="1:37" s="1248" customFormat="1" ht="51">
      <c r="A70" s="2295" t="s">
        <v>2723</v>
      </c>
      <c r="B70" s="2298" t="str">
        <f>估价对象房地状况!C15</f>
        <v>估价对象周边居住用地比例、居住小区规模和社区发展完善程度，综合评价居住社区成熟度一般</v>
      </c>
      <c r="C70" s="2200"/>
      <c r="D70" s="1193">
        <f t="shared" ref="D70:D78" si="20">SUMIF($J$69:$N$69,C70,J70:N70)</f>
        <v>0</v>
      </c>
      <c r="E70" s="758">
        <f>ROUND(SUM(D70:D78),4)</f>
        <v>0</v>
      </c>
      <c r="F70" s="1966">
        <f>IF(E2="住宅",SUMIF(L1:L12,G2,N1:N12),"——")</f>
        <v>0.13</v>
      </c>
      <c r="G70" s="1191"/>
      <c r="H70" s="1195">
        <f t="shared" ref="H70:H78" si="21">IFERROR(ROUNDDOWN($F$70*I70/2,4),"——")</f>
        <v>9.1000000000000004E-3</v>
      </c>
      <c r="I70" s="757">
        <v>0.14000000000000001</v>
      </c>
      <c r="J70" s="1192">
        <f t="shared" ref="J70:J78" si="22">K70+$G70</f>
        <v>0</v>
      </c>
      <c r="K70" s="1192">
        <f t="shared" ref="K70:K78" si="23">$L70+$G70</f>
        <v>0</v>
      </c>
      <c r="L70" s="1192">
        <v>0</v>
      </c>
      <c r="M70" s="1192">
        <f t="shared" ref="M70:N78" si="24">L70-$G70</f>
        <v>0</v>
      </c>
      <c r="N70" s="1192">
        <f t="shared" si="24"/>
        <v>0</v>
      </c>
      <c r="AA70" s="1249"/>
      <c r="AB70" s="1249"/>
      <c r="AC70" s="1249"/>
      <c r="AD70" s="1249"/>
      <c r="AE70" s="1249"/>
      <c r="AF70" s="1249"/>
      <c r="AG70" s="1249"/>
      <c r="AH70" s="1249"/>
      <c r="AI70" s="1249"/>
      <c r="AJ70" s="1249"/>
      <c r="AK70" s="1249"/>
    </row>
    <row r="71" spans="1:37" s="1248" customFormat="1" ht="51">
      <c r="A71" s="2295" t="s">
        <v>2709</v>
      </c>
      <c r="B71" s="2299" t="str">
        <f>估价对象房地状况!C18</f>
        <v>估价对象周边道路状况、公共交通通达情况、停车便捷程度，综合评价交通便捷度较好</v>
      </c>
      <c r="C71" s="2200"/>
      <c r="D71" s="1193">
        <f t="shared" si="20"/>
        <v>0</v>
      </c>
      <c r="E71" s="763"/>
      <c r="F71" s="1966"/>
      <c r="G71" s="1191"/>
      <c r="H71" s="1195">
        <f t="shared" si="21"/>
        <v>1.95E-2</v>
      </c>
      <c r="I71" s="757">
        <v>0.3</v>
      </c>
      <c r="J71" s="1192">
        <f t="shared" si="22"/>
        <v>0</v>
      </c>
      <c r="K71" s="1192">
        <f t="shared" si="23"/>
        <v>0</v>
      </c>
      <c r="L71" s="1192">
        <v>0</v>
      </c>
      <c r="M71" s="1192">
        <f t="shared" si="24"/>
        <v>0</v>
      </c>
      <c r="N71" s="1192">
        <f t="shared" si="24"/>
        <v>0</v>
      </c>
      <c r="AA71" s="1249"/>
      <c r="AB71" s="1249"/>
      <c r="AC71" s="1249"/>
      <c r="AD71" s="1249"/>
      <c r="AE71" s="1249"/>
      <c r="AF71" s="1249"/>
      <c r="AG71" s="1249"/>
      <c r="AH71" s="1249"/>
      <c r="AI71" s="1249"/>
      <c r="AJ71" s="1249"/>
      <c r="AK71" s="1249"/>
    </row>
    <row r="72" spans="1:37" s="1248" customFormat="1" ht="24">
      <c r="A72" s="2295" t="s">
        <v>2710</v>
      </c>
      <c r="B72" s="2299">
        <f>估价对象房地状况!C19</f>
        <v>0</v>
      </c>
      <c r="C72" s="2200"/>
      <c r="D72" s="1193">
        <f t="shared" si="20"/>
        <v>0</v>
      </c>
      <c r="E72" s="763"/>
      <c r="F72" s="1966"/>
      <c r="G72" s="1191"/>
      <c r="H72" s="1195">
        <f t="shared" si="21"/>
        <v>5.1999999999999998E-3</v>
      </c>
      <c r="I72" s="757">
        <v>0.08</v>
      </c>
      <c r="J72" s="1192">
        <f t="shared" si="22"/>
        <v>0</v>
      </c>
      <c r="K72" s="1192">
        <f t="shared" si="23"/>
        <v>0</v>
      </c>
      <c r="L72" s="1192">
        <v>0</v>
      </c>
      <c r="M72" s="1192">
        <f t="shared" si="24"/>
        <v>0</v>
      </c>
      <c r="N72" s="1192">
        <f t="shared" si="24"/>
        <v>0</v>
      </c>
      <c r="AA72" s="1249"/>
      <c r="AB72" s="1249"/>
      <c r="AC72" s="1249"/>
      <c r="AD72" s="1249"/>
      <c r="AE72" s="1249"/>
      <c r="AF72" s="1249"/>
      <c r="AG72" s="1249"/>
      <c r="AH72" s="1249"/>
      <c r="AI72" s="1249"/>
      <c r="AJ72" s="1249"/>
      <c r="AK72" s="1249"/>
    </row>
    <row r="73" spans="1:37" s="1248" customFormat="1" ht="14.25">
      <c r="A73" s="2295" t="s">
        <v>2724</v>
      </c>
      <c r="B73" s="2299">
        <f>估价对象房地状况!C24</f>
        <v>0</v>
      </c>
      <c r="C73" s="2200"/>
      <c r="D73" s="1193">
        <f t="shared" si="20"/>
        <v>0</v>
      </c>
      <c r="E73" s="763"/>
      <c r="F73" s="1966"/>
      <c r="G73" s="1191"/>
      <c r="H73" s="1195">
        <f t="shared" si="21"/>
        <v>2.5999999999999999E-3</v>
      </c>
      <c r="I73" s="757">
        <v>0.04</v>
      </c>
      <c r="J73" s="1192">
        <f t="shared" si="22"/>
        <v>0</v>
      </c>
      <c r="K73" s="1192">
        <f t="shared" si="23"/>
        <v>0</v>
      </c>
      <c r="L73" s="1192">
        <v>0</v>
      </c>
      <c r="M73" s="1192">
        <f t="shared" si="24"/>
        <v>0</v>
      </c>
      <c r="N73" s="1192">
        <f t="shared" si="24"/>
        <v>0</v>
      </c>
      <c r="AA73" s="1249"/>
      <c r="AB73" s="1249"/>
      <c r="AC73" s="1249"/>
      <c r="AD73" s="1249"/>
      <c r="AE73" s="1249"/>
      <c r="AF73" s="1249"/>
      <c r="AG73" s="1249"/>
      <c r="AH73" s="1249"/>
      <c r="AI73" s="1249"/>
      <c r="AJ73" s="1249"/>
      <c r="AK73" s="1249"/>
    </row>
    <row r="74" spans="1:37" s="1248" customFormat="1" ht="25.5">
      <c r="A74" s="2295" t="s">
        <v>2716</v>
      </c>
      <c r="B74" s="1462" t="str">
        <f>估价对象房地状况!C21</f>
        <v>估价对象所在区域公共配套设施齐备情况</v>
      </c>
      <c r="C74" s="2200"/>
      <c r="D74" s="1193">
        <f t="shared" si="20"/>
        <v>0</v>
      </c>
      <c r="E74" s="763"/>
      <c r="F74" s="1966"/>
      <c r="G74" s="1191"/>
      <c r="H74" s="1195">
        <f t="shared" si="21"/>
        <v>5.1999999999999998E-3</v>
      </c>
      <c r="I74" s="757">
        <v>0.08</v>
      </c>
      <c r="J74" s="1192">
        <f t="shared" si="22"/>
        <v>0</v>
      </c>
      <c r="K74" s="1192">
        <f t="shared" si="23"/>
        <v>0</v>
      </c>
      <c r="L74" s="1192">
        <v>0</v>
      </c>
      <c r="M74" s="1192">
        <f t="shared" si="24"/>
        <v>0</v>
      </c>
      <c r="N74" s="1192">
        <f t="shared" si="24"/>
        <v>0</v>
      </c>
      <c r="AA74" s="1249"/>
      <c r="AB74" s="1249"/>
      <c r="AC74" s="1249"/>
      <c r="AD74" s="1249"/>
      <c r="AE74" s="1249"/>
      <c r="AF74" s="1249"/>
      <c r="AG74" s="1249"/>
      <c r="AH74" s="1249"/>
      <c r="AI74" s="1249"/>
      <c r="AJ74" s="1249"/>
      <c r="AK74" s="1249"/>
    </row>
    <row r="75" spans="1:37" s="1248" customFormat="1" ht="25.5">
      <c r="A75" s="2295" t="s">
        <v>2717</v>
      </c>
      <c r="B75" s="1462" t="str">
        <f>估价对象房地状况!C22</f>
        <v>估价对象所在区域基础设施水平</v>
      </c>
      <c r="C75" s="2200"/>
      <c r="D75" s="1193">
        <f t="shared" si="20"/>
        <v>0</v>
      </c>
      <c r="E75" s="763"/>
      <c r="F75" s="1966"/>
      <c r="G75" s="1191"/>
      <c r="H75" s="1195">
        <f t="shared" si="21"/>
        <v>7.7999999999999996E-3</v>
      </c>
      <c r="I75" s="757">
        <v>0.12</v>
      </c>
      <c r="J75" s="1192">
        <f t="shared" si="22"/>
        <v>0</v>
      </c>
      <c r="K75" s="1192">
        <f t="shared" si="23"/>
        <v>0</v>
      </c>
      <c r="L75" s="1192">
        <v>0</v>
      </c>
      <c r="M75" s="1192">
        <f t="shared" si="24"/>
        <v>0</v>
      </c>
      <c r="N75" s="1192">
        <f t="shared" si="24"/>
        <v>0</v>
      </c>
      <c r="AA75" s="1249"/>
      <c r="AB75" s="1249"/>
      <c r="AC75" s="1249"/>
      <c r="AD75" s="1249"/>
      <c r="AE75" s="1249"/>
      <c r="AF75" s="1249"/>
      <c r="AG75" s="1249"/>
      <c r="AH75" s="1249"/>
      <c r="AI75" s="1249"/>
      <c r="AJ75" s="1249"/>
      <c r="AK75" s="1249"/>
    </row>
    <row r="76" spans="1:37" s="2149" customFormat="1" ht="24">
      <c r="A76" s="2295" t="s">
        <v>2714</v>
      </c>
      <c r="B76" s="2301" t="s">
        <v>2715</v>
      </c>
      <c r="C76" s="2200"/>
      <c r="D76" s="1193">
        <f t="shared" si="20"/>
        <v>0</v>
      </c>
      <c r="E76" s="763"/>
      <c r="F76" s="1966"/>
      <c r="G76" s="1191"/>
      <c r="H76" s="1195">
        <f t="shared" si="21"/>
        <v>3.2000000000000002E-3</v>
      </c>
      <c r="I76" s="757">
        <v>0.05</v>
      </c>
      <c r="J76" s="1192">
        <f t="shared" si="22"/>
        <v>0</v>
      </c>
      <c r="K76" s="1192">
        <f t="shared" si="23"/>
        <v>0</v>
      </c>
      <c r="L76" s="1192">
        <v>0</v>
      </c>
      <c r="M76" s="1192">
        <f t="shared" si="24"/>
        <v>0</v>
      </c>
      <c r="N76" s="1192">
        <f t="shared" si="24"/>
        <v>0</v>
      </c>
      <c r="AA76" s="2306"/>
      <c r="AB76" s="1249"/>
      <c r="AC76" s="1249"/>
      <c r="AD76" s="1249"/>
      <c r="AE76" s="1249"/>
      <c r="AF76" s="1249"/>
      <c r="AG76" s="1249"/>
      <c r="AH76" s="2306"/>
      <c r="AI76" s="2306"/>
      <c r="AJ76" s="2306"/>
      <c r="AK76" s="2306"/>
    </row>
    <row r="77" spans="1:37" ht="38.25">
      <c r="A77" s="2295" t="s">
        <v>2718</v>
      </c>
      <c r="B77" s="2298" t="str">
        <f>估价对象房地状况!C20</f>
        <v>区域自然环境：；人文环境；综合评价环境状况一般</v>
      </c>
      <c r="C77" s="2200"/>
      <c r="D77" s="1193">
        <f t="shared" si="20"/>
        <v>0</v>
      </c>
      <c r="E77" s="763"/>
      <c r="F77" s="1966"/>
      <c r="G77" s="1191"/>
      <c r="H77" s="1195">
        <f t="shared" si="21"/>
        <v>9.7000000000000003E-3</v>
      </c>
      <c r="I77" s="757">
        <v>0.15</v>
      </c>
      <c r="J77" s="1192">
        <f t="shared" si="22"/>
        <v>0</v>
      </c>
      <c r="K77" s="1192">
        <f t="shared" si="23"/>
        <v>0</v>
      </c>
      <c r="L77" s="1192">
        <v>0</v>
      </c>
      <c r="M77" s="1192">
        <f t="shared" si="24"/>
        <v>0</v>
      </c>
      <c r="N77" s="1192">
        <f t="shared" si="24"/>
        <v>0</v>
      </c>
      <c r="Z77" s="2150"/>
      <c r="AA77" s="2216"/>
      <c r="AG77" s="1250"/>
      <c r="AK77" s="2216"/>
    </row>
    <row r="78" spans="1:37" ht="24.75" thickBot="1">
      <c r="A78" s="2303" t="s">
        <v>2725</v>
      </c>
      <c r="B78" s="2307"/>
      <c r="C78" s="2200"/>
      <c r="D78" s="1193">
        <f t="shared" si="20"/>
        <v>0</v>
      </c>
      <c r="E78" s="764"/>
      <c r="F78" s="1966"/>
      <c r="G78" s="1191"/>
      <c r="H78" s="1195">
        <f t="shared" si="21"/>
        <v>2.5999999999999999E-3</v>
      </c>
      <c r="I78" s="761">
        <v>0.04</v>
      </c>
      <c r="J78" s="1192">
        <f t="shared" si="22"/>
        <v>0</v>
      </c>
      <c r="K78" s="1192">
        <f t="shared" si="23"/>
        <v>0</v>
      </c>
      <c r="L78" s="1192">
        <v>0</v>
      </c>
      <c r="M78" s="1192">
        <f t="shared" si="24"/>
        <v>0</v>
      </c>
      <c r="N78" s="1192">
        <f t="shared" si="24"/>
        <v>0</v>
      </c>
      <c r="Z78" s="2150"/>
      <c r="AA78" s="2216"/>
      <c r="AG78" s="1250"/>
      <c r="AK78" s="2216"/>
    </row>
    <row r="79" spans="1:37" ht="15">
      <c r="A79" s="2291" t="s">
        <v>2726</v>
      </c>
      <c r="B79" s="2292">
        <f>1+E81</f>
        <v>1</v>
      </c>
      <c r="C79" s="751"/>
      <c r="D79" s="751"/>
      <c r="E79" s="752"/>
      <c r="F79" s="2294"/>
      <c r="G79" s="6"/>
      <c r="H79" s="6"/>
      <c r="I79" s="6"/>
      <c r="J79" s="7"/>
      <c r="K79" s="7"/>
      <c r="L79" s="7"/>
      <c r="M79" s="7"/>
      <c r="N79" s="7"/>
      <c r="Z79" s="2150"/>
      <c r="AA79" s="2216"/>
      <c r="AG79" s="1250"/>
      <c r="AK79" s="2216"/>
    </row>
    <row r="80" spans="1:37" ht="24.75">
      <c r="A80" s="2295" t="s">
        <v>2700</v>
      </c>
      <c r="B80" s="1501"/>
      <c r="C80" s="1501" t="s">
        <v>2702</v>
      </c>
      <c r="D80" s="1501" t="s">
        <v>2703</v>
      </c>
      <c r="E80" s="756" t="s">
        <v>2704</v>
      </c>
      <c r="F80" s="2296" t="s">
        <v>2720</v>
      </c>
      <c r="G80" s="1501" t="s">
        <v>754</v>
      </c>
      <c r="H80" s="2297" t="s">
        <v>2706</v>
      </c>
      <c r="I80" s="1501" t="s">
        <v>2707</v>
      </c>
      <c r="J80" s="559" t="s">
        <v>2358</v>
      </c>
      <c r="K80" s="559" t="s">
        <v>2359</v>
      </c>
      <c r="L80" s="559" t="s">
        <v>2360</v>
      </c>
      <c r="M80" s="559" t="s">
        <v>2361</v>
      </c>
      <c r="N80" s="559" t="s">
        <v>2362</v>
      </c>
      <c r="Z80" s="2150"/>
      <c r="AA80" s="2216"/>
      <c r="AG80" s="1250"/>
      <c r="AK80" s="2216"/>
    </row>
    <row r="81" spans="1:37" ht="38.25">
      <c r="A81" s="2295" t="s">
        <v>2727</v>
      </c>
      <c r="B81" s="2299" t="str">
        <f>估价对象房地状况!G15</f>
        <v>估价对象位于XX开发区，园区建设成熟度XX，产业集聚程度XX</v>
      </c>
      <c r="C81" s="2200"/>
      <c r="D81" s="1193">
        <f t="shared" ref="D81:D88" si="25">SUMIF($J$80:$N$80,C81,J81:N81)</f>
        <v>0</v>
      </c>
      <c r="E81" s="758">
        <f>ROUND(SUM(D81:D88),4)</f>
        <v>0</v>
      </c>
      <c r="F81" s="1966"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50"/>
      <c r="AA81" s="2216"/>
      <c r="AG81" s="1250"/>
      <c r="AK81" s="2216"/>
    </row>
    <row r="82" spans="1:37" ht="51">
      <c r="A82" s="2295" t="s">
        <v>2709</v>
      </c>
      <c r="B82" s="2299" t="str">
        <f>估价对象房地状况!G16</f>
        <v>估价对象周边道路状况、公共交通通达情况、停车便捷程度，综合评价交通便捷度较好</v>
      </c>
      <c r="C82" s="2200"/>
      <c r="D82" s="1193">
        <f t="shared" si="25"/>
        <v>0</v>
      </c>
      <c r="E82" s="763"/>
      <c r="F82" s="1966"/>
      <c r="G82" s="1191"/>
      <c r="H82" s="1195" t="str">
        <f t="shared" si="26"/>
        <v>——</v>
      </c>
      <c r="I82" s="757">
        <v>0.33</v>
      </c>
      <c r="J82" s="1192">
        <f t="shared" si="27"/>
        <v>0</v>
      </c>
      <c r="K82" s="1192">
        <f t="shared" si="28"/>
        <v>0</v>
      </c>
      <c r="L82" s="1192">
        <v>0</v>
      </c>
      <c r="M82" s="1192">
        <f t="shared" si="29"/>
        <v>0</v>
      </c>
      <c r="N82" s="1192">
        <f t="shared" si="29"/>
        <v>0</v>
      </c>
      <c r="Z82" s="2150"/>
      <c r="AA82" s="2216"/>
      <c r="AG82" s="1250"/>
      <c r="AK82" s="2216"/>
    </row>
    <row r="83" spans="1:37" ht="24">
      <c r="A83" s="2295" t="s">
        <v>2710</v>
      </c>
      <c r="B83" s="2299">
        <f>估价对象房地状况!G17</f>
        <v>0</v>
      </c>
      <c r="C83" s="2200"/>
      <c r="D83" s="1193">
        <f t="shared" si="25"/>
        <v>0</v>
      </c>
      <c r="E83" s="763"/>
      <c r="F83" s="1966"/>
      <c r="G83" s="1191"/>
      <c r="H83" s="1195" t="str">
        <f t="shared" si="26"/>
        <v>——</v>
      </c>
      <c r="I83" s="757">
        <v>0.05</v>
      </c>
      <c r="J83" s="1192">
        <f t="shared" si="27"/>
        <v>0</v>
      </c>
      <c r="K83" s="1192">
        <f t="shared" si="28"/>
        <v>0</v>
      </c>
      <c r="L83" s="1192">
        <v>0</v>
      </c>
      <c r="M83" s="1192">
        <f t="shared" si="29"/>
        <v>0</v>
      </c>
      <c r="N83" s="1192">
        <f t="shared" si="29"/>
        <v>0</v>
      </c>
      <c r="Z83" s="2150"/>
      <c r="AA83" s="2216"/>
      <c r="AG83" s="1250"/>
      <c r="AK83" s="2216"/>
    </row>
    <row r="84" spans="1:37" ht="14.25">
      <c r="A84" s="2295" t="s">
        <v>2724</v>
      </c>
      <c r="B84" s="2299">
        <f>估价对象房地状况!G22</f>
        <v>0</v>
      </c>
      <c r="C84" s="2200"/>
      <c r="D84" s="1193">
        <f t="shared" si="25"/>
        <v>0</v>
      </c>
      <c r="E84" s="763"/>
      <c r="F84" s="1966"/>
      <c r="G84" s="1191"/>
      <c r="H84" s="1195" t="str">
        <f t="shared" si="26"/>
        <v>——</v>
      </c>
      <c r="I84" s="757">
        <v>0.04</v>
      </c>
      <c r="J84" s="1192">
        <f t="shared" si="27"/>
        <v>0</v>
      </c>
      <c r="K84" s="1192">
        <f t="shared" si="28"/>
        <v>0</v>
      </c>
      <c r="L84" s="1192">
        <v>0</v>
      </c>
      <c r="M84" s="1192">
        <f t="shared" si="29"/>
        <v>0</v>
      </c>
      <c r="N84" s="1192">
        <f t="shared" si="29"/>
        <v>0</v>
      </c>
      <c r="Z84" s="2150"/>
      <c r="AA84" s="2216"/>
      <c r="AG84" s="1250"/>
      <c r="AK84" s="2216"/>
    </row>
    <row r="85" spans="1:37" ht="25.5">
      <c r="A85" s="2295" t="s">
        <v>2716</v>
      </c>
      <c r="B85" s="1462" t="str">
        <f>估价对象房地状况!G19</f>
        <v>估价对象所在区域公共配套设施齐备情况</v>
      </c>
      <c r="C85" s="2200"/>
      <c r="D85" s="1193">
        <f t="shared" si="25"/>
        <v>0</v>
      </c>
      <c r="E85" s="763"/>
      <c r="F85" s="1966"/>
      <c r="G85" s="1191"/>
      <c r="H85" s="1195" t="str">
        <f t="shared" si="26"/>
        <v>——</v>
      </c>
      <c r="I85" s="757">
        <v>0.06</v>
      </c>
      <c r="J85" s="1192">
        <f t="shared" si="27"/>
        <v>0</v>
      </c>
      <c r="K85" s="1192">
        <f t="shared" si="28"/>
        <v>0</v>
      </c>
      <c r="L85" s="1192">
        <v>0</v>
      </c>
      <c r="M85" s="1192">
        <f t="shared" si="29"/>
        <v>0</v>
      </c>
      <c r="N85" s="1192">
        <f t="shared" si="29"/>
        <v>0</v>
      </c>
      <c r="Z85" s="2150"/>
      <c r="AA85" s="2216"/>
      <c r="AG85" s="1250"/>
      <c r="AK85" s="2216"/>
    </row>
    <row r="86" spans="1:37" ht="25.5">
      <c r="A86" s="2295" t="s">
        <v>2717</v>
      </c>
      <c r="B86" s="1462" t="str">
        <f>估价对象房地状况!G20</f>
        <v>估价对象所在区域基础设施水平</v>
      </c>
      <c r="C86" s="2200"/>
      <c r="D86" s="1193">
        <f t="shared" si="25"/>
        <v>0</v>
      </c>
      <c r="E86" s="763"/>
      <c r="F86" s="1966"/>
      <c r="G86" s="1191"/>
      <c r="H86" s="1195" t="str">
        <f t="shared" si="26"/>
        <v>——</v>
      </c>
      <c r="I86" s="757">
        <v>0.15</v>
      </c>
      <c r="J86" s="1192">
        <f t="shared" si="27"/>
        <v>0</v>
      </c>
      <c r="K86" s="1192">
        <f t="shared" si="28"/>
        <v>0</v>
      </c>
      <c r="L86" s="1192">
        <v>0</v>
      </c>
      <c r="M86" s="1192">
        <f t="shared" si="29"/>
        <v>0</v>
      </c>
      <c r="N86" s="1192">
        <f t="shared" si="29"/>
        <v>0</v>
      </c>
      <c r="Z86" s="2150"/>
      <c r="AA86" s="2216"/>
      <c r="AG86" s="1250"/>
      <c r="AK86" s="2216"/>
    </row>
    <row r="87" spans="1:37" ht="24">
      <c r="A87" s="2295" t="s">
        <v>2714</v>
      </c>
      <c r="B87" s="2301" t="s">
        <v>2728</v>
      </c>
      <c r="C87" s="2200"/>
      <c r="D87" s="1193">
        <f t="shared" si="25"/>
        <v>0</v>
      </c>
      <c r="E87" s="763"/>
      <c r="F87" s="1966"/>
      <c r="G87" s="1191"/>
      <c r="H87" s="1195" t="str">
        <f t="shared" si="26"/>
        <v>——</v>
      </c>
      <c r="I87" s="757">
        <v>0.05</v>
      </c>
      <c r="J87" s="1192">
        <f t="shared" si="27"/>
        <v>0</v>
      </c>
      <c r="K87" s="1192">
        <f t="shared" si="28"/>
        <v>0</v>
      </c>
      <c r="L87" s="1192">
        <v>0</v>
      </c>
      <c r="M87" s="1192">
        <f t="shared" si="29"/>
        <v>0</v>
      </c>
      <c r="N87" s="1192">
        <f t="shared" si="29"/>
        <v>0</v>
      </c>
      <c r="Z87" s="2150"/>
      <c r="AA87" s="2216"/>
      <c r="AG87" s="1250"/>
      <c r="AK87" s="2216"/>
    </row>
    <row r="88" spans="1:37" ht="39" thickBot="1">
      <c r="A88" s="2303" t="s">
        <v>2729</v>
      </c>
      <c r="B88" s="2308" t="str">
        <f>估价对象房地状况!G18</f>
        <v>该园区内是否有污染型企业，绿化情况，卫生条件，整体环境状况判断</v>
      </c>
      <c r="C88" s="2200"/>
      <c r="D88" s="1193">
        <f t="shared" si="25"/>
        <v>0</v>
      </c>
      <c r="E88" s="764"/>
      <c r="F88" s="1966"/>
      <c r="G88" s="1191"/>
      <c r="H88" s="1195" t="str">
        <f t="shared" si="26"/>
        <v>——</v>
      </c>
      <c r="I88" s="761">
        <v>0.06</v>
      </c>
      <c r="J88" s="1192">
        <f t="shared" si="27"/>
        <v>0</v>
      </c>
      <c r="K88" s="1192">
        <f t="shared" si="28"/>
        <v>0</v>
      </c>
      <c r="L88" s="1192">
        <v>0</v>
      </c>
      <c r="M88" s="1192">
        <f t="shared" si="29"/>
        <v>0</v>
      </c>
      <c r="N88" s="1192">
        <f t="shared" si="29"/>
        <v>0</v>
      </c>
      <c r="Z88" s="2150"/>
      <c r="AA88" s="2216"/>
      <c r="AG88" s="1250"/>
      <c r="AK88" s="2216"/>
    </row>
    <row r="90" spans="1:37">
      <c r="A90" s="3753" t="s">
        <v>2730</v>
      </c>
      <c r="B90" s="3753"/>
      <c r="C90" s="3753"/>
      <c r="D90" s="3753"/>
      <c r="E90" s="3753"/>
      <c r="F90" s="3753"/>
      <c r="G90" s="3753"/>
      <c r="H90" s="3753"/>
      <c r="I90" s="3753"/>
      <c r="J90" s="3753"/>
      <c r="K90" s="2309"/>
      <c r="L90" s="2309"/>
      <c r="M90" s="2309"/>
      <c r="N90" s="2309"/>
    </row>
    <row r="91" spans="1:37">
      <c r="A91" s="3755" t="s">
        <v>2731</v>
      </c>
      <c r="B91" s="3755" t="s">
        <v>2732</v>
      </c>
      <c r="C91" s="2263" t="s">
        <v>2733</v>
      </c>
      <c r="D91" s="2264"/>
      <c r="E91" s="2264"/>
      <c r="F91" s="2264"/>
      <c r="G91" s="2264"/>
      <c r="H91" s="2264"/>
      <c r="I91" s="2264"/>
      <c r="J91" s="2310"/>
      <c r="K91" s="2311"/>
      <c r="L91" s="2311"/>
      <c r="M91" s="2311"/>
      <c r="N91" s="2311"/>
    </row>
    <row r="92" spans="1:37">
      <c r="A92" s="3755"/>
      <c r="B92" s="3755"/>
      <c r="C92" s="877" t="s">
        <v>2601</v>
      </c>
      <c r="D92" s="877" t="s">
        <v>2602</v>
      </c>
      <c r="E92" s="877" t="s">
        <v>2603</v>
      </c>
      <c r="F92" s="877" t="s">
        <v>2604</v>
      </c>
      <c r="G92" s="877" t="s">
        <v>2605</v>
      </c>
      <c r="H92" s="877" t="s">
        <v>2606</v>
      </c>
      <c r="I92" s="877" t="s">
        <v>2607</v>
      </c>
      <c r="J92" s="877" t="s">
        <v>2608</v>
      </c>
      <c r="K92" s="877" t="s">
        <v>2609</v>
      </c>
      <c r="L92" s="877" t="s">
        <v>2610</v>
      </c>
      <c r="M92" s="877" t="s">
        <v>2611</v>
      </c>
      <c r="N92" s="877" t="s">
        <v>2612</v>
      </c>
    </row>
    <row r="93" spans="1:37">
      <c r="A93" s="3756" t="s">
        <v>2734</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757"/>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757"/>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757"/>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757"/>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757"/>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757"/>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758"/>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756" t="s">
        <v>2735</v>
      </c>
      <c r="B101" s="2316" t="s">
        <v>2736</v>
      </c>
      <c r="C101" s="2317">
        <f>$G$3</f>
        <v>1.91</v>
      </c>
      <c r="D101" s="2317">
        <f t="shared" ref="D101:N101" si="31">$G$3</f>
        <v>1.91</v>
      </c>
      <c r="E101" s="2317">
        <f t="shared" si="31"/>
        <v>1.91</v>
      </c>
      <c r="F101" s="2317">
        <f t="shared" si="31"/>
        <v>1.91</v>
      </c>
      <c r="G101" s="2317">
        <f t="shared" si="31"/>
        <v>1.91</v>
      </c>
      <c r="H101" s="2317">
        <f t="shared" si="31"/>
        <v>1.91</v>
      </c>
      <c r="I101" s="2317">
        <f t="shared" si="31"/>
        <v>1.91</v>
      </c>
      <c r="J101" s="2317">
        <f t="shared" si="31"/>
        <v>1.91</v>
      </c>
      <c r="K101" s="2317">
        <f t="shared" si="31"/>
        <v>1.91</v>
      </c>
      <c r="L101" s="2317">
        <f t="shared" si="31"/>
        <v>1.91</v>
      </c>
      <c r="M101" s="2317">
        <f t="shared" si="31"/>
        <v>1.91</v>
      </c>
      <c r="N101" s="2317">
        <f t="shared" si="31"/>
        <v>1.91</v>
      </c>
    </row>
    <row r="102" spans="1:14">
      <c r="A102" s="3757"/>
      <c r="B102" s="2312">
        <v>1</v>
      </c>
      <c r="C102" s="2313">
        <f>1.9362/C101</f>
        <v>1.013717277486911</v>
      </c>
      <c r="D102" s="2313">
        <f>1.9362/D101</f>
        <v>1.013717277486911</v>
      </c>
      <c r="E102" s="2313">
        <f>1.8629/E101</f>
        <v>0.97534031413612565</v>
      </c>
      <c r="F102" s="2313">
        <f>1.8629/F101</f>
        <v>0.97534031413612565</v>
      </c>
      <c r="G102" s="2313">
        <f>1.8629/G101</f>
        <v>0.97534031413612565</v>
      </c>
      <c r="H102" s="2313">
        <f>1.8629/H101</f>
        <v>0.97534031413612565</v>
      </c>
      <c r="I102" s="2313">
        <f>1.8629/I101</f>
        <v>0.97534031413612565</v>
      </c>
      <c r="J102" s="2313">
        <f>1.942/J101</f>
        <v>1.0167539267015706</v>
      </c>
      <c r="K102" s="2313">
        <f>1.942/K101</f>
        <v>1.0167539267015706</v>
      </c>
      <c r="L102" s="2313">
        <f>1.942/L101</f>
        <v>1.0167539267015706</v>
      </c>
      <c r="M102" s="2313">
        <f>1.942/M101</f>
        <v>1.0167539267015706</v>
      </c>
      <c r="N102" s="2313">
        <f>1.942/N101</f>
        <v>1.0167539267015706</v>
      </c>
    </row>
    <row r="103" spans="1:14">
      <c r="A103" s="3757"/>
      <c r="B103" s="2312">
        <v>2</v>
      </c>
      <c r="C103" s="2313">
        <f>1.4198/C101</f>
        <v>0.74335078534031418</v>
      </c>
      <c r="D103" s="2313">
        <f>1.4198/D101</f>
        <v>0.74335078534031418</v>
      </c>
      <c r="E103" s="2313">
        <f>1.3372/E101</f>
        <v>0.70010471204188485</v>
      </c>
      <c r="F103" s="2313">
        <f>1.3372/F101</f>
        <v>0.70010471204188485</v>
      </c>
      <c r="G103" s="2313">
        <f>1.3372/G101</f>
        <v>0.70010471204188485</v>
      </c>
      <c r="H103" s="2313">
        <f>1.3372/H101</f>
        <v>0.70010471204188485</v>
      </c>
      <c r="I103" s="2313">
        <f>1.3372/I101</f>
        <v>0.70010471204188485</v>
      </c>
      <c r="J103" s="2313">
        <f>1.2799/J101</f>
        <v>0.67010471204188482</v>
      </c>
      <c r="K103" s="2313">
        <f>1.2799/K101</f>
        <v>0.67010471204188482</v>
      </c>
      <c r="L103" s="2313">
        <f>1.2799/L101</f>
        <v>0.67010471204188482</v>
      </c>
      <c r="M103" s="2313">
        <f>1.2799/M101</f>
        <v>0.67010471204188482</v>
      </c>
      <c r="N103" s="2313">
        <f>1.2799/N101</f>
        <v>0.67010471204188482</v>
      </c>
    </row>
    <row r="104" spans="1:14">
      <c r="A104" s="3757"/>
      <c r="B104" s="2312">
        <v>3</v>
      </c>
      <c r="C104" s="2313">
        <f>1.1594/C101</f>
        <v>0.6070157068062827</v>
      </c>
      <c r="D104" s="2313">
        <f>1.1594/D101</f>
        <v>0.6070157068062827</v>
      </c>
      <c r="E104" s="2313">
        <f>1.0788/E101</f>
        <v>0.56481675392670161</v>
      </c>
      <c r="F104" s="2313">
        <f>1.0788/F101</f>
        <v>0.56481675392670161</v>
      </c>
      <c r="G104" s="2313">
        <f>1.0788/G101</f>
        <v>0.56481675392670161</v>
      </c>
      <c r="H104" s="2313">
        <f>1.0788/H101</f>
        <v>0.56481675392670161</v>
      </c>
      <c r="I104" s="2313">
        <f>1.0788/I101</f>
        <v>0.56481675392670161</v>
      </c>
      <c r="J104" s="2313">
        <f>1.0072/J101</f>
        <v>0.5273298429319373</v>
      </c>
      <c r="K104" s="2313">
        <f>1.0072/K101</f>
        <v>0.5273298429319373</v>
      </c>
      <c r="L104" s="2313">
        <f>1.0072/L101</f>
        <v>0.5273298429319373</v>
      </c>
      <c r="M104" s="2313">
        <f>1.0072/M101</f>
        <v>0.5273298429319373</v>
      </c>
      <c r="N104" s="2313">
        <f>1.0072/N101</f>
        <v>0.5273298429319373</v>
      </c>
    </row>
    <row r="105" spans="1:14">
      <c r="A105" s="3757"/>
      <c r="B105" s="2312">
        <v>4</v>
      </c>
      <c r="C105" s="2313">
        <f>0.9622/C101</f>
        <v>0.50376963350785342</v>
      </c>
      <c r="D105" s="2313">
        <f>0.9622/D101</f>
        <v>0.50376963350785342</v>
      </c>
      <c r="E105" s="2313">
        <f>0.8656/E101</f>
        <v>0.45319371727748697</v>
      </c>
      <c r="F105" s="2313">
        <f>0.8656/F101</f>
        <v>0.45319371727748697</v>
      </c>
      <c r="G105" s="2313">
        <f>0.8656/G101</f>
        <v>0.45319371727748697</v>
      </c>
      <c r="H105" s="2313">
        <f>0.8656/H101</f>
        <v>0.45319371727748697</v>
      </c>
      <c r="I105" s="2313">
        <f>0.8656/I101</f>
        <v>0.45319371727748697</v>
      </c>
      <c r="J105" s="2313">
        <f>0.7525/J101</f>
        <v>0.39397905759162305</v>
      </c>
      <c r="K105" s="2313">
        <f>0.7525/K101</f>
        <v>0.39397905759162305</v>
      </c>
      <c r="L105" s="2313">
        <f>0.7525/L101</f>
        <v>0.39397905759162305</v>
      </c>
      <c r="M105" s="2313">
        <f>0.7525/M101</f>
        <v>0.39397905759162305</v>
      </c>
      <c r="N105" s="2313">
        <f>0.7525/N101</f>
        <v>0.39397905759162305</v>
      </c>
    </row>
    <row r="106" spans="1:14">
      <c r="A106" s="3757"/>
      <c r="B106" s="2312">
        <v>5</v>
      </c>
      <c r="C106" s="2313">
        <f>0.8417/C101</f>
        <v>0.44068062827225135</v>
      </c>
      <c r="D106" s="2313">
        <f>0.8417/D101</f>
        <v>0.44068062827225135</v>
      </c>
      <c r="E106" s="2313">
        <f>0.7371/E101</f>
        <v>0.38591623036649214</v>
      </c>
      <c r="F106" s="2313">
        <f>0.7371/F101</f>
        <v>0.38591623036649214</v>
      </c>
      <c r="G106" s="2313">
        <f>0.7371/G101</f>
        <v>0.38591623036649214</v>
      </c>
      <c r="H106" s="2313">
        <f>0.7371/H101</f>
        <v>0.38591623036649214</v>
      </c>
      <c r="I106" s="2313">
        <f>0.7371/I101</f>
        <v>0.38591623036649214</v>
      </c>
      <c r="J106" s="2313">
        <f>0.5659/J101</f>
        <v>0.29628272251308901</v>
      </c>
      <c r="K106" s="2313">
        <f>0.5659/K101</f>
        <v>0.29628272251308901</v>
      </c>
      <c r="L106" s="2313">
        <f>0.5659/L101</f>
        <v>0.29628272251308901</v>
      </c>
      <c r="M106" s="2313">
        <f>0.5659/M101</f>
        <v>0.29628272251308901</v>
      </c>
      <c r="N106" s="2313">
        <f>0.5659/N101</f>
        <v>0.29628272251308901</v>
      </c>
    </row>
    <row r="107" spans="1:14">
      <c r="A107" s="3757"/>
      <c r="B107" s="2312">
        <v>6</v>
      </c>
      <c r="C107" s="2313">
        <f>0.7608/C101</f>
        <v>0.39832460732984298</v>
      </c>
      <c r="D107" s="2313">
        <f>0.7608/D101</f>
        <v>0.39832460732984298</v>
      </c>
      <c r="E107" s="2313">
        <f>0.6482/E101</f>
        <v>0.33937172774869112</v>
      </c>
      <c r="F107" s="2313">
        <f>0.6482/F101</f>
        <v>0.33937172774869112</v>
      </c>
      <c r="G107" s="2313">
        <f>0.6482/G101</f>
        <v>0.33937172774869112</v>
      </c>
      <c r="H107" s="2313">
        <f>0.6482/H101</f>
        <v>0.33937172774869112</v>
      </c>
      <c r="I107" s="2313">
        <f>0.6482/I101</f>
        <v>0.33937172774869112</v>
      </c>
      <c r="J107" s="2313">
        <f>0.4525/J101</f>
        <v>0.23691099476439792</v>
      </c>
      <c r="K107" s="2313">
        <f>0.4525/K101</f>
        <v>0.23691099476439792</v>
      </c>
      <c r="L107" s="2313">
        <f>0.4525/L101</f>
        <v>0.23691099476439792</v>
      </c>
      <c r="M107" s="2313">
        <f>0.4525/M101</f>
        <v>0.23691099476439792</v>
      </c>
      <c r="N107" s="2313">
        <f>0.4525/N101</f>
        <v>0.23691099476439792</v>
      </c>
    </row>
    <row r="108" spans="1:14">
      <c r="A108" s="3757"/>
      <c r="B108" s="3759" t="s">
        <v>2737</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758"/>
      <c r="B109" s="3760"/>
      <c r="C109" s="2315">
        <f>(-0.163*(C108^2)-0.59*C108+7617)*(10^(-4))/C101</f>
        <v>0.39879581151832466</v>
      </c>
      <c r="D109" s="2315">
        <f>(-0.163*(D108^2)-0.59*D108+7617)*(10^(-4))/D101</f>
        <v>0.39879581151832466</v>
      </c>
      <c r="E109" s="2315">
        <f>(-0.161*(E108^2)-7.509*E108+6533)*(10^(-4))/E101</f>
        <v>0.34204188481675396</v>
      </c>
      <c r="F109" s="2315">
        <f>(-0.161*(F108^2)-7.509*F108+6533)*(10^(-4))/F101</f>
        <v>0.34204188481675396</v>
      </c>
      <c r="G109" s="2315">
        <f>(-0.161*(G108^2)-7.509*G108+6533)*(10^(-4))/G101</f>
        <v>0.34204188481675396</v>
      </c>
      <c r="H109" s="2315">
        <f>(-0.161*(H108^2)-7.509*H108+6533)*(10^(-4))/H101</f>
        <v>0.34204188481675396</v>
      </c>
      <c r="I109" s="2315">
        <f>(-0.161*(I108^2)-7.509*I108+6533)*(10^(-4))/I101</f>
        <v>0.34204188481675396</v>
      </c>
      <c r="J109" s="2315">
        <f>(-0.214*(J108^2)-21.991*J108+4665)*(10^(-4))/J101</f>
        <v>0.24424083769633509</v>
      </c>
      <c r="K109" s="2315">
        <f>(-0.214*(K108^2)-21.991*K108+4665)*(10^(-4))/K101</f>
        <v>0.24424083769633509</v>
      </c>
      <c r="L109" s="2315">
        <f>(-0.214*(L108^2)-21.991*L108+4665)*(10^(-4))/L101</f>
        <v>0.24424083769633509</v>
      </c>
      <c r="M109" s="2315">
        <f>(-0.214*(M108^2)-21.991*M108+4665)*(10^(-4))/M101</f>
        <v>0.24424083769633509</v>
      </c>
      <c r="N109" s="2315">
        <f>(-0.214*(N108^2)-21.991*N108+4665)*(10^(-4))/N101</f>
        <v>0.24424083769633509</v>
      </c>
    </row>
    <row r="110" spans="1:14">
      <c r="A110" s="3754" t="s">
        <v>2738</v>
      </c>
      <c r="B110" s="3754"/>
      <c r="C110" s="3754"/>
      <c r="D110" s="3754"/>
      <c r="E110" s="3754"/>
      <c r="F110" s="3754"/>
      <c r="G110" s="3754"/>
      <c r="H110" s="3754"/>
      <c r="I110" s="3754"/>
      <c r="J110" s="3754"/>
      <c r="K110" s="2318"/>
      <c r="L110" s="2318"/>
      <c r="M110" s="2318"/>
      <c r="N110" s="2318"/>
    </row>
    <row r="112" spans="1:14" ht="13.5" thickBot="1"/>
    <row r="113" spans="1:13" ht="25.5" thickBot="1">
      <c r="A113" s="840" t="s">
        <v>2739</v>
      </c>
      <c r="B113" s="1194">
        <f>G3</f>
        <v>1.91</v>
      </c>
      <c r="C113" s="841" t="s">
        <v>2740</v>
      </c>
      <c r="D113" s="842">
        <f>SUMPRODUCT((A115:A118=F113)*(B114:M114=H113)*B115:M118)</f>
        <v>0.85950000000000004</v>
      </c>
      <c r="E113" s="2154" t="s">
        <v>2574</v>
      </c>
      <c r="F113" s="2320" t="str">
        <f>E2</f>
        <v>住宅</v>
      </c>
      <c r="G113" s="2154" t="s">
        <v>2575</v>
      </c>
      <c r="H113" s="2320" t="str">
        <f>G2</f>
        <v>七级</v>
      </c>
      <c r="I113" s="2154"/>
      <c r="J113" s="2321"/>
      <c r="K113" s="2321"/>
      <c r="L113" s="2321"/>
      <c r="M113" s="2321"/>
    </row>
    <row r="114" spans="1:13">
      <c r="A114" s="845"/>
      <c r="B114" s="2322" t="s">
        <v>2741</v>
      </c>
      <c r="C114" s="2322" t="s">
        <v>2742</v>
      </c>
      <c r="D114" s="2322" t="s">
        <v>2743</v>
      </c>
      <c r="E114" s="2323" t="s">
        <v>2744</v>
      </c>
      <c r="F114" s="2323" t="s">
        <v>2745</v>
      </c>
      <c r="G114" s="2323" t="s">
        <v>2746</v>
      </c>
      <c r="H114" s="2324" t="s">
        <v>2747</v>
      </c>
      <c r="I114" s="2324" t="s">
        <v>2748</v>
      </c>
      <c r="J114" s="2325" t="s">
        <v>2749</v>
      </c>
      <c r="K114" s="2325" t="s">
        <v>2750</v>
      </c>
      <c r="L114" s="2325" t="s">
        <v>2751</v>
      </c>
      <c r="M114" s="2326" t="s">
        <v>2752</v>
      </c>
    </row>
    <row r="115" spans="1:13">
      <c r="A115" s="846" t="s">
        <v>2639</v>
      </c>
      <c r="B115" s="847">
        <f>ROUND(0.9335-0.0094*B113,4)</f>
        <v>0.91549999999999998</v>
      </c>
      <c r="C115" s="847">
        <f>B115</f>
        <v>0.91549999999999998</v>
      </c>
      <c r="D115" s="847">
        <f>ROUND(0.8331-0.0109*B113,4)</f>
        <v>0.81230000000000002</v>
      </c>
      <c r="E115" s="847">
        <f>D115</f>
        <v>0.81230000000000002</v>
      </c>
      <c r="F115" s="847">
        <f>E115</f>
        <v>0.81230000000000002</v>
      </c>
      <c r="G115" s="847">
        <f>F115</f>
        <v>0.81230000000000002</v>
      </c>
      <c r="H115" s="847">
        <f>G115</f>
        <v>0.81230000000000002</v>
      </c>
      <c r="I115" s="847">
        <f>ROUND(0.689-0.0155*B113,4)</f>
        <v>0.65939999999999999</v>
      </c>
      <c r="J115" s="847">
        <f t="shared" ref="J115:M118" si="33">I115</f>
        <v>0.65939999999999999</v>
      </c>
      <c r="K115" s="847">
        <f t="shared" si="33"/>
        <v>0.65939999999999999</v>
      </c>
      <c r="L115" s="847">
        <f t="shared" si="33"/>
        <v>0.65939999999999999</v>
      </c>
      <c r="M115" s="848">
        <f t="shared" si="33"/>
        <v>0.65939999999999999</v>
      </c>
    </row>
    <row r="116" spans="1:13">
      <c r="A116" s="846" t="s">
        <v>2640</v>
      </c>
      <c r="B116" s="847">
        <f>ROUND(0.949-0.012*B113,4)</f>
        <v>0.92610000000000003</v>
      </c>
      <c r="C116" s="847">
        <f>B116</f>
        <v>0.92610000000000003</v>
      </c>
      <c r="D116" s="847">
        <f>ROUND(0.8567-0.013*B113,4)</f>
        <v>0.83189999999999997</v>
      </c>
      <c r="E116" s="847">
        <f t="shared" ref="E116:H117" si="34">D116</f>
        <v>0.83189999999999997</v>
      </c>
      <c r="F116" s="847">
        <f t="shared" si="34"/>
        <v>0.83189999999999997</v>
      </c>
      <c r="G116" s="847">
        <f t="shared" si="34"/>
        <v>0.83189999999999997</v>
      </c>
      <c r="H116" s="847">
        <f t="shared" si="34"/>
        <v>0.83189999999999997</v>
      </c>
      <c r="I116" s="847">
        <f>ROUND(0.7694-0.014*B113,4)</f>
        <v>0.74270000000000003</v>
      </c>
      <c r="J116" s="847">
        <f t="shared" si="33"/>
        <v>0.74270000000000003</v>
      </c>
      <c r="K116" s="847">
        <f t="shared" si="33"/>
        <v>0.74270000000000003</v>
      </c>
      <c r="L116" s="847">
        <f t="shared" si="33"/>
        <v>0.74270000000000003</v>
      </c>
      <c r="M116" s="848">
        <f t="shared" si="33"/>
        <v>0.74270000000000003</v>
      </c>
    </row>
    <row r="117" spans="1:13">
      <c r="A117" s="846" t="s">
        <v>2641</v>
      </c>
      <c r="B117" s="847">
        <f>ROUND(0.8808-0.006*B113,4)</f>
        <v>0.86929999999999996</v>
      </c>
      <c r="C117" s="847">
        <f>B117</f>
        <v>0.86929999999999996</v>
      </c>
      <c r="D117" s="847">
        <f>ROUND(0.8748-0.008*B113,4)</f>
        <v>0.85950000000000004</v>
      </c>
      <c r="E117" s="847">
        <f t="shared" si="34"/>
        <v>0.85950000000000004</v>
      </c>
      <c r="F117" s="847">
        <f t="shared" si="34"/>
        <v>0.85950000000000004</v>
      </c>
      <c r="G117" s="847">
        <f t="shared" si="34"/>
        <v>0.85950000000000004</v>
      </c>
      <c r="H117" s="847">
        <f t="shared" si="34"/>
        <v>0.85950000000000004</v>
      </c>
      <c r="I117" s="847">
        <f>ROUND(0.7412-0.0095*B113,4)</f>
        <v>0.72309999999999997</v>
      </c>
      <c r="J117" s="847">
        <f t="shared" si="33"/>
        <v>0.72309999999999997</v>
      </c>
      <c r="K117" s="847">
        <f t="shared" si="33"/>
        <v>0.72309999999999997</v>
      </c>
      <c r="L117" s="847">
        <f t="shared" si="33"/>
        <v>0.72309999999999997</v>
      </c>
      <c r="M117" s="848">
        <f t="shared" si="33"/>
        <v>0.72309999999999997</v>
      </c>
    </row>
    <row r="118" spans="1:13" ht="13.5" thickBot="1">
      <c r="A118" s="669" t="s">
        <v>2642</v>
      </c>
      <c r="B118" s="849">
        <f>ROUND(0.7275-0.01*B113,4)</f>
        <v>0.70840000000000003</v>
      </c>
      <c r="C118" s="849">
        <f>B118</f>
        <v>0.70840000000000003</v>
      </c>
      <c r="D118" s="849">
        <f>ROUND(0.7043-0.012*B113,4)</f>
        <v>0.68140000000000001</v>
      </c>
      <c r="E118" s="849">
        <f>D118</f>
        <v>0.68140000000000001</v>
      </c>
      <c r="F118" s="849">
        <f>E118</f>
        <v>0.68140000000000001</v>
      </c>
      <c r="G118" s="849">
        <f>ROUND(0.6299-0.0122*B113,4)</f>
        <v>0.60660000000000003</v>
      </c>
      <c r="H118" s="849">
        <f>G118</f>
        <v>0.60660000000000003</v>
      </c>
      <c r="I118" s="849">
        <f>ROUND(0.5667-0.0136*B113,4)</f>
        <v>0.54069999999999996</v>
      </c>
      <c r="J118" s="849">
        <f t="shared" si="33"/>
        <v>0.54069999999999996</v>
      </c>
      <c r="K118" s="849">
        <f t="shared" si="33"/>
        <v>0.54069999999999996</v>
      </c>
      <c r="L118" s="849">
        <f t="shared" si="33"/>
        <v>0.54069999999999996</v>
      </c>
      <c r="M118" s="850">
        <f t="shared" si="33"/>
        <v>0.54069999999999996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379" t="str">
        <f>IF(项目基本情况!B9="房地产市场价值","估价结果一览表","结果表-2")</f>
        <v>估价结果一览表</v>
      </c>
      <c r="B1" s="3379"/>
      <c r="C1" s="3379"/>
      <c r="D1" s="3379"/>
      <c r="E1" s="3379"/>
      <c r="F1" s="3379"/>
      <c r="G1" s="3379"/>
      <c r="H1" s="3379"/>
      <c r="I1" s="3379"/>
    </row>
    <row r="2" spans="1:9" ht="30" customHeight="1" thickTop="1">
      <c r="A2" s="3380" t="s">
        <v>1546</v>
      </c>
      <c r="B2" s="3380" t="s">
        <v>1547</v>
      </c>
      <c r="C2" s="3380" t="s">
        <v>1548</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spans="1:9" ht="15">
      <c r="A3" s="3374"/>
      <c r="B3" s="3374"/>
      <c r="C3" s="3374"/>
      <c r="D3" s="961" t="s">
        <v>1543</v>
      </c>
      <c r="E3" s="961" t="s">
        <v>1549</v>
      </c>
      <c r="F3" s="961" t="s">
        <v>1543</v>
      </c>
      <c r="G3" s="961" t="s">
        <v>1544</v>
      </c>
      <c r="H3" s="961" t="s">
        <v>1543</v>
      </c>
      <c r="I3" s="961" t="s">
        <v>1544</v>
      </c>
    </row>
    <row r="4" spans="1:9" ht="15">
      <c r="A4" s="1656" t="str">
        <f>项目基本情况!S2</f>
        <v>北京市房地产</v>
      </c>
      <c r="B4" s="961">
        <f>项目基本情况!C17</f>
        <v>63761.02</v>
      </c>
      <c r="C4" s="961">
        <f>项目基本情况!C18</f>
        <v>25000</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374" t="s">
        <v>1545</v>
      </c>
      <c r="B5" s="3374"/>
      <c r="C5" s="3374"/>
      <c r="D5" s="3375" t="e">
        <f ca="1">结果表!D119</f>
        <v>#REF!</v>
      </c>
      <c r="E5" s="3375"/>
      <c r="F5" s="3375" t="e">
        <f ca="1">结果表!F119</f>
        <v>#REF!</v>
      </c>
      <c r="G5" s="3375"/>
      <c r="H5" s="3375" t="e">
        <f ca="1">结果表!H119</f>
        <v>#REF!</v>
      </c>
      <c r="I5" s="3375"/>
    </row>
    <row r="6" spans="1:9" ht="15.75">
      <c r="A6" s="3373" t="str">
        <f>结果表!A120</f>
        <v/>
      </c>
      <c r="B6" s="3373"/>
      <c r="C6" s="3373"/>
      <c r="D6" s="3373">
        <f>结果表!D120</f>
        <v>0</v>
      </c>
      <c r="E6" s="3373"/>
      <c r="F6" s="3373"/>
      <c r="G6" s="3373"/>
      <c r="H6" s="3373"/>
      <c r="I6" s="3373"/>
    </row>
    <row r="7" spans="1:9" ht="15">
      <c r="A7" s="3374" t="s">
        <v>1545</v>
      </c>
      <c r="B7" s="3374"/>
      <c r="C7" s="3374"/>
      <c r="D7" s="3376" t="str">
        <f>结果表!D121</f>
        <v>零元整</v>
      </c>
      <c r="E7" s="3377"/>
      <c r="F7" s="3377"/>
      <c r="G7" s="3377"/>
      <c r="H7" s="3377"/>
      <c r="I7" s="3378"/>
    </row>
    <row r="8" spans="1:9" ht="15.75">
      <c r="A8" s="3373" t="str">
        <f>结果表!A122</f>
        <v/>
      </c>
      <c r="B8" s="3373"/>
      <c r="C8" s="3373"/>
      <c r="D8" s="3373" t="e">
        <f ca="1">结果表!D122</f>
        <v>#REF!</v>
      </c>
      <c r="E8" s="3373"/>
      <c r="F8" s="3373"/>
      <c r="G8" s="3373"/>
      <c r="H8" s="3373"/>
      <c r="I8" s="3373"/>
    </row>
    <row r="9" spans="1:9" ht="15">
      <c r="A9" s="3374" t="s">
        <v>1545</v>
      </c>
      <c r="B9" s="3374"/>
      <c r="C9" s="3374"/>
      <c r="D9" s="3375" t="e">
        <f ca="1">结果表!D123</f>
        <v>#REF!</v>
      </c>
      <c r="E9" s="3375"/>
      <c r="F9" s="3375"/>
      <c r="G9" s="3375"/>
      <c r="H9" s="3375"/>
      <c r="I9" s="3375"/>
    </row>
    <row r="10" spans="1:9" ht="15.75">
      <c r="A10" s="3373" t="str">
        <f>结果表!A124</f>
        <v/>
      </c>
      <c r="B10" s="3373"/>
      <c r="C10" s="3373"/>
      <c r="D10" s="3373" t="str">
        <f>结果表!D124</f>
        <v>——</v>
      </c>
      <c r="E10" s="3373"/>
      <c r="F10" s="3373"/>
      <c r="G10" s="3373"/>
      <c r="H10" s="3373"/>
      <c r="I10" s="3373"/>
    </row>
    <row r="11" spans="1:9" ht="15">
      <c r="A11" s="3374" t="s">
        <v>1545</v>
      </c>
      <c r="B11" s="3374"/>
      <c r="C11" s="3374"/>
      <c r="D11" s="3375" t="e">
        <f>结果表!D125</f>
        <v>#VALUE!</v>
      </c>
      <c r="E11" s="3375"/>
      <c r="F11" s="3375"/>
      <c r="G11" s="3375"/>
      <c r="H11" s="3375"/>
      <c r="I11" s="3375"/>
    </row>
    <row r="12" spans="1:9" ht="15.75">
      <c r="A12" s="3373" t="str">
        <f>结果表!A126</f>
        <v/>
      </c>
      <c r="B12" s="3373"/>
      <c r="C12" s="3373"/>
      <c r="D12" s="3373" t="str">
        <f>结果表!D126</f>
        <v>——</v>
      </c>
      <c r="E12" s="3373"/>
      <c r="F12" s="3373"/>
      <c r="G12" s="3373"/>
      <c r="H12" s="3373"/>
      <c r="I12" s="3373"/>
    </row>
    <row r="13" spans="1:9" ht="15.75" thickBot="1">
      <c r="A13" s="3370" t="s">
        <v>1545</v>
      </c>
      <c r="B13" s="3370"/>
      <c r="C13" s="3370"/>
      <c r="D13" s="3371" t="e">
        <f>结果表!D127</f>
        <v>#VALUE!</v>
      </c>
      <c r="E13" s="3371"/>
      <c r="F13" s="3371"/>
      <c r="G13" s="3371"/>
      <c r="H13" s="3371"/>
      <c r="I13" s="3371"/>
    </row>
    <row r="14" spans="1:9" ht="15" thickTop="1">
      <c r="A14" s="3372" t="s">
        <v>1550</v>
      </c>
      <c r="B14" s="3372"/>
      <c r="C14" s="3372"/>
      <c r="D14" s="3372"/>
      <c r="E14" s="3372"/>
      <c r="F14" s="3372"/>
      <c r="G14" s="3372"/>
      <c r="H14" s="3372"/>
      <c r="I14" s="3372"/>
    </row>
    <row r="16" spans="1:9" ht="18.75">
      <c r="A16" s="1657" t="s">
        <v>1533</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387" t="s">
        <v>1567</v>
      </c>
      <c r="B1" s="3387"/>
      <c r="C1" s="3387"/>
      <c r="D1" s="3387"/>
    </row>
    <row r="2" spans="1:4" ht="18">
      <c r="A2" s="3388" t="s">
        <v>1551</v>
      </c>
      <c r="B2" s="3388"/>
      <c r="C2" s="3388"/>
      <c r="D2" s="3388"/>
    </row>
    <row r="3" spans="1:4" ht="18.75">
      <c r="A3" s="1660" t="s">
        <v>1552</v>
      </c>
      <c r="B3" s="1660" t="s">
        <v>1553</v>
      </c>
      <c r="C3" s="1660" t="s">
        <v>1554</v>
      </c>
      <c r="D3" s="1660" t="s">
        <v>1555</v>
      </c>
    </row>
    <row r="4" spans="1:4" ht="56.25" customHeight="1">
      <c r="A4" s="1661" t="str">
        <f>项目基本情况!B4</f>
        <v>陈颖</v>
      </c>
      <c r="B4" s="1662">
        <f ca="1">项目基本情况!C4</f>
        <v>0</v>
      </c>
      <c r="C4" s="1663"/>
      <c r="D4" s="1664" t="s">
        <v>1556</v>
      </c>
    </row>
    <row r="5" spans="1:4" ht="56.25" customHeight="1">
      <c r="A5" s="1661" t="str">
        <f>项目基本情况!D4</f>
        <v>叶凌</v>
      </c>
      <c r="B5" s="1662">
        <f ca="1">项目基本情况!E4</f>
        <v>1119970111</v>
      </c>
      <c r="C5" s="1665"/>
      <c r="D5" s="1664" t="s">
        <v>1556</v>
      </c>
    </row>
    <row r="6" spans="1:4" ht="18">
      <c r="A6" s="3388" t="s">
        <v>1557</v>
      </c>
      <c r="B6" s="3388"/>
      <c r="C6" s="3388"/>
      <c r="D6" s="3388"/>
    </row>
    <row r="7" spans="1:4" ht="18.75">
      <c r="A7" s="1660" t="s">
        <v>1552</v>
      </c>
      <c r="B7" s="1662" t="s">
        <v>1558</v>
      </c>
      <c r="C7" s="1660" t="s">
        <v>1554</v>
      </c>
      <c r="D7" s="1660" t="s">
        <v>1555</v>
      </c>
    </row>
    <row r="8" spans="1:4" ht="56.25" customHeight="1">
      <c r="A8" s="1666" t="s">
        <v>837</v>
      </c>
      <c r="B8" s="1666" t="s">
        <v>1</v>
      </c>
      <c r="C8" s="1663"/>
      <c r="D8" s="1664" t="s">
        <v>1556</v>
      </c>
    </row>
    <row r="9" spans="1:4">
      <c r="A9" s="682"/>
      <c r="B9" s="682"/>
      <c r="C9" s="682"/>
      <c r="D9" s="682"/>
    </row>
    <row r="10" spans="1:4" ht="18.75">
      <c r="A10" s="1667" t="s">
        <v>1559</v>
      </c>
      <c r="B10" s="682"/>
      <c r="C10" s="682"/>
      <c r="D10" s="682"/>
    </row>
    <row r="11" spans="1:4" ht="30" customHeight="1">
      <c r="A11" s="3389" t="s">
        <v>1560</v>
      </c>
      <c r="B11" s="3381"/>
      <c r="C11" s="3381"/>
      <c r="D11" s="3381"/>
    </row>
    <row r="12" spans="1:4" ht="15.75">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6"/>
      <c r="C12" s="3386"/>
      <c r="D12" s="3386"/>
    </row>
    <row r="13" spans="1:4" ht="30" customHeight="1">
      <c r="A13" s="3381" t="str">
        <f>IF(项目基本情况!B8="抵押","3.抵押双方在办理抵押登记手续时，应使用本公司出具的正式《房地产评估报告》，特提醒报告使用者注意。","——")</f>
        <v>——</v>
      </c>
      <c r="B13" s="3386"/>
      <c r="C13" s="3386"/>
      <c r="D13" s="3386"/>
    </row>
    <row r="14" spans="1:4" ht="15.75" customHeight="1">
      <c r="A14" s="3381" t="str">
        <f>IF(项目基本情况!B8="抵押","4.本次评估估价师所知悉的法定优先受偿款情况说明如下：","——")</f>
        <v>——</v>
      </c>
      <c r="B14" s="3386"/>
      <c r="C14" s="3386"/>
      <c r="D14" s="3386"/>
    </row>
    <row r="15" spans="1:4" ht="42" customHeight="1">
      <c r="A15" s="3381" t="str">
        <f>IF(项目基本情况!B8="抵押","（1）"&amp;CONCATENATE(项目基本情况!L20,项目基本情况!L21,项目基本情况!L22),"——")</f>
        <v>——</v>
      </c>
      <c r="B15" s="3381"/>
      <c r="C15" s="3381"/>
      <c r="D15" s="3381"/>
    </row>
    <row r="16" spans="1:4" ht="30" customHeight="1">
      <c r="A16" s="3383" t="s">
        <v>1561</v>
      </c>
      <c r="B16" s="3383"/>
      <c r="C16" s="3383"/>
      <c r="D16" s="3383"/>
    </row>
    <row r="17" spans="1:4" ht="144" customHeight="1">
      <c r="A17" s="3383" t="s">
        <v>1562</v>
      </c>
      <c r="B17" s="3383"/>
      <c r="C17" s="3383"/>
      <c r="D17" s="3383"/>
    </row>
    <row r="18" spans="1:4" ht="15.75" customHeight="1">
      <c r="A18" s="3381" t="str">
        <f>IF(项目基本情况!B8="抵押",结果表!K120,"——")</f>
        <v>——</v>
      </c>
      <c r="B18" s="3381"/>
      <c r="C18" s="3381"/>
      <c r="D18" s="3381"/>
    </row>
    <row r="19" spans="1:4" ht="46.5" customHeight="1">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57.75" customHeight="1">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spans="1:4" ht="57.75" customHeight="1">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spans="1:4" ht="18.75" customHeight="1">
      <c r="A22" s="3385" t="s">
        <v>1563</v>
      </c>
      <c r="B22" s="3385"/>
      <c r="C22" s="3385"/>
      <c r="D22" s="3385"/>
    </row>
    <row r="23" spans="1:4">
      <c r="A23" s="1668"/>
      <c r="B23" s="1640"/>
      <c r="C23" s="1640"/>
      <c r="D23" s="1640"/>
    </row>
    <row r="24" spans="1:4">
      <c r="A24" s="1668"/>
      <c r="B24" s="1640"/>
      <c r="C24" s="1640"/>
      <c r="D24" s="1640"/>
    </row>
    <row r="25" spans="1:4" ht="18.75">
      <c r="A25" s="1669" t="s">
        <v>1564</v>
      </c>
    </row>
    <row r="26" spans="1:4" ht="18">
      <c r="A26" s="1638"/>
    </row>
    <row r="27" spans="1:4" ht="18.75">
      <c r="A27" s="1638" t="s">
        <v>1565</v>
      </c>
    </row>
    <row r="30" spans="1:4" ht="18.75">
      <c r="D30" s="1669" t="s">
        <v>1566</v>
      </c>
    </row>
    <row r="31" spans="1:4" ht="13.5" customHeight="1">
      <c r="C31" s="3382">
        <v>42551</v>
      </c>
      <c r="D31" s="33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1568</v>
      </c>
    </row>
    <row r="3" spans="1:7">
      <c r="A3" s="1674" t="s">
        <v>82</v>
      </c>
      <c r="B3" s="1658" t="s">
        <v>1569</v>
      </c>
      <c r="G3" s="1675"/>
    </row>
    <row r="4" spans="1:7">
      <c r="G4" s="1675"/>
    </row>
    <row r="5" spans="1:7">
      <c r="A5" s="1677" t="s">
        <v>73</v>
      </c>
      <c r="B5" s="1658" t="s">
        <v>1570</v>
      </c>
      <c r="G5" s="1675"/>
    </row>
    <row r="6" spans="1:7">
      <c r="G6" s="1675"/>
    </row>
    <row r="7" spans="1:7">
      <c r="A7" s="1678" t="s">
        <v>135</v>
      </c>
      <c r="B7" s="1658" t="s">
        <v>1571</v>
      </c>
      <c r="G7" s="1675"/>
    </row>
    <row r="8" spans="1:7">
      <c r="G8" s="1675"/>
    </row>
    <row r="9" spans="1:7">
      <c r="A9" s="1679" t="s">
        <v>74</v>
      </c>
      <c r="B9" s="1658" t="s">
        <v>1572</v>
      </c>
    </row>
    <row r="11" spans="1:7">
      <c r="A11" s="1680" t="s">
        <v>75</v>
      </c>
      <c r="B11" s="1681" t="s">
        <v>72</v>
      </c>
    </row>
    <row r="13" spans="1:7">
      <c r="A13" s="1682" t="s">
        <v>1573</v>
      </c>
    </row>
    <row r="15" spans="1:7" ht="13.5">
      <c r="A15" s="3395" t="s">
        <v>1574</v>
      </c>
      <c r="B15" s="3390" t="s">
        <v>136</v>
      </c>
      <c r="C15" s="3391"/>
    </row>
    <row r="16" spans="1:7" ht="13.5">
      <c r="A16" s="3396"/>
      <c r="B16" s="3390" t="s">
        <v>69</v>
      </c>
      <c r="C16" s="3391"/>
    </row>
    <row r="17" spans="1:3" ht="13.5">
      <c r="A17" s="3396"/>
      <c r="B17" s="3393" t="s">
        <v>1575</v>
      </c>
      <c r="C17" s="1683" t="s">
        <v>1574</v>
      </c>
    </row>
    <row r="18" spans="1:3" ht="13.5">
      <c r="A18" s="3396"/>
      <c r="B18" s="3393"/>
      <c r="C18" s="1683" t="s">
        <v>1576</v>
      </c>
    </row>
    <row r="19" spans="1:3" ht="13.5">
      <c r="A19" s="3396"/>
      <c r="B19" s="3393"/>
      <c r="C19" s="1683" t="s">
        <v>1577</v>
      </c>
    </row>
    <row r="20" spans="1:3" ht="13.5">
      <c r="A20" s="3397"/>
      <c r="B20" s="3392" t="s">
        <v>1578</v>
      </c>
      <c r="C20" s="3391"/>
    </row>
    <row r="21" spans="1:3" ht="13.5">
      <c r="A21" s="1684" t="s">
        <v>1579</v>
      </c>
      <c r="B21" s="1685"/>
      <c r="C21" s="1686"/>
    </row>
    <row r="22" spans="1:3" ht="13.5">
      <c r="A22" s="3394" t="s">
        <v>1580</v>
      </c>
      <c r="B22" s="3392" t="s">
        <v>1581</v>
      </c>
      <c r="C22" s="3391"/>
    </row>
    <row r="23" spans="1:3" ht="13.5">
      <c r="A23" s="3394"/>
      <c r="B23" s="3392" t="s">
        <v>1582</v>
      </c>
      <c r="C23" s="3391"/>
    </row>
    <row r="24" spans="1:3" ht="13.5">
      <c r="A24" s="3394"/>
      <c r="B24" s="3392" t="s">
        <v>1583</v>
      </c>
      <c r="C24" s="3391"/>
    </row>
    <row r="25" spans="1:3" ht="13.5">
      <c r="A25" s="3394"/>
      <c r="B25" s="3393" t="s">
        <v>1584</v>
      </c>
      <c r="C25" s="1683" t="s">
        <v>1585</v>
      </c>
    </row>
    <row r="26" spans="1:3" ht="13.5">
      <c r="A26" s="3394"/>
      <c r="B26" s="3393"/>
      <c r="C26" s="1683" t="s">
        <v>1586</v>
      </c>
    </row>
    <row r="27" spans="1:3" ht="13.5">
      <c r="A27" s="3394"/>
      <c r="B27" s="3393"/>
      <c r="C27" s="1683" t="s">
        <v>1587</v>
      </c>
    </row>
    <row r="28" spans="1:3" ht="13.5">
      <c r="A28" s="3394"/>
      <c r="B28" s="3393"/>
      <c r="C28" s="1683" t="s">
        <v>1588</v>
      </c>
    </row>
    <row r="29" spans="1:3" ht="13.5">
      <c r="A29" s="3394"/>
      <c r="B29" s="3393"/>
      <c r="C29" s="1683" t="s">
        <v>1589</v>
      </c>
    </row>
    <row r="30" spans="1:3" ht="13.5">
      <c r="A30" s="3394"/>
      <c r="B30" s="3393"/>
      <c r="C30" s="1683" t="s">
        <v>1590</v>
      </c>
    </row>
    <row r="31" spans="1:3" ht="13.5">
      <c r="A31" s="3394"/>
      <c r="B31" s="3393"/>
      <c r="C31" s="1683" t="s">
        <v>1591</v>
      </c>
    </row>
    <row r="32" spans="1:3" ht="13.5">
      <c r="A32" s="3394"/>
      <c r="B32" s="3393"/>
      <c r="C32" s="1683" t="s">
        <v>1592</v>
      </c>
    </row>
    <row r="33" spans="1:3" ht="13.5">
      <c r="A33" s="3394"/>
      <c r="B33" s="3393"/>
      <c r="C33" s="1683" t="s">
        <v>1593</v>
      </c>
    </row>
    <row r="34" spans="1:3">
      <c r="A34" s="1687" t="s">
        <v>76</v>
      </c>
    </row>
    <row r="37" spans="1:3">
      <c r="A37" s="1687" t="s">
        <v>1594</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44624</v>
      </c>
      <c r="C2" s="2529" t="s">
        <v>2821</v>
      </c>
      <c r="D2" s="2529"/>
      <c r="E2" s="2529"/>
      <c r="F2" s="2525"/>
      <c r="G2" s="2525"/>
      <c r="H2" s="2525"/>
    </row>
    <row r="3" spans="1:8" ht="24" customHeight="1">
      <c r="A3" s="2530" t="s">
        <v>2822</v>
      </c>
      <c r="B3" s="2531" t="s">
        <v>2823</v>
      </c>
      <c r="C3" s="2531" t="s">
        <v>2824</v>
      </c>
      <c r="D3" s="2532" t="s">
        <v>2825</v>
      </c>
      <c r="E3" s="2533" t="s">
        <v>2826</v>
      </c>
      <c r="F3" s="1440" t="s">
        <v>2827</v>
      </c>
      <c r="G3" s="2531" t="s">
        <v>2824</v>
      </c>
      <c r="H3" s="2532" t="s">
        <v>2828</v>
      </c>
    </row>
    <row r="4" spans="1:8" ht="24" customHeight="1">
      <c r="A4" s="1440" t="s">
        <v>2829</v>
      </c>
      <c r="B4" s="1440">
        <f ca="1">IF(C4&lt;B2,"已过期",1119970066)</f>
        <v>1119970066</v>
      </c>
      <c r="C4" s="2534">
        <v>44876</v>
      </c>
      <c r="D4" s="2535" t="str">
        <f ca="1">A4&amp;"（注册号："&amp;B4&amp;"）"</f>
        <v>梁津（注册号：1119970066）</v>
      </c>
      <c r="E4" s="2536" t="s">
        <v>2829</v>
      </c>
      <c r="F4" s="1440">
        <f ca="1">IF(G4&lt;B2,"已过期",96010014)</f>
        <v>96010014</v>
      </c>
      <c r="G4" s="2537">
        <v>47118</v>
      </c>
      <c r="H4" s="2538" t="str">
        <f ca="1">E4&amp;"（注册号："&amp;F4&amp;"）"</f>
        <v>梁津（注册号：96010014）</v>
      </c>
    </row>
    <row r="5" spans="1:8" ht="24" customHeight="1">
      <c r="A5" s="1440" t="s">
        <v>2830</v>
      </c>
      <c r="B5" s="1440">
        <f ca="1">IF(C5&lt;B2,"已过期",1119970111)</f>
        <v>1119970111</v>
      </c>
      <c r="C5" s="2534">
        <v>44876</v>
      </c>
      <c r="D5" s="2535" t="str">
        <f t="shared" ref="D5:D15" ca="1" si="0">A5&amp;"（注册号："&amp;B5&amp;"）"</f>
        <v>叶凌（注册号：1119970111）</v>
      </c>
      <c r="E5" s="2536" t="s">
        <v>2830</v>
      </c>
      <c r="F5" s="1440">
        <f ca="1">IF(G5&lt;B2,"已过期",94010078)</f>
        <v>94010078</v>
      </c>
      <c r="G5" s="2537">
        <v>46387</v>
      </c>
      <c r="H5" s="2538" t="str">
        <f t="shared" ref="H5:H16" ca="1" si="1">E5&amp;"（注册号："&amp;F5&amp;"）"</f>
        <v>叶凌（注册号：94010078）</v>
      </c>
    </row>
    <row r="6" spans="1:8" ht="24" customHeight="1">
      <c r="A6" s="1440" t="s">
        <v>2831</v>
      </c>
      <c r="B6" s="1440" t="str">
        <f ca="1">IF(C6&lt;B2,"已过期",1120050019)</f>
        <v>已过期</v>
      </c>
      <c r="C6" s="2534">
        <v>44395</v>
      </c>
      <c r="D6" s="2535" t="str">
        <f t="shared" ca="1" si="0"/>
        <v>王鹏（注册号：已过期）</v>
      </c>
      <c r="E6" s="2536" t="s">
        <v>2831</v>
      </c>
      <c r="F6" s="1440">
        <f ca="1">IF(G6&lt;B2,"已过期",2002110030)</f>
        <v>2002110030</v>
      </c>
      <c r="G6" s="2537">
        <v>46387</v>
      </c>
      <c r="H6" s="2538" t="str">
        <f t="shared" ca="1" si="1"/>
        <v>王鹏（注册号：2002110030）</v>
      </c>
    </row>
    <row r="7" spans="1:8" ht="24" customHeight="1">
      <c r="A7" s="1440" t="s">
        <v>2832</v>
      </c>
      <c r="B7" s="1440">
        <f ca="1">IF(C7&lt;B2,"已过期",1120000080)</f>
        <v>1120000080</v>
      </c>
      <c r="C7" s="2534">
        <v>44876</v>
      </c>
      <c r="D7" s="2535" t="str">
        <f t="shared" ca="1" si="0"/>
        <v>欧红伟（注册号：1120000080）</v>
      </c>
      <c r="E7" s="2536" t="s">
        <v>2832</v>
      </c>
      <c r="F7" s="1440">
        <f ca="1">IF(G7&lt;B2,"已过期",2000110082)</f>
        <v>2000110082</v>
      </c>
      <c r="G7" s="2537">
        <v>46387</v>
      </c>
      <c r="H7" s="2538" t="str">
        <f t="shared" ca="1" si="1"/>
        <v>欧红伟（注册号：2000110082）</v>
      </c>
    </row>
    <row r="8" spans="1:8" ht="24" customHeight="1">
      <c r="A8" s="1440" t="s">
        <v>2833</v>
      </c>
      <c r="B8" s="1440">
        <f ca="1">IF(C8&lt;B2,"已过期",1419970001)</f>
        <v>1419970001</v>
      </c>
      <c r="C8" s="2534">
        <v>44899</v>
      </c>
      <c r="D8" s="2535" t="str">
        <f t="shared" ca="1" si="0"/>
        <v>吴薇（注册号：1419970001）</v>
      </c>
      <c r="E8" s="2536" t="s">
        <v>2833</v>
      </c>
      <c r="F8" s="1440">
        <f ca="1">IF(G8&lt;B2,"已过期",2002110125)</f>
        <v>2002110125</v>
      </c>
      <c r="G8" s="2537">
        <v>47118</v>
      </c>
      <c r="H8" s="2538" t="str">
        <f t="shared" ca="1" si="1"/>
        <v>吴薇（注册号：2002110125）</v>
      </c>
    </row>
    <row r="9" spans="1:8" ht="24" customHeight="1">
      <c r="A9" s="1440" t="s">
        <v>2834</v>
      </c>
      <c r="B9" s="1440" t="str">
        <f ca="1">IF(C9&lt;B2,"已过期",1120060040)</f>
        <v>已过期</v>
      </c>
      <c r="C9" s="2539">
        <v>44554</v>
      </c>
      <c r="D9" s="2535" t="str">
        <f t="shared" ca="1" si="0"/>
        <v>陈颖（注册号：已过期）</v>
      </c>
      <c r="E9" s="2536" t="s">
        <v>2834</v>
      </c>
      <c r="F9" s="1440">
        <f ca="1">IF(G9&lt;B2,"已过期",2004110096)</f>
        <v>2004110096</v>
      </c>
      <c r="G9" s="2537">
        <v>47118</v>
      </c>
      <c r="H9" s="2538" t="str">
        <f t="shared" ca="1" si="1"/>
        <v>陈颖（注册号：2004110096）</v>
      </c>
    </row>
    <row r="10" spans="1:8" ht="24" customHeight="1">
      <c r="A10" s="1440" t="s">
        <v>2835</v>
      </c>
      <c r="B10" s="1440">
        <f ca="1">IF(C10&lt;B2,"已过期",1120100036)</f>
        <v>1120100036</v>
      </c>
      <c r="C10" s="2539">
        <v>44675</v>
      </c>
      <c r="D10" s="2535" t="str">
        <f t="shared" ca="1" si="0"/>
        <v>崔锴（注册号：1120100036）</v>
      </c>
      <c r="E10" s="2536" t="s">
        <v>2835</v>
      </c>
      <c r="F10" s="1440">
        <f ca="1">IF(G10&lt;B2,"已过期",2010110070)</f>
        <v>2010110070</v>
      </c>
      <c r="G10" s="2537">
        <v>47907</v>
      </c>
      <c r="H10" s="2538" t="str">
        <f t="shared" ca="1" si="1"/>
        <v>崔锴（注册号：2010110070）</v>
      </c>
    </row>
    <row r="11" spans="1:8" ht="24" customHeight="1">
      <c r="A11" s="1440" t="s">
        <v>2836</v>
      </c>
      <c r="B11" s="1440">
        <f ca="1">IF(C11&lt;B2,"已过期",1120070131)</f>
        <v>1120070131</v>
      </c>
      <c r="C11" s="2534">
        <v>44849</v>
      </c>
      <c r="D11" s="2535" t="str">
        <f t="shared" ca="1" si="0"/>
        <v>郑燚（注册号：1120070131）</v>
      </c>
      <c r="E11" s="2536" t="s">
        <v>2836</v>
      </c>
      <c r="F11" s="1440">
        <f ca="1">IF(G11&lt;B2,"已过期",2014110011)</f>
        <v>2014110011</v>
      </c>
      <c r="G11" s="2537">
        <v>49302</v>
      </c>
      <c r="H11" s="2538" t="str">
        <f t="shared" ca="1" si="1"/>
        <v>郑燚（注册号：2014110011）</v>
      </c>
    </row>
    <row r="12" spans="1:8" ht="24" customHeight="1">
      <c r="A12" s="1440" t="s">
        <v>2837</v>
      </c>
      <c r="B12" s="1440">
        <f ca="1">IF(C12&lt;B2,"已过期",1120040230)</f>
        <v>1120040230</v>
      </c>
      <c r="C12" s="2539">
        <v>44864</v>
      </c>
      <c r="D12" s="2535" t="str">
        <f t="shared" ca="1" si="0"/>
        <v>苏海（注册号：1120040230）</v>
      </c>
      <c r="E12" s="2536" t="s">
        <v>2837</v>
      </c>
      <c r="F12" s="1440">
        <f ca="1">IF(G12&lt;B2,"已过期",98030020)</f>
        <v>98030020</v>
      </c>
      <c r="G12" s="2537">
        <v>47118</v>
      </c>
      <c r="H12" s="2538" t="str">
        <f t="shared" ca="1" si="1"/>
        <v>苏海（注册号：98030020）</v>
      </c>
    </row>
    <row r="13" spans="1:8" ht="24" customHeight="1">
      <c r="A13" s="1440" t="s">
        <v>2838</v>
      </c>
      <c r="B13" s="1440" t="str">
        <f ca="1">IF(C13&lt;B2,"已过期",1120020033)</f>
        <v>已过期</v>
      </c>
      <c r="C13" s="2534">
        <v>44339</v>
      </c>
      <c r="D13" s="2535" t="str">
        <f t="shared" ca="1" si="0"/>
        <v>刘敬东（注册号：已过期）</v>
      </c>
      <c r="E13" s="2536" t="s">
        <v>2838</v>
      </c>
      <c r="F13" s="1440">
        <f ca="1">IF(G13&lt;B2,"已过期",2000110137)</f>
        <v>2000110137</v>
      </c>
      <c r="G13" s="2537">
        <v>46387</v>
      </c>
      <c r="H13" s="2538" t="str">
        <f t="shared" ca="1" si="1"/>
        <v>刘敬东（注册号：2000110137）</v>
      </c>
    </row>
    <row r="14" spans="1:8" ht="24" customHeight="1">
      <c r="A14" s="1440" t="s">
        <v>2839</v>
      </c>
      <c r="B14" s="1440">
        <f ca="1">IF(C14&lt;B2,"已过期",1119980106)</f>
        <v>1119980106</v>
      </c>
      <c r="C14" s="2539">
        <v>44969</v>
      </c>
      <c r="D14" s="2535" t="str">
        <f t="shared" ca="1" si="0"/>
        <v>刘俊财（注册号：1119980106）</v>
      </c>
      <c r="E14" s="2536" t="s">
        <v>2839</v>
      </c>
      <c r="F14" s="1440">
        <f ca="1">IF(G14&lt;B2,"已过期",96010063)</f>
        <v>96010063</v>
      </c>
      <c r="G14" s="2537">
        <v>47483</v>
      </c>
      <c r="H14" s="2538" t="str">
        <f t="shared" ca="1" si="1"/>
        <v>刘俊财（注册号：96010063）</v>
      </c>
    </row>
    <row r="15" spans="1:8" ht="24" customHeight="1">
      <c r="A15" s="1440"/>
      <c r="B15" s="1440"/>
      <c r="C15" s="2539"/>
      <c r="D15" s="2535" t="str">
        <f t="shared" si="0"/>
        <v>（注册号：）</v>
      </c>
      <c r="E15" s="2536" t="s">
        <v>2840</v>
      </c>
      <c r="F15" s="1440">
        <f ca="1">IF(G15&lt;B2,"已过期",2011110090)</f>
        <v>2011110090</v>
      </c>
      <c r="G15" s="2537">
        <v>48302</v>
      </c>
      <c r="H15" s="2538" t="str">
        <f t="shared" ca="1" si="1"/>
        <v>赵雯（注册号：2011110090）</v>
      </c>
    </row>
    <row r="16" spans="1:8" s="2541" customFormat="1" ht="24" customHeight="1">
      <c r="A16" s="1440"/>
      <c r="B16" s="1440"/>
      <c r="C16" s="1440"/>
      <c r="D16" s="2535" t="str">
        <f>A16&amp;"（注册号："&amp;B16&amp;"）"</f>
        <v>（注册号：）</v>
      </c>
      <c r="E16" s="2536"/>
      <c r="F16" s="1440"/>
      <c r="G16" s="1440"/>
      <c r="H16" s="2540" t="str">
        <f t="shared" si="1"/>
        <v>（注册号：）</v>
      </c>
    </row>
    <row r="17" spans="1:8" ht="24" customHeight="1">
      <c r="A17" s="3398" t="s">
        <v>2841</v>
      </c>
      <c r="B17" s="3398"/>
      <c r="C17" s="3398"/>
      <c r="D17" s="3398"/>
      <c r="E17" s="3398"/>
      <c r="F17" s="3398"/>
      <c r="G17" s="3398"/>
      <c r="H17" s="3398"/>
    </row>
    <row r="18" spans="1:8" ht="24" customHeight="1">
      <c r="A18" s="3399" t="s">
        <v>2842</v>
      </c>
      <c r="B18" s="3399"/>
      <c r="C18" s="3399"/>
      <c r="D18" s="2532"/>
      <c r="E18" s="3400" t="s">
        <v>2843</v>
      </c>
      <c r="F18" s="3399"/>
      <c r="G18" s="3399"/>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基准地价修正</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2022-03-04T01:34:01Z</dcterms:modified>
</cp:coreProperties>
</file>