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1\"/>
    </mc:Choice>
  </mc:AlternateContent>
  <xr:revisionPtr revIDLastSave="0" documentId="13_ncr:1_{C47F8445-2EBE-4B2E-BD94-E5D9327F8FE2}" xr6:coauthVersionLast="45" xr6:coauthVersionMax="45" xr10:uidLastSave="{00000000-0000-0000-0000-000000000000}"/>
  <bookViews>
    <workbookView xWindow="225" yWindow="180" windowWidth="18465" windowHeight="10785"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数据-汇总表" sheetId="6" r:id="rId16"/>
    <sheet name="估价对象房地状况" sheetId="20" state="hidden" r:id="rId17"/>
    <sheet name="结果汇总表" sheetId="81" state="hidden" r:id="rId18"/>
    <sheet name="面积表" sheetId="78" r:id="rId19"/>
    <sheet name="结果汇总表1" sheetId="82"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 i="82" l="1"/>
  <c r="I11" i="82"/>
  <c r="I4" i="82"/>
  <c r="I3" i="82"/>
  <c r="J4" i="82" l="1"/>
  <c r="J3" i="82"/>
  <c r="K4" i="82" l="1"/>
  <c r="J12" i="82"/>
  <c r="K3" i="82"/>
  <c r="J11" i="82"/>
  <c r="F38" i="68" l="1"/>
  <c r="O6" i="71" l="1"/>
  <c r="P6" i="71"/>
  <c r="Q6" i="71"/>
  <c r="D13" i="85" l="1"/>
  <c r="G17" i="85"/>
  <c r="C16" i="85"/>
  <c r="C15" i="85"/>
  <c r="C14" i="85"/>
  <c r="E12" i="85"/>
  <c r="D12" i="85"/>
  <c r="C12" i="85" s="1"/>
  <c r="C9" i="85"/>
  <c r="F17" i="85"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I7" i="82"/>
  <c r="J7" i="82" s="1"/>
  <c r="M32" i="43"/>
  <c r="B43" i="78" l="1"/>
  <c r="I20" i="78"/>
  <c r="G41" i="43" l="1"/>
  <c r="H20" i="78"/>
  <c r="C14" i="74" l="1"/>
  <c r="B59" i="1"/>
  <c r="I38" i="39" l="1"/>
  <c r="G38" i="39"/>
  <c r="E38" i="39"/>
  <c r="Q30" i="80"/>
  <c r="Q22" i="80"/>
  <c r="Q24" i="80"/>
  <c r="G7" i="39" l="1"/>
  <c r="I5" i="39"/>
  <c r="G5" i="39"/>
  <c r="E5" i="39"/>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F7" i="81"/>
  <c r="M7" i="81" s="1"/>
  <c r="E7" i="81"/>
  <c r="G7" i="81" s="1"/>
  <c r="F6" i="81"/>
  <c r="M6" i="81" s="1"/>
  <c r="E6" i="81"/>
  <c r="G6" i="81" s="1"/>
  <c r="F5" i="81"/>
  <c r="M5" i="81" s="1"/>
  <c r="E5" i="81"/>
  <c r="G5" i="81" s="1"/>
  <c r="G3" i="81" s="1"/>
  <c r="M4" i="81"/>
  <c r="N3" i="81"/>
  <c r="E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H16" i="81" l="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F19" i="81"/>
  <c r="I19" i="81" s="1"/>
  <c r="H23" i="81"/>
  <c r="H25" i="81" s="1"/>
  <c r="M17" i="81"/>
  <c r="F16" i="81"/>
  <c r="F22" i="81"/>
  <c r="I22" i="81" s="1"/>
  <c r="G22" i="81"/>
  <c r="I9" i="81"/>
  <c r="M9" i="81"/>
  <c r="G20" i="81" l="1"/>
  <c r="E20" i="81" s="1"/>
  <c r="N9" i="81"/>
  <c r="M16" i="81"/>
  <c r="F15" i="81"/>
  <c r="E23" i="81" l="1"/>
  <c r="F23" i="81" s="1"/>
  <c r="I23" i="81" s="1"/>
  <c r="I15" i="81"/>
  <c r="M15" i="81"/>
  <c r="G23" i="81"/>
  <c r="G25" i="81"/>
  <c r="F25" i="81" l="1"/>
  <c r="N15" i="81"/>
  <c r="M19" i="81"/>
  <c r="N19" i="81" s="1"/>
  <c r="M22" i="81"/>
  <c r="N22" i="81" s="1"/>
  <c r="M20" i="81"/>
  <c r="N20" i="81" s="1"/>
  <c r="E25" i="81"/>
  <c r="E26" i="81" s="1"/>
  <c r="M23" i="81" l="1"/>
  <c r="N23" i="81" s="1"/>
  <c r="F26" i="81"/>
  <c r="I25" i="81"/>
  <c r="M25" i="81" l="1"/>
  <c r="N25" i="81" s="1"/>
  <c r="C23" i="6" l="1"/>
  <c r="C22" i="6"/>
  <c r="C21" i="6"/>
  <c r="C20" i="6"/>
  <c r="AN19" i="3"/>
  <c r="AN18" i="3"/>
  <c r="AN17" i="3"/>
  <c r="AN16" i="3"/>
  <c r="AN15" i="3"/>
  <c r="AN14" i="3"/>
  <c r="AN13" i="3"/>
  <c r="AL27" i="3"/>
  <c r="AL26" i="3"/>
  <c r="AL25" i="3"/>
  <c r="AL22" i="3"/>
  <c r="AL23" i="3"/>
  <c r="AL21" i="3"/>
  <c r="AL19" i="3"/>
  <c r="O1" i="78"/>
  <c r="S9" i="78"/>
  <c r="S5" i="78"/>
  <c r="S10" i="78" s="1"/>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AN24" i="3" s="1"/>
  <c r="J19" i="78"/>
  <c r="D38" i="43" s="1"/>
  <c r="K19" i="78"/>
  <c r="L19" i="78"/>
  <c r="M19" i="78"/>
  <c r="N19" i="78"/>
  <c r="N20" i="78" s="1"/>
  <c r="O19" i="78"/>
  <c r="D19" i="78"/>
  <c r="E19" i="78"/>
  <c r="F19" i="78"/>
  <c r="C19" i="78"/>
  <c r="AZ3" i="3" s="1"/>
  <c r="B19" i="78"/>
  <c r="B20" i="78" s="1"/>
  <c r="D33" i="68" l="1"/>
  <c r="D29" i="43"/>
  <c r="I2" i="82"/>
  <c r="Q15" i="78"/>
  <c r="F19" i="6"/>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J7"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AA22" i="71" s="1"/>
  <c r="O23" i="71"/>
  <c r="N23" i="71"/>
  <c r="X22"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C24" i="71" s="1"/>
  <c r="P24" i="71"/>
  <c r="Q24" i="71"/>
  <c r="AB23" i="71" s="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X31" i="71" s="1"/>
  <c r="Q30" i="71"/>
  <c r="F31" i="71" s="1"/>
  <c r="P30" i="71"/>
  <c r="AA30" i="71" s="1"/>
  <c r="O30" i="71"/>
  <c r="N30" i="71"/>
  <c r="B31" i="71" s="1"/>
  <c r="B32" i="71" s="1"/>
  <c r="B33" i="71" s="1"/>
  <c r="S33" i="71" s="1"/>
  <c r="D30" i="71"/>
  <c r="Q29" i="71"/>
  <c r="P29" i="71"/>
  <c r="O29" i="71"/>
  <c r="Y29" i="71" s="1"/>
  <c r="Z29" i="71" s="1"/>
  <c r="N29" i="71"/>
  <c r="X29" i="71" s="1"/>
  <c r="Q28" i="71"/>
  <c r="P28" i="7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X30" i="71"/>
  <c r="E35" i="71"/>
  <c r="E36" i="71" s="1"/>
  <c r="E37" i="71" s="1"/>
  <c r="AA34" i="71"/>
  <c r="E31" i="71"/>
  <c r="E32" i="71" s="1"/>
  <c r="E33" i="71" s="1"/>
  <c r="U33" i="71" s="1"/>
  <c r="Y26" i="71"/>
  <c r="Z26" i="71" s="1"/>
  <c r="AA27" i="71"/>
  <c r="AA28" i="71"/>
  <c r="AA29" i="71"/>
  <c r="C31" i="71"/>
  <c r="C32" i="71"/>
  <c r="D32" i="71" s="1"/>
  <c r="AB30" i="71"/>
  <c r="AA31" i="71"/>
  <c r="AA32" i="71"/>
  <c r="AA33" i="71"/>
  <c r="Y34" i="71"/>
  <c r="Z34" i="71" s="1"/>
  <c r="X35" i="71"/>
  <c r="AA35" i="71"/>
  <c r="F48" i="71"/>
  <c r="F49" i="71" s="1"/>
  <c r="V49" i="71" s="1"/>
  <c r="C25" i="71"/>
  <c r="Y22" i="71"/>
  <c r="Z22" i="71" s="1"/>
  <c r="Y23" i="71"/>
  <c r="Z23" i="71" s="1"/>
  <c r="Y24" i="71"/>
  <c r="Z24" i="71" s="1"/>
  <c r="B25" i="71"/>
  <c r="B24" i="71" s="1"/>
  <c r="B23" i="71" s="1"/>
  <c r="X23" i="71"/>
  <c r="X25" i="71"/>
  <c r="D31" i="71"/>
  <c r="C40" i="71"/>
  <c r="D40" i="71" s="1"/>
  <c r="C48" i="71"/>
  <c r="D48" i="71" s="1"/>
  <c r="P25" i="71"/>
  <c r="AA24" i="71" s="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S25" i="71"/>
  <c r="AB22" i="71"/>
  <c r="AB24" i="71"/>
  <c r="E25" i="71"/>
  <c r="E24" i="71" s="1"/>
  <c r="E23" i="71" s="1"/>
  <c r="AA3" i="71"/>
  <c r="AA23" i="71"/>
  <c r="AA25" i="71"/>
  <c r="D25" i="71"/>
  <c r="C63" i="71"/>
  <c r="O63" i="71" s="1"/>
  <c r="O64" i="71"/>
  <c r="D64" i="71"/>
  <c r="C79" i="71"/>
  <c r="D79" i="71" s="1"/>
  <c r="C71" i="71"/>
  <c r="D71" i="71" s="1"/>
  <c r="D84" i="71"/>
  <c r="C83" i="71"/>
  <c r="D83" i="71" s="1"/>
  <c r="P64" i="71"/>
  <c r="E63" i="71"/>
  <c r="P62" i="71" s="1"/>
  <c r="C49" i="71"/>
  <c r="D49" i="71" s="1"/>
  <c r="C41" i="71"/>
  <c r="D41" i="71" s="1"/>
  <c r="C33" i="71"/>
  <c r="D33" i="71" s="1"/>
  <c r="V25" i="7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U18" i="36"/>
  <c r="S21" i="34"/>
  <c r="H25" i="40"/>
  <c r="U25" i="40" s="1"/>
  <c r="J25" i="40"/>
  <c r="H29" i="39"/>
  <c r="U29" i="39" s="1"/>
  <c r="J29" i="39"/>
  <c r="AC29" i="39" s="1"/>
  <c r="J18" i="36"/>
  <c r="AC18" i="36" s="1"/>
  <c r="H18" i="35"/>
  <c r="G68" i="35"/>
  <c r="J18" i="35"/>
  <c r="F77" i="37"/>
  <c r="G77" i="37" s="1"/>
  <c r="H21" i="37"/>
  <c r="F21" i="37"/>
  <c r="H21" i="34"/>
  <c r="AB21" i="34" s="1"/>
  <c r="F83" i="33"/>
  <c r="H21" i="33"/>
  <c r="U21" i="33" s="1"/>
  <c r="F21" i="33"/>
  <c r="AA21" i="33" s="1"/>
  <c r="E83" i="21"/>
  <c r="F83" i="21" s="1"/>
  <c r="G83" i="21" s="1"/>
  <c r="S21" i="21"/>
  <c r="H1" i="69"/>
  <c r="AC25" i="40"/>
  <c r="W25" i="40"/>
  <c r="AB25" i="40"/>
  <c r="AB29" i="39"/>
  <c r="W29" i="39"/>
  <c r="AB21" i="37"/>
  <c r="U21" i="37"/>
  <c r="AB21" i="33"/>
  <c r="AC18" i="35"/>
  <c r="W18" i="35"/>
  <c r="J21" i="37"/>
  <c r="AC21" i="37" s="1"/>
  <c r="J21" i="34"/>
  <c r="AC21" i="34" s="1"/>
  <c r="G83" i="33"/>
  <c r="J21" i="33"/>
  <c r="AC21" i="33" s="1"/>
  <c r="H21" i="21"/>
  <c r="F38" i="69"/>
  <c r="E37" i="69"/>
  <c r="F36" i="69"/>
  <c r="F35" i="69"/>
  <c r="F21" i="69"/>
  <c r="F40" i="69" s="1"/>
  <c r="F20" i="69"/>
  <c r="F39" i="69" s="1"/>
  <c r="E10" i="69"/>
  <c r="E9" i="69"/>
  <c r="W21" i="34"/>
  <c r="W21" i="33"/>
  <c r="J21" i="21"/>
  <c r="W21" i="21" s="1"/>
  <c r="C40" i="69"/>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K12" i="1" s="1"/>
  <c r="A13" i="1"/>
  <c r="K13" i="1" s="1"/>
  <c r="M13" i="1" s="1"/>
  <c r="O13" i="1" s="1"/>
  <c r="P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B99" i="35"/>
  <c r="B97" i="35"/>
  <c r="J34" i="35" s="1"/>
  <c r="B77" i="35"/>
  <c r="B75" i="35"/>
  <c r="J24" i="35" s="1"/>
  <c r="B73" i="35"/>
  <c r="F23" i="35" s="1"/>
  <c r="B57" i="35"/>
  <c r="B61" i="35"/>
  <c r="B59" i="35"/>
  <c r="H12" i="35" s="1"/>
  <c r="B131" i="34"/>
  <c r="B129" i="34"/>
  <c r="B127" i="34"/>
  <c r="B99" i="34"/>
  <c r="B97" i="34"/>
  <c r="B95" i="34"/>
  <c r="B93" i="34"/>
  <c r="B75" i="34"/>
  <c r="B73" i="34"/>
  <c r="B71" i="34"/>
  <c r="B130" i="33"/>
  <c r="J46" i="33" s="1"/>
  <c r="AC46" i="33" s="1"/>
  <c r="B128" i="33"/>
  <c r="B126" i="33"/>
  <c r="J44" i="33" s="1"/>
  <c r="AC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AB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G21" i="6" s="1"/>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s="1"/>
  <c r="H586" i="3"/>
  <c r="G586" i="3" s="1"/>
  <c r="H587" i="3"/>
  <c r="G587" i="3" s="1"/>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H36" i="39"/>
  <c r="AB36"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S30" i="36"/>
  <c r="AC31" i="36"/>
  <c r="W31" i="36"/>
  <c r="H22" i="35"/>
  <c r="AB22" i="35" s="1"/>
  <c r="AC27" i="35"/>
  <c r="W28" i="35"/>
  <c r="F36" i="34"/>
  <c r="J35" i="34"/>
  <c r="S34" i="34"/>
  <c r="H39" i="33"/>
  <c r="AB39" i="33" s="1"/>
  <c r="F26" i="33"/>
  <c r="AA26" i="33" s="1"/>
  <c r="S40" i="33"/>
  <c r="H39" i="37"/>
  <c r="AB39" i="37" s="1"/>
  <c r="S27" i="35"/>
  <c r="F11" i="40"/>
  <c r="AA11" i="40" s="1"/>
  <c r="H11" i="40"/>
  <c r="AB11" i="40" s="1"/>
  <c r="W8" i="40"/>
  <c r="AC40" i="40"/>
  <c r="AA9" i="40"/>
  <c r="AC9" i="40"/>
  <c r="U9" i="40"/>
  <c r="S34" i="40"/>
  <c r="S40" i="40"/>
  <c r="W31"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S34" i="21"/>
  <c r="C27" i="39"/>
  <c r="S40" i="39"/>
  <c r="H32" i="33"/>
  <c r="AB32" i="33" s="1"/>
  <c r="H11" i="21"/>
  <c r="U11" i="21" s="1"/>
  <c r="J11" i="21"/>
  <c r="W11" i="21" s="1"/>
  <c r="H37" i="40"/>
  <c r="U37" i="40" s="1"/>
  <c r="H36" i="40"/>
  <c r="AB36" i="40" s="1"/>
  <c r="F35" i="40"/>
  <c r="AA35" i="40" s="1"/>
  <c r="H23" i="40"/>
  <c r="AB23" i="40" s="1"/>
  <c r="H17" i="40"/>
  <c r="U17" i="40" s="1"/>
  <c r="J15" i="40"/>
  <c r="W15" i="40" s="1"/>
  <c r="J11" i="40"/>
  <c r="AC12" i="34"/>
  <c r="AB12" i="36"/>
  <c r="S44" i="39"/>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S10" i="36"/>
  <c r="AB8"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J23" i="34"/>
  <c r="F19" i="34"/>
  <c r="H17" i="34"/>
  <c r="U17" i="34" s="1"/>
  <c r="F15" i="34"/>
  <c r="AA15" i="34" s="1"/>
  <c r="J15" i="34"/>
  <c r="H15" i="34"/>
  <c r="AB15" i="34" s="1"/>
  <c r="S9" i="34"/>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F119" i="2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J13" i="36"/>
  <c r="AC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s="1"/>
  <c r="W31" i="34"/>
  <c r="W11" i="36"/>
  <c r="U31" i="33"/>
  <c r="BA586" i="3"/>
  <c r="F17" i="21"/>
  <c r="AA17" i="21" s="1"/>
  <c r="H17" i="21"/>
  <c r="AB17" i="21" s="1"/>
  <c r="F15" i="21"/>
  <c r="S15" i="21" s="1"/>
  <c r="AB11" i="21"/>
  <c r="AC45" i="39"/>
  <c r="W44" i="39"/>
  <c r="W36" i="39"/>
  <c r="U36" i="39"/>
  <c r="G544" i="3"/>
  <c r="G536" i="3"/>
  <c r="G532" i="3"/>
  <c r="G528" i="3"/>
  <c r="G523" i="3"/>
  <c r="G514" i="3"/>
  <c r="G508" i="3"/>
  <c r="G500" i="3"/>
  <c r="G576" i="3"/>
  <c r="G560" i="3"/>
  <c r="G550" i="3"/>
  <c r="BL580" i="3"/>
  <c r="BL564" i="3"/>
  <c r="BL542" i="3"/>
  <c r="BL534" i="3"/>
  <c r="BL526" i="3"/>
  <c r="BL516" i="3"/>
  <c r="BL506" i="3"/>
  <c r="BL498" i="3"/>
  <c r="BL582" i="3"/>
  <c r="BL566" i="3"/>
  <c r="BL544" i="3"/>
  <c r="BL536" i="3"/>
  <c r="BL532" i="3"/>
  <c r="BL528" i="3"/>
  <c r="BL524" i="3"/>
  <c r="BL514" i="3"/>
  <c r="BL504" i="3"/>
  <c r="BL496" i="3"/>
  <c r="BA584" i="3"/>
  <c r="BA554" i="3"/>
  <c r="BA548" i="3"/>
  <c r="BA544" i="3"/>
  <c r="BA540" i="3"/>
  <c r="BA536" i="3"/>
  <c r="AZ536" i="3" s="1"/>
  <c r="BA532" i="3"/>
  <c r="BA528" i="3"/>
  <c r="AZ528" i="3" s="1"/>
  <c r="BA526" i="3"/>
  <c r="BA524" i="3"/>
  <c r="BA522" i="3"/>
  <c r="BA518" i="3"/>
  <c r="BA516" i="3"/>
  <c r="BA514" i="3"/>
  <c r="AZ514" i="3" s="1"/>
  <c r="BA510" i="3"/>
  <c r="BA506" i="3"/>
  <c r="BA502" i="3"/>
  <c r="BA498" i="3"/>
  <c r="AZ498" i="3" s="1"/>
  <c r="BA494" i="3"/>
  <c r="BA583" i="3"/>
  <c r="BA575" i="3"/>
  <c r="BA567" i="3"/>
  <c r="BA559" i="3"/>
  <c r="BA553" i="3"/>
  <c r="BA547" i="3"/>
  <c r="BA543" i="3"/>
  <c r="BA539" i="3"/>
  <c r="BA535" i="3"/>
  <c r="BA531" i="3"/>
  <c r="BA527" i="3"/>
  <c r="BA523" i="3"/>
  <c r="BA517" i="3"/>
  <c r="BA513" i="3"/>
  <c r="BA507" i="3"/>
  <c r="BA503" i="3"/>
  <c r="BA499" i="3"/>
  <c r="BA495" i="3"/>
  <c r="G577" i="3"/>
  <c r="G569" i="3"/>
  <c r="G561" i="3"/>
  <c r="AC557" i="3"/>
  <c r="BQ557" i="3"/>
  <c r="BQ583" i="3"/>
  <c r="BQ581" i="3"/>
  <c r="BQ579" i="3"/>
  <c r="BQ577" i="3"/>
  <c r="BQ575" i="3"/>
  <c r="BQ573" i="3"/>
  <c r="BQ571" i="3"/>
  <c r="BL571" i="3" s="1"/>
  <c r="BQ569" i="3"/>
  <c r="BL569" i="3" s="1"/>
  <c r="BQ567" i="3"/>
  <c r="BQ565" i="3"/>
  <c r="BQ563" i="3"/>
  <c r="BQ561" i="3"/>
  <c r="BQ559" i="3"/>
  <c r="G559" i="3"/>
  <c r="G553" i="3"/>
  <c r="G547" i="3"/>
  <c r="G543" i="3"/>
  <c r="G539" i="3"/>
  <c r="BQ555" i="3"/>
  <c r="BQ553" i="3"/>
  <c r="BL553" i="3" s="1"/>
  <c r="BQ551" i="3"/>
  <c r="BQ549" i="3"/>
  <c r="BQ547" i="3"/>
  <c r="BL547" i="3" s="1"/>
  <c r="AZ547" i="3" s="1"/>
  <c r="BQ545" i="3"/>
  <c r="BQ543" i="3"/>
  <c r="BQ541" i="3"/>
  <c r="BL541" i="3" s="1"/>
  <c r="BQ539" i="3"/>
  <c r="BL539" i="3" s="1"/>
  <c r="AZ539" i="3" s="1"/>
  <c r="BQ537" i="3"/>
  <c r="BQ535" i="3"/>
  <c r="BQ533" i="3"/>
  <c r="BL533" i="3" s="1"/>
  <c r="BQ531" i="3"/>
  <c r="BL531" i="3" s="1"/>
  <c r="AZ531" i="3" s="1"/>
  <c r="BQ529" i="3"/>
  <c r="BQ527" i="3"/>
  <c r="BQ525" i="3"/>
  <c r="BL525" i="3" s="1"/>
  <c r="BQ523" i="3"/>
  <c r="BL523" i="3" s="1"/>
  <c r="AZ523" i="3" s="1"/>
  <c r="AC521" i="3"/>
  <c r="G521" i="3" s="1"/>
  <c r="BQ521" i="3"/>
  <c r="BL520" i="3"/>
  <c r="G517" i="3"/>
  <c r="G513" i="3"/>
  <c r="BQ519" i="3"/>
  <c r="BQ517" i="3"/>
  <c r="BL517" i="3" s="1"/>
  <c r="BQ515" i="3"/>
  <c r="BL515" i="3" s="1"/>
  <c r="BQ513" i="3"/>
  <c r="BQ511" i="3"/>
  <c r="BA509" i="3"/>
  <c r="AC509" i="3"/>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U35" i="35"/>
  <c r="AA12" i="35"/>
  <c r="W14" i="37"/>
  <c r="AB28" i="37"/>
  <c r="U33" i="37"/>
  <c r="U39" i="37"/>
  <c r="AC8" i="37"/>
  <c r="W47" i="34"/>
  <c r="AB13" i="34"/>
  <c r="W37" i="34"/>
  <c r="AB37" i="34"/>
  <c r="AC36" i="34"/>
  <c r="AA13" i="33"/>
  <c r="AC31" i="33"/>
  <c r="AC45" i="33"/>
  <c r="W44" i="33"/>
  <c r="U11" i="33"/>
  <c r="U19" i="21"/>
  <c r="U2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U19" i="40" s="1"/>
  <c r="F88" i="40"/>
  <c r="G88" i="40" s="1"/>
  <c r="F19" i="40"/>
  <c r="S19" i="40" s="1"/>
  <c r="S14" i="40"/>
  <c r="AC13" i="40"/>
  <c r="AB33" i="40"/>
  <c r="AC43" i="39"/>
  <c r="U45" i="39"/>
  <c r="AB44" i="39"/>
  <c r="H25" i="39"/>
  <c r="AB25" i="39" s="1"/>
  <c r="J25" i="39"/>
  <c r="W25" i="39" s="1"/>
  <c r="F25" i="39"/>
  <c r="AA25" i="39" s="1"/>
  <c r="H15" i="39"/>
  <c r="U15" i="39" s="1"/>
  <c r="S42" i="39"/>
  <c r="W14" i="39"/>
  <c r="W9" i="39"/>
  <c r="W8" i="39"/>
  <c r="J19" i="40"/>
  <c r="AC19" i="40" s="1"/>
  <c r="J50" i="40"/>
  <c r="B54" i="72"/>
  <c r="H103" i="9"/>
  <c r="D8" i="53" s="1"/>
  <c r="B16" i="53"/>
  <c r="B33" i="72" s="1"/>
  <c r="C7" i="37"/>
  <c r="C7" i="34"/>
  <c r="C7" i="36"/>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BL370" i="3"/>
  <c r="AZ370" i="3" s="1"/>
  <c r="G371" i="3"/>
  <c r="BA373" i="3"/>
  <c r="AZ373" i="3" s="1"/>
  <c r="BL374" i="3"/>
  <c r="AZ374" i="3" s="1"/>
  <c r="G375" i="3"/>
  <c r="BA377" i="3"/>
  <c r="AZ377" i="3" s="1"/>
  <c r="AZ245" i="3"/>
  <c r="BA379" i="3"/>
  <c r="BL380" i="3"/>
  <c r="AZ380" i="3" s="1"/>
  <c r="G381" i="3"/>
  <c r="BA383" i="3"/>
  <c r="BL384" i="3"/>
  <c r="AZ384" i="3" s="1"/>
  <c r="G385" i="3"/>
  <c r="BA387" i="3"/>
  <c r="BL388" i="3"/>
  <c r="G389" i="3"/>
  <c r="BA391" i="3"/>
  <c r="AZ391" i="3" s="1"/>
  <c r="BL392" i="3"/>
  <c r="G393" i="3"/>
  <c r="BJ5" i="3"/>
  <c r="AZ333" i="3"/>
  <c r="AC5" i="3"/>
  <c r="AZ506" i="3"/>
  <c r="G548" i="3"/>
  <c r="G520" i="3"/>
  <c r="BS5" i="3"/>
  <c r="BG5" i="3"/>
  <c r="BA17" i="3"/>
  <c r="AZ356" i="3"/>
  <c r="G509" i="3"/>
  <c r="AZ390" i="3"/>
  <c r="U36" i="40"/>
  <c r="F81" i="43"/>
  <c r="H83" i="43" s="1"/>
  <c r="F48" i="43"/>
  <c r="H52" i="43" s="1"/>
  <c r="M11" i="43"/>
  <c r="D17" i="43"/>
  <c r="I17" i="43"/>
  <c r="J17" i="43"/>
  <c r="F6" i="1"/>
  <c r="G6" i="1" s="1"/>
  <c r="S14" i="35"/>
  <c r="U43" i="21"/>
  <c r="U35" i="21"/>
  <c r="AC35" i="21"/>
  <c r="U10" i="21"/>
  <c r="G9"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232" i="3"/>
  <c r="AZ240" i="3"/>
  <c r="AZ243" i="3"/>
  <c r="AZ248" i="3"/>
  <c r="AZ69" i="3"/>
  <c r="AZ77" i="3"/>
  <c r="F23" i="39"/>
  <c r="AA23" i="39" s="1"/>
  <c r="H27" i="36"/>
  <c r="U27" i="36" s="1"/>
  <c r="F27" i="36"/>
  <c r="AA27" i="36" s="1"/>
  <c r="H33" i="34"/>
  <c r="U33" i="34" s="1"/>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M12" i="1"/>
  <c r="S13" i="1"/>
  <c r="AR13" i="1" s="1"/>
  <c r="R13" i="1"/>
  <c r="S11" i="1"/>
  <c r="AQ11" i="1" s="1"/>
  <c r="R11" i="1"/>
  <c r="J51" i="67"/>
  <c r="C42" i="1"/>
  <c r="C24" i="12" s="1"/>
  <c r="H100" i="43"/>
  <c r="AC34" i="33"/>
  <c r="J100" i="43"/>
  <c r="AB37" i="40"/>
  <c r="S35" i="40"/>
  <c r="U35" i="40"/>
  <c r="AC36" i="40"/>
  <c r="S17" i="40"/>
  <c r="S23" i="40"/>
  <c r="AC17" i="40"/>
  <c r="AC15" i="40"/>
  <c r="S30" i="40"/>
  <c r="S28" i="40"/>
  <c r="AB19" i="40"/>
  <c r="W42" i="39"/>
  <c r="W39" i="39"/>
  <c r="S43" i="39"/>
  <c r="F32" i="39"/>
  <c r="F107" i="39"/>
  <c r="G107" i="39" s="1"/>
  <c r="H107" i="39" s="1"/>
  <c r="I107" i="39" s="1"/>
  <c r="J107" i="39" s="1"/>
  <c r="K107" i="39" s="1"/>
  <c r="L107" i="39" s="1"/>
  <c r="M107" i="39" s="1"/>
  <c r="U25" i="39"/>
  <c r="F21" i="39"/>
  <c r="S21" i="39" s="1"/>
  <c r="H21" i="39"/>
  <c r="U21" i="39" s="1"/>
  <c r="AB15" i="39"/>
  <c r="S9" i="39"/>
  <c r="U14" i="39"/>
  <c r="AC13" i="39"/>
  <c r="S23" i="36"/>
  <c r="AC27" i="36"/>
  <c r="U26" i="36"/>
  <c r="S27" i="36"/>
  <c r="AA26" i="36"/>
  <c r="AA34" i="36"/>
  <c r="S29" i="36"/>
  <c r="AC26" i="36"/>
  <c r="W14" i="36"/>
  <c r="AB14" i="36"/>
  <c r="U22" i="36"/>
  <c r="S16" i="36"/>
  <c r="AA25" i="36"/>
  <c r="U24" i="36"/>
  <c r="U23" i="36"/>
  <c r="AB20" i="36"/>
  <c r="U16" i="36"/>
  <c r="S14" i="36"/>
  <c r="U10" i="36"/>
  <c r="W10" i="36"/>
  <c r="AA25"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BL17" i="3"/>
  <c r="J56" i="9"/>
  <c r="J57" i="9" s="1"/>
  <c r="J59" i="9" s="1"/>
  <c r="J61" i="9" s="1"/>
  <c r="A24" i="51"/>
  <c r="B18" i="72" s="1"/>
  <c r="U29" i="34"/>
  <c r="E32" i="6"/>
  <c r="G1" i="68"/>
  <c r="K1" i="12"/>
  <c r="E19" i="69"/>
  <c r="E19" i="68"/>
  <c r="E19" i="11"/>
  <c r="G26" i="12"/>
  <c r="C100" i="43"/>
  <c r="E81" i="43"/>
  <c r="B79" i="43" s="1"/>
  <c r="F100" i="43"/>
  <c r="H17" i="43"/>
  <c r="H88" i="43"/>
  <c r="F33" i="43"/>
  <c r="F34" i="43"/>
  <c r="N6" i="43"/>
  <c r="N3"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66" i="43"/>
  <c r="H64"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S23" i="39"/>
  <c r="AA45" i="39"/>
  <c r="S8" i="39"/>
  <c r="S20" i="36"/>
  <c r="AC25" i="36"/>
  <c r="S28" i="36"/>
  <c r="U32" i="36"/>
  <c r="W29" i="36"/>
  <c r="AC20" i="36"/>
  <c r="U25" i="36"/>
  <c r="AB28"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C37" i="33"/>
  <c r="W46" i="33"/>
  <c r="U39" i="33"/>
  <c r="U38" i="33"/>
  <c r="S33" i="33"/>
  <c r="AB34" i="33"/>
  <c r="U44" i="33"/>
  <c r="AB44" i="33"/>
  <c r="S30" i="33"/>
  <c r="AA30" i="33"/>
  <c r="AC30" i="33"/>
  <c r="W30" i="33"/>
  <c r="S31" i="33"/>
  <c r="AA31" i="33"/>
  <c r="W13" i="33"/>
  <c r="AC13" i="33"/>
  <c r="U15" i="33"/>
  <c r="S11" i="33"/>
  <c r="U37" i="33"/>
  <c r="AC28" i="33"/>
  <c r="W9" i="33"/>
  <c r="W8" i="33"/>
  <c r="AB42" i="21"/>
  <c r="AA11" i="21"/>
  <c r="S45" i="21"/>
  <c r="I101" i="21"/>
  <c r="J101" i="21" s="1"/>
  <c r="K101" i="21"/>
  <c r="L101" i="21" s="1"/>
  <c r="M101" i="21" s="1"/>
  <c r="F33" i="21"/>
  <c r="J33" i="21"/>
  <c r="W33" i="21" s="1"/>
  <c r="H33" i="21"/>
  <c r="AB33" i="21"/>
  <c r="F37" i="21"/>
  <c r="AA37" i="2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K141" i="21"/>
  <c r="K144" i="21"/>
  <c r="K143" i="21"/>
  <c r="U27" i="21"/>
  <c r="AB25" i="21"/>
  <c r="W42" i="21"/>
  <c r="F10" i="21"/>
  <c r="S10" i="21" s="1"/>
  <c r="K145" i="21"/>
  <c r="W17" i="21"/>
  <c r="W25" i="21"/>
  <c r="AA29" i="21"/>
  <c r="W31"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2" i="15"/>
  <c r="E4" i="4"/>
  <c r="B5" i="62" s="1"/>
  <c r="B73" i="72" s="1"/>
  <c r="C4" i="4"/>
  <c r="AR11" i="1"/>
  <c r="E7" i="70"/>
  <c r="AA39" i="40"/>
  <c r="S39" i="40"/>
  <c r="S12" i="33"/>
  <c r="AA12" i="33"/>
  <c r="J32" i="39"/>
  <c r="AC32" i="39" s="1"/>
  <c r="H32" i="39"/>
  <c r="AB32" i="39" s="1"/>
  <c r="AA32" i="39"/>
  <c r="S32" i="39"/>
  <c r="AB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W25" i="33"/>
  <c r="AA23" i="33"/>
  <c r="S23" i="33"/>
  <c r="AA17" i="33"/>
  <c r="S17" i="33"/>
  <c r="AC23" i="21"/>
  <c r="W23" i="21"/>
  <c r="AC11" i="37"/>
  <c r="W11" i="37"/>
  <c r="AC11" i="34"/>
  <c r="AE7" i="1"/>
  <c r="AE8" i="1"/>
  <c r="AE6" i="1"/>
  <c r="AG6" i="1"/>
  <c r="H109" i="9"/>
  <c r="M49" i="9" s="1"/>
  <c r="D16" i="53"/>
  <c r="B34" i="72" s="1"/>
  <c r="H112" i="9"/>
  <c r="D21" i="53" s="1"/>
  <c r="B39" i="72" s="1"/>
  <c r="H111" i="9"/>
  <c r="D126" i="9" s="1"/>
  <c r="AD3" i="71"/>
  <c r="J1" i="73"/>
  <c r="H67" i="43"/>
  <c r="H60" i="43"/>
  <c r="M4" i="43"/>
  <c r="M5" i="43"/>
  <c r="N12" i="43"/>
  <c r="N11" i="43"/>
  <c r="M10" i="43"/>
  <c r="M2" i="43"/>
  <c r="M7" i="43"/>
  <c r="N9" i="43"/>
  <c r="M8" i="43"/>
  <c r="N10" i="43"/>
  <c r="M6" i="43"/>
  <c r="N7" i="43"/>
  <c r="F70" i="43" s="1"/>
  <c r="N4" i="43"/>
  <c r="N2" i="43"/>
  <c r="N17" i="43"/>
  <c r="O17" i="43"/>
  <c r="E17" i="43"/>
  <c r="E13" i="85" s="1"/>
  <c r="C13" i="85" s="1"/>
  <c r="C11" i="85" s="1"/>
  <c r="C10" i="85" s="1"/>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I59" i="34"/>
  <c r="J59" i="34" s="1"/>
  <c r="F34" i="68"/>
  <c r="F36" i="15"/>
  <c r="M29" i="15"/>
  <c r="M27" i="67"/>
  <c r="E2" i="69"/>
  <c r="F42" i="67"/>
  <c r="B7" i="76"/>
  <c r="F20" i="31"/>
  <c r="L47" i="15"/>
  <c r="M28" i="15"/>
  <c r="F26" i="15"/>
  <c r="M23" i="67"/>
  <c r="F8" i="67"/>
  <c r="M8" i="67"/>
  <c r="F6" i="67"/>
  <c r="C76" i="15"/>
  <c r="M24" i="67"/>
  <c r="L48" i="67"/>
  <c r="F40" i="15"/>
  <c r="D19" i="9"/>
  <c r="E9" i="76"/>
  <c r="F16" i="15"/>
  <c r="D2" i="33"/>
  <c r="D2" i="36"/>
  <c r="M23" i="15"/>
  <c r="M8" i="15"/>
  <c r="D2" i="34"/>
  <c r="D7" i="73"/>
  <c r="M21" i="15"/>
  <c r="D20" i="9"/>
  <c r="M26" i="15"/>
  <c r="AO10" i="1"/>
  <c r="F6" i="73"/>
  <c r="L47" i="67"/>
  <c r="F38" i="67"/>
  <c r="J15" i="67"/>
  <c r="C19" i="9"/>
  <c r="F16" i="67"/>
  <c r="F40" i="67"/>
  <c r="D5" i="73"/>
  <c r="M22" i="15"/>
  <c r="E7" i="76"/>
  <c r="F3" i="73"/>
  <c r="F13" i="67"/>
  <c r="F13" i="15"/>
  <c r="E8" i="76"/>
  <c r="F35" i="67"/>
  <c r="F7" i="15"/>
  <c r="D34" i="9"/>
  <c r="M21" i="67"/>
  <c r="AO6" i="1"/>
  <c r="F4" i="73"/>
  <c r="F42" i="15"/>
  <c r="D2" i="37"/>
  <c r="F8" i="15"/>
  <c r="C76" i="67"/>
  <c r="M9" i="67"/>
  <c r="M6" i="15"/>
  <c r="B12" i="76"/>
  <c r="F7" i="73"/>
  <c r="D6" i="73"/>
  <c r="M24" i="15"/>
  <c r="C20" i="9"/>
  <c r="E2" i="68"/>
  <c r="F37" i="67"/>
  <c r="F43" i="15"/>
  <c r="AO8" i="1"/>
  <c r="E11" i="76"/>
  <c r="B10" i="76"/>
  <c r="E13" i="76"/>
  <c r="F38" i="15"/>
  <c r="F7" i="67"/>
  <c r="M22" i="67"/>
  <c r="D2" i="35"/>
  <c r="M28" i="67"/>
  <c r="M29" i="67"/>
  <c r="F35" i="15"/>
  <c r="E12" i="76"/>
  <c r="F26" i="67"/>
  <c r="L48" i="15"/>
  <c r="AO9" i="1"/>
  <c r="M9" i="15"/>
  <c r="F9" i="15"/>
  <c r="F43" i="67"/>
  <c r="F36" i="67"/>
  <c r="AO11" i="1"/>
  <c r="D35" i="9"/>
  <c r="B8" i="76"/>
  <c r="AO12" i="1"/>
  <c r="M6" i="67"/>
  <c r="F9" i="67"/>
  <c r="E10" i="76"/>
  <c r="AO13" i="1"/>
  <c r="F37" i="15"/>
  <c r="F6" i="15"/>
  <c r="F41" i="15"/>
  <c r="F41" i="67"/>
  <c r="M27" i="15"/>
  <c r="B13" i="76"/>
  <c r="B11" i="76"/>
  <c r="D2" i="21"/>
  <c r="M26" i="67"/>
  <c r="B9" i="76"/>
  <c r="F5" i="73"/>
  <c r="J15" i="15"/>
  <c r="AO7" i="1"/>
  <c r="AA23" i="35" l="1"/>
  <c r="S23" i="35"/>
  <c r="U17" i="33"/>
  <c r="H110" i="9"/>
  <c r="D18" i="53" s="1"/>
  <c r="B35" i="72" s="1"/>
  <c r="AB19" i="33"/>
  <c r="W27" i="33"/>
  <c r="AC10" i="34"/>
  <c r="I20" i="43"/>
  <c r="AZ351" i="3"/>
  <c r="AZ196" i="3"/>
  <c r="AZ183"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AZ403" i="3" s="1"/>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G184" i="3"/>
  <c r="BA186" i="3"/>
  <c r="BL186" i="3"/>
  <c r="BA188" i="3"/>
  <c r="AZ188" i="3" s="1"/>
  <c r="BL190" i="3"/>
  <c r="G191" i="3"/>
  <c r="BA192" i="3"/>
  <c r="AZ192" i="3" s="1"/>
  <c r="BL194" i="3"/>
  <c r="G195" i="3"/>
  <c r="BA196" i="3"/>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T33"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AZ453" i="3" s="1"/>
  <c r="G454" i="3"/>
  <c r="BA455" i="3"/>
  <c r="AZ455" i="3" s="1"/>
  <c r="G456" i="3"/>
  <c r="BL457" i="3"/>
  <c r="G458" i="3"/>
  <c r="BA459" i="3"/>
  <c r="AZ459" i="3" s="1"/>
  <c r="BL461" i="3"/>
  <c r="G462" i="3"/>
  <c r="BL463" i="3"/>
  <c r="G464" i="3"/>
  <c r="BA465" i="3"/>
  <c r="G466" i="3"/>
  <c r="BA467" i="3"/>
  <c r="BL467" i="3"/>
  <c r="AZ467" i="3" s="1"/>
  <c r="BL468" i="3"/>
  <c r="G469" i="3"/>
  <c r="BL470" i="3"/>
  <c r="G471" i="3"/>
  <c r="BL472" i="3"/>
  <c r="BA474" i="3"/>
  <c r="G475" i="3"/>
  <c r="BA476" i="3"/>
  <c r="AZ476" i="3" s="1"/>
  <c r="G477" i="3"/>
  <c r="BA478" i="3"/>
  <c r="AZ478" i="3" s="1"/>
  <c r="G479" i="3"/>
  <c r="BA480" i="3"/>
  <c r="AZ480" i="3" s="1"/>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AZ293" i="3" s="1"/>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H7" i="39"/>
  <c r="F7" i="39"/>
  <c r="G22" i="69"/>
  <c r="M17" i="43"/>
  <c r="L17" i="43"/>
  <c r="H49" i="43"/>
  <c r="C6" i="43"/>
  <c r="H55" i="43"/>
  <c r="F38" i="43"/>
  <c r="K17" i="43"/>
  <c r="G17" i="43" s="1"/>
  <c r="C16" i="43" s="1"/>
  <c r="C5"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1" i="73" s="1"/>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AZ558" i="3" s="1"/>
  <c r="BL557" i="3"/>
  <c r="BA557" i="3"/>
  <c r="G557" i="3"/>
  <c r="BL556" i="3"/>
  <c r="BA556" i="3"/>
  <c r="BA555" i="3"/>
  <c r="AZ555" i="3" s="1"/>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AZ95" i="3" s="1"/>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AZ550" i="3" s="1"/>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AB34"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G19" i="3"/>
  <c r="G16" i="3"/>
  <c r="BL16" i="3"/>
  <c r="AZ16" i="3" s="1"/>
  <c r="P10" i="1"/>
  <c r="BN5" i="3"/>
  <c r="BA24" i="3"/>
  <c r="I4" i="6"/>
  <c r="G3" i="43" s="1"/>
  <c r="J22" i="43" s="1"/>
  <c r="H5" i="3"/>
  <c r="G13" i="3"/>
  <c r="E2" i="70"/>
  <c r="AQ13" i="1"/>
  <c r="G14" i="3"/>
  <c r="T12" i="1"/>
  <c r="BA27" i="3"/>
  <c r="BC5" i="3"/>
  <c r="BK5" i="3"/>
  <c r="BL26" i="3"/>
  <c r="F28" i="6"/>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4" i="67"/>
  <c r="C17" i="15"/>
  <c r="D3" i="73"/>
  <c r="D4" i="73"/>
  <c r="C16" i="15"/>
  <c r="F27" i="69"/>
  <c r="C36" i="68"/>
  <c r="C17" i="67"/>
  <c r="G1" i="73"/>
  <c r="C16" i="67"/>
  <c r="C14" i="15"/>
  <c r="C36" i="69"/>
  <c r="AZ285" i="3" l="1"/>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J18" i="15" s="1"/>
  <c r="F54" i="9"/>
  <c r="G30" i="6"/>
  <c r="G31" i="6" s="1"/>
  <c r="E10" i="6"/>
  <c r="L101" i="43"/>
  <c r="L109" i="43" s="1"/>
  <c r="G5" i="3"/>
  <c r="B3" i="3" s="1"/>
  <c r="E172" i="3" s="1"/>
  <c r="F30"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27" i="11"/>
  <c r="C29" i="11" s="1"/>
  <c r="D27" i="11" s="1"/>
  <c r="E15" i="6"/>
  <c r="E14" i="6"/>
  <c r="E64" i="39" s="1"/>
  <c r="E237" i="3"/>
  <c r="E579" i="3"/>
  <c r="E402" i="3"/>
  <c r="E120" i="3"/>
  <c r="E312" i="3"/>
  <c r="E260" i="3"/>
  <c r="E569" i="3"/>
  <c r="E385" i="3"/>
  <c r="E423" i="3"/>
  <c r="E191" i="3"/>
  <c r="E85" i="3"/>
  <c r="E116" i="3"/>
  <c r="E379" i="3"/>
  <c r="D19" i="12"/>
  <c r="C19" i="12" s="1"/>
  <c r="F45" i="69"/>
  <c r="E269" i="3"/>
  <c r="E136" i="3"/>
  <c r="E296" i="3"/>
  <c r="E434" i="3"/>
  <c r="E16" i="3"/>
  <c r="E314" i="3"/>
  <c r="E285" i="3"/>
  <c r="E574" i="3"/>
  <c r="E302" i="3"/>
  <c r="E213" i="3"/>
  <c r="E304" i="3"/>
  <c r="E319" i="3"/>
  <c r="E153" i="3"/>
  <c r="E328" i="3"/>
  <c r="E567" i="3"/>
  <c r="E227" i="3"/>
  <c r="E311" i="3"/>
  <c r="E570" i="3"/>
  <c r="AB6" i="3"/>
  <c r="E335" i="3"/>
  <c r="E189" i="3"/>
  <c r="E91" i="3"/>
  <c r="E252" i="3"/>
  <c r="E164" i="3"/>
  <c r="E525" i="3"/>
  <c r="E542" i="3"/>
  <c r="E552" i="3"/>
  <c r="E421" i="3"/>
  <c r="E464" i="3"/>
  <c r="E487" i="3"/>
  <c r="P6" i="3"/>
  <c r="E414" i="3"/>
  <c r="E217" i="3"/>
  <c r="E526" i="3"/>
  <c r="E268" i="3"/>
  <c r="E322" i="3"/>
  <c r="AJ6" i="3"/>
  <c r="E583" i="3"/>
  <c r="X6" i="3"/>
  <c r="E336" i="3"/>
  <c r="E246" i="3"/>
  <c r="E293" i="3"/>
  <c r="E390" i="3"/>
  <c r="S6" i="3"/>
  <c r="E523" i="3"/>
  <c r="E506" i="3"/>
  <c r="E418" i="3"/>
  <c r="E338" i="3"/>
  <c r="E321" i="3"/>
  <c r="E298" i="3"/>
  <c r="E169" i="3"/>
  <c r="E61" i="3"/>
  <c r="E290" i="3"/>
  <c r="E117" i="3"/>
  <c r="E77" i="3"/>
  <c r="E253" i="3"/>
  <c r="E199" i="3"/>
  <c r="E313" i="3"/>
  <c r="E519" i="3"/>
  <c r="E493" i="3"/>
  <c r="E534" i="3"/>
  <c r="E564" i="3"/>
  <c r="T6" i="3"/>
  <c r="E543" i="3"/>
  <c r="E405" i="3"/>
  <c r="E427" i="3"/>
  <c r="E456" i="3"/>
  <c r="E486" i="3"/>
  <c r="E469" i="3"/>
  <c r="E507" i="3"/>
  <c r="E512" i="3"/>
  <c r="E422" i="3"/>
  <c r="E408" i="3"/>
  <c r="E440" i="3"/>
  <c r="E400"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AZ5" i="3"/>
  <c r="AY6" i="3" s="1"/>
  <c r="E13" i="6"/>
  <c r="E58" i="40" s="1"/>
  <c r="E11" i="6"/>
  <c r="BA5" i="3"/>
  <c r="E29" i="6"/>
  <c r="E60" i="40"/>
  <c r="E65" i="39"/>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L104" i="43"/>
  <c r="J105" i="43"/>
  <c r="G103" i="43"/>
  <c r="I107" i="43"/>
  <c r="H14" i="74"/>
  <c r="B7" i="74" s="1"/>
  <c r="D10" i="52"/>
  <c r="D125" i="9"/>
  <c r="D11" i="52" s="1"/>
  <c r="B20" i="71"/>
  <c r="B19" i="71" s="1"/>
  <c r="B18" i="71" s="1"/>
  <c r="B17" i="71" s="1"/>
  <c r="S21" i="71"/>
  <c r="B63" i="71"/>
  <c r="N64" i="71"/>
  <c r="U39" i="40"/>
  <c r="AB39" i="40"/>
  <c r="AB38" i="40"/>
  <c r="U38" i="40"/>
  <c r="W36" i="35"/>
  <c r="AC36" i="35"/>
  <c r="S34" i="35"/>
  <c r="AA34" i="35"/>
  <c r="H106" i="43"/>
  <c r="H109" i="43"/>
  <c r="C105" i="43"/>
  <c r="C109" i="43"/>
  <c r="E105" i="43"/>
  <c r="M102" i="43"/>
  <c r="N107" i="43"/>
  <c r="N104" i="43"/>
  <c r="K109" i="43"/>
  <c r="F59" i="67"/>
  <c r="H7" i="37"/>
  <c r="AB7" i="37" s="1"/>
  <c r="T42" i="37" s="1"/>
  <c r="G42" i="37" s="1"/>
  <c r="H7" i="33"/>
  <c r="J7" i="33"/>
  <c r="D65" i="40"/>
  <c r="E63" i="40"/>
  <c r="F48" i="35"/>
  <c r="S7" i="36"/>
  <c r="AC7" i="37"/>
  <c r="V42" i="37" s="1"/>
  <c r="I42" i="37" s="1"/>
  <c r="U7" i="36"/>
  <c r="U7" i="34"/>
  <c r="F7" i="33"/>
  <c r="E58" i="21"/>
  <c r="AC7" i="36"/>
  <c r="V36" i="36" s="1"/>
  <c r="I36" i="36" s="1"/>
  <c r="W7" i="36"/>
  <c r="F7" i="37"/>
  <c r="W7" i="34"/>
  <c r="M17" i="67"/>
  <c r="M17" i="15"/>
  <c r="F59" i="15"/>
  <c r="P24" i="43"/>
  <c r="B66" i="40" s="1"/>
  <c r="P21" i="43"/>
  <c r="C49" i="67"/>
  <c r="P25" i="43"/>
  <c r="P23" i="43"/>
  <c r="B71" i="39" s="1"/>
  <c r="C49" i="15"/>
  <c r="C15" i="67"/>
  <c r="C18" i="67"/>
  <c r="C32" i="67"/>
  <c r="C32" i="9"/>
  <c r="Q60" i="67"/>
  <c r="Q73" i="67"/>
  <c r="M28" i="43"/>
  <c r="N28" i="43"/>
  <c r="O28" i="43"/>
  <c r="G20" i="43" s="1"/>
  <c r="P28" i="43"/>
  <c r="M11" i="67"/>
  <c r="J10" i="67" s="1"/>
  <c r="J5" i="67" s="1"/>
  <c r="F11" i="15"/>
  <c r="M11" i="15"/>
  <c r="J10" i="15" s="1"/>
  <c r="J5" i="15" s="1"/>
  <c r="F11" i="67"/>
  <c r="F1" i="15"/>
  <c r="Q52" i="15"/>
  <c r="F1" i="67"/>
  <c r="Q52" i="67"/>
  <c r="Q60" i="15"/>
  <c r="Q73" i="15"/>
  <c r="Q61" i="67"/>
  <c r="Q74" i="67"/>
  <c r="Q74" i="15"/>
  <c r="Q61" i="15"/>
  <c r="B2" i="70"/>
  <c r="B3" i="70" s="1"/>
  <c r="D9" i="68"/>
  <c r="F27" i="68"/>
  <c r="D9" i="69"/>
  <c r="K102" i="43" l="1"/>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H6" i="3" s="1"/>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AC6" i="3" s="1"/>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F45" i="68"/>
  <c r="K20" i="6"/>
  <c r="E3" i="6"/>
  <c r="K22" i="6"/>
  <c r="E63" i="39"/>
  <c r="E57" i="40"/>
  <c r="E61" i="39"/>
  <c r="E56" i="40"/>
  <c r="J10" i="39"/>
  <c r="AC10" i="39" s="1"/>
  <c r="S3" i="43"/>
  <c r="S6" i="43"/>
  <c r="S2" i="43"/>
  <c r="C23" i="43"/>
  <c r="C21" i="43" s="1"/>
  <c r="S7" i="43"/>
  <c r="S5" i="43"/>
  <c r="S4" i="43"/>
  <c r="W10" i="39"/>
  <c r="H10" i="39"/>
  <c r="AB10" i="39" s="1"/>
  <c r="H10" i="40"/>
  <c r="F10" i="40"/>
  <c r="J10" i="40"/>
  <c r="W10" i="40" s="1"/>
  <c r="F68" i="39"/>
  <c r="E70" i="39"/>
  <c r="U7" i="37"/>
  <c r="C19" i="71"/>
  <c r="D20" i="71"/>
  <c r="D3" i="33"/>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3" l="1"/>
  <c r="E12" i="71"/>
  <c r="E11" i="71" s="1"/>
  <c r="E10" i="71" s="1"/>
  <c r="E9" i="71" s="1"/>
  <c r="V13" i="71"/>
  <c r="E70" i="43"/>
  <c r="B68" i="43" s="1"/>
  <c r="C24" i="43" s="1"/>
  <c r="T7" i="43" s="1"/>
  <c r="V7" i="43" s="1"/>
  <c r="T6" i="43"/>
  <c r="V6" i="43" s="1"/>
  <c r="T9" i="43"/>
  <c r="V9" i="43" s="1"/>
  <c r="T10" i="43"/>
  <c r="V10" i="43" s="1"/>
  <c r="C36" i="43"/>
  <c r="L18" i="9"/>
  <c r="F3" i="6"/>
  <c r="H38" i="39"/>
  <c r="J38" i="39"/>
  <c r="F38" i="39"/>
  <c r="D3" i="34"/>
  <c r="M22" i="6"/>
  <c r="I22" i="6" s="1"/>
  <c r="S22" i="6" s="1"/>
  <c r="S9" i="1"/>
  <c r="M20" i="6"/>
  <c r="I20" i="6" s="1"/>
  <c r="S20" i="6" s="1"/>
  <c r="S7" i="1"/>
  <c r="M21" i="6"/>
  <c r="I21" i="6" s="1"/>
  <c r="S21" i="6" s="1"/>
  <c r="S8" i="1"/>
  <c r="M19" i="6"/>
  <c r="L17" i="1" s="1"/>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C34" i="69"/>
  <c r="T15" i="43" l="1"/>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0" i="43" s="1"/>
  <c r="E30" i="43" s="1"/>
  <c r="C33" i="43"/>
  <c r="T3" i="43"/>
  <c r="V3" i="43" s="1"/>
  <c r="C39" i="43"/>
  <c r="C35" i="43"/>
  <c r="E8" i="71"/>
  <c r="E7" i="71" s="1"/>
  <c r="E6" i="71" s="1"/>
  <c r="E5" i="71" s="1"/>
  <c r="V9" i="71"/>
  <c r="T2" i="43"/>
  <c r="V2" i="43" s="1"/>
  <c r="T4" i="43"/>
  <c r="V4" i="43" s="1"/>
  <c r="E37" i="43"/>
  <c r="L31" i="43"/>
  <c r="E38" i="43"/>
  <c r="E36" i="43"/>
  <c r="G36" i="43"/>
  <c r="I36" i="43" s="1"/>
  <c r="B2" i="34"/>
  <c r="B3" i="34" s="1"/>
  <c r="I19" i="6"/>
  <c r="H20" i="6"/>
  <c r="R20" i="6" s="1"/>
  <c r="R7" i="1" s="1"/>
  <c r="K27" i="6"/>
  <c r="C38" i="69"/>
  <c r="C35" i="69"/>
  <c r="W38" i="39"/>
  <c r="AC38" i="39"/>
  <c r="AA38" i="39"/>
  <c r="S38" i="39"/>
  <c r="AB38" i="39"/>
  <c r="U38" i="39"/>
  <c r="H21" i="6"/>
  <c r="R21" i="6" s="1"/>
  <c r="R8" i="1" s="1"/>
  <c r="M23" i="6"/>
  <c r="I23" i="6" s="1"/>
  <c r="S23" i="6" s="1"/>
  <c r="S10" i="1"/>
  <c r="S16" i="1" s="1"/>
  <c r="AR8" i="1"/>
  <c r="AQ8" i="1"/>
  <c r="T8" i="1"/>
  <c r="AR7" i="1"/>
  <c r="T7" i="1"/>
  <c r="AQ7" i="1"/>
  <c r="AR9" i="1"/>
  <c r="T9" i="1"/>
  <c r="AQ9" i="1"/>
  <c r="AQ6" i="1"/>
  <c r="AR6" i="1"/>
  <c r="T6" i="1"/>
  <c r="C7" i="74"/>
  <c r="H24" i="6"/>
  <c r="R24" i="6" s="1"/>
  <c r="D10" i="11"/>
  <c r="C10" i="11" s="1"/>
  <c r="H26" i="6"/>
  <c r="R26" i="6" s="1"/>
  <c r="D6" i="6"/>
  <c r="C24" i="11"/>
  <c r="C14" i="12"/>
  <c r="D30" i="6"/>
  <c r="D16" i="6"/>
  <c r="C25" i="11"/>
  <c r="G70" i="39"/>
  <c r="H68" i="39"/>
  <c r="C17" i="71"/>
  <c r="D18" i="71"/>
  <c r="B8" i="71"/>
  <c r="B7" i="71" s="1"/>
  <c r="B6" i="71" s="1"/>
  <c r="B5" i="71" s="1"/>
  <c r="S9" i="71"/>
  <c r="S19" i="6"/>
  <c r="P14" i="1"/>
  <c r="P16" i="1" s="1"/>
  <c r="C11" i="12" s="1"/>
  <c r="D8" i="74"/>
  <c r="D7" i="74"/>
  <c r="C21" i="9"/>
  <c r="D21" i="9"/>
  <c r="G21" i="9"/>
  <c r="C34" i="11"/>
  <c r="N16" i="1"/>
  <c r="L16" i="1"/>
  <c r="H19" i="6"/>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9"/>
  <c r="D10" i="68"/>
  <c r="G34" i="43" l="1"/>
  <c r="I34" i="43" s="1"/>
  <c r="E29" i="43"/>
  <c r="C37" i="68"/>
  <c r="E35" i="43"/>
  <c r="G35" i="43"/>
  <c r="I35" i="43" s="1"/>
  <c r="G39" i="43"/>
  <c r="I39" i="43" s="1"/>
  <c r="E39" i="43"/>
  <c r="E33" i="43"/>
  <c r="G33" i="43"/>
  <c r="I33" i="43" s="1"/>
  <c r="C26" i="43"/>
  <c r="I27" i="6"/>
  <c r="S27" i="6"/>
  <c r="H23" i="6"/>
  <c r="R23" i="6" s="1"/>
  <c r="R10" i="1" s="1"/>
  <c r="C22" i="11"/>
  <c r="C31" i="11" s="1"/>
  <c r="D19" i="68"/>
  <c r="D37" i="68" s="1"/>
  <c r="C10" i="68"/>
  <c r="C8"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J7" i="21" l="1"/>
  <c r="C27" i="43"/>
  <c r="B2" i="43"/>
  <c r="H27" i="6"/>
  <c r="C19" i="68"/>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B6" i="76"/>
  <c r="E6" i="76"/>
  <c r="E2" i="76" l="1"/>
  <c r="E33" i="68"/>
  <c r="C39" i="68"/>
  <c r="B2" i="76"/>
  <c r="B3" i="43"/>
  <c r="C24" i="68"/>
  <c r="G11" i="39"/>
  <c r="H11" i="39" s="1"/>
  <c r="I11" i="39"/>
  <c r="J11" i="39" s="1"/>
  <c r="E11" i="39"/>
  <c r="F11" i="39" s="1"/>
  <c r="C42" i="11"/>
  <c r="J7" i="35"/>
  <c r="AC7" i="35" s="1"/>
  <c r="V38" i="35" s="1"/>
  <c r="I38" i="35" s="1"/>
  <c r="J70" i="39"/>
  <c r="K68" i="39"/>
  <c r="C41" i="6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B3" i="76" l="1"/>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C12" i="71"/>
  <c r="T13" i="71"/>
  <c r="D13" i="71"/>
  <c r="U13" i="71" s="1"/>
  <c r="C56" i="11"/>
  <c r="C57" i="11" s="1"/>
  <c r="R39" i="35"/>
  <c r="E38" i="35"/>
  <c r="M63" i="40"/>
  <c r="L65" i="40"/>
  <c r="B3" i="69"/>
  <c r="D51" i="68" l="1"/>
  <c r="E51" i="68"/>
  <c r="M70" i="39"/>
  <c r="N68" i="39"/>
  <c r="C57" i="69"/>
  <c r="C56" i="69" s="1"/>
  <c r="D12" i="71"/>
  <c r="C11" i="71"/>
  <c r="C39" i="35"/>
  <c r="B2" i="35" s="1"/>
  <c r="B3" i="35" s="1"/>
  <c r="C38" i="35"/>
  <c r="N63" i="40"/>
  <c r="M65" i="40"/>
  <c r="E43" i="35"/>
  <c r="F43" i="35" s="1"/>
  <c r="E42" i="35"/>
  <c r="F42" i="35" s="1"/>
  <c r="I43" i="35"/>
  <c r="J43" i="35" s="1"/>
  <c r="N70" i="39" l="1"/>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E8" i="85" s="1"/>
  <c r="C8" i="85" s="1"/>
  <c r="C7" i="85" s="1"/>
  <c r="E52" i="39"/>
  <c r="F52" i="39" s="1"/>
  <c r="E51" i="39"/>
  <c r="F51" i="39" s="1"/>
  <c r="D8" i="71"/>
  <c r="C7" i="71"/>
  <c r="I46" i="40"/>
  <c r="J46" i="40" s="1"/>
  <c r="R43" i="40"/>
  <c r="E42" i="40"/>
  <c r="G47" i="40"/>
  <c r="H47" i="40" s="1"/>
  <c r="G46" i="40"/>
  <c r="H46" i="40" s="1"/>
  <c r="C18" i="85" l="1"/>
  <c r="C17" i="85"/>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9" i="85" l="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L32" i="43" s="1"/>
  <c r="N31" i="43" s="1"/>
  <c r="C6" i="68" s="1"/>
  <c r="C7" i="68" s="1"/>
  <c r="C5" i="68" s="1"/>
  <c r="C20" i="68" s="1"/>
  <c r="C25" i="68" s="1"/>
  <c r="D5" i="71"/>
  <c r="M20" i="43" s="1"/>
  <c r="C54" i="68" l="1"/>
  <c r="D54" i="68" s="1"/>
  <c r="C23" i="68"/>
  <c r="C22" i="68" s="1"/>
  <c r="E6" i="68"/>
  <c r="E55" i="68" s="1"/>
  <c r="C28" i="68"/>
  <c r="C27" i="68" s="1"/>
  <c r="C31" i="68" l="1"/>
  <c r="D31" i="68" s="1"/>
  <c r="D53" i="68" s="1"/>
  <c r="C52" i="68" l="1"/>
  <c r="B2" i="68" s="1"/>
  <c r="D14" i="74" s="1"/>
  <c r="C57" i="68" l="1"/>
  <c r="C56" i="68" s="1"/>
  <c r="B5" i="74"/>
  <c r="F14" i="74"/>
  <c r="E14" i="74"/>
  <c r="B3" i="68"/>
  <c r="J2" i="82" l="1"/>
  <c r="K2" i="82" s="1"/>
  <c r="D5" i="74"/>
  <c r="C5" i="74"/>
  <c r="K5" i="82" l="1"/>
  <c r="B31" i="72"/>
  <c r="D15" i="53"/>
  <c r="H108" i="9"/>
  <c r="D6" i="74"/>
  <c r="G14" i="74"/>
  <c r="B6" i="74"/>
  <c r="C6" i="74"/>
  <c r="B21" i="72"/>
  <c r="D7" i="53"/>
  <c r="H102" i="9"/>
  <c r="E97" i="9"/>
  <c r="E96" i="9"/>
  <c r="C96" i="9"/>
  <c r="B20" i="72"/>
  <c r="H5" i="52"/>
  <c r="H119" i="9"/>
  <c r="D9" i="52"/>
  <c r="D123" i="9"/>
  <c r="B30" i="72"/>
  <c r="B51" i="72"/>
  <c r="F4" i="52"/>
  <c r="N61" i="9"/>
  <c r="N59" i="9"/>
  <c r="N60" i="9"/>
  <c r="B52" i="72"/>
  <c r="G4" i="52"/>
  <c r="B53" i="72"/>
  <c r="F5" i="52"/>
  <c r="G118" i="9"/>
  <c r="F118" i="9"/>
  <c r="F119" i="9"/>
  <c r="D13" i="53"/>
  <c r="D14" i="53"/>
  <c r="B32" i="72"/>
  <c r="C73" i="9"/>
  <c r="C78" i="9"/>
  <c r="D59" i="9"/>
  <c r="M55" i="9"/>
  <c r="D52" i="9"/>
  <c r="D53" i="9"/>
  <c r="C105" i="9"/>
  <c r="I4" i="52"/>
  <c r="E4" i="52"/>
  <c r="B48" i="72"/>
  <c r="C93" i="9"/>
  <c r="C86" i="9"/>
  <c r="H107" i="9"/>
  <c r="D122" i="9"/>
  <c r="D8" i="52"/>
  <c r="D119" i="9"/>
  <c r="D5" i="52"/>
  <c r="B49" i="72"/>
  <c r="D5" i="53"/>
  <c r="D6" i="53"/>
  <c r="B22" i="72"/>
  <c r="C80" i="9"/>
  <c r="E80" i="9"/>
  <c r="E81" i="9"/>
  <c r="C72" i="9"/>
  <c r="C79" i="9"/>
  <c r="C81" i="9"/>
  <c r="C85" i="9"/>
  <c r="C95" i="9"/>
  <c r="C97" i="9"/>
  <c r="D58" i="9"/>
  <c r="D56" i="9"/>
  <c r="M54" i="9"/>
  <c r="H4" i="52"/>
  <c r="C104" i="9"/>
  <c r="M48" i="9"/>
  <c r="N58" i="9"/>
  <c r="D55" i="9"/>
  <c r="M53" i="9"/>
  <c r="N57" i="9"/>
  <c r="P57" i="9"/>
  <c r="H101" i="9"/>
  <c r="D45" i="9"/>
  <c r="C64" i="9"/>
  <c r="C63" i="9"/>
  <c r="C67" i="9"/>
  <c r="C68" i="9"/>
  <c r="D54"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100-000001000000}">
      <text>
        <r>
          <rPr>
            <b/>
            <sz val="9"/>
            <rFont val="宋体"/>
            <family val="3"/>
            <charset val="134"/>
          </rPr>
          <t>Lenovo:含配套商业所分摊的拆迁费用，不含1.3亿购房款中回迁房的不计息成本</t>
        </r>
      </text>
    </comment>
    <comment ref="E5" authorId="0" shapeId="0" xr:uid="{00000000-0006-0000-1100-00000200000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100-000003000000}">
      <text>
        <r>
          <rPr>
            <b/>
            <sz val="9"/>
            <rFont val="宋体"/>
            <family val="3"/>
            <charset val="134"/>
          </rPr>
          <t>Lenovo:</t>
        </r>
        <r>
          <rPr>
            <sz val="9"/>
            <rFont val="宋体"/>
            <family val="3"/>
            <charset val="134"/>
          </rPr>
          <t xml:space="preserve">
非住宅拆迁费
</t>
        </r>
      </text>
    </comment>
    <comment ref="E7" authorId="0" shapeId="0" xr:uid="{00000000-0006-0000-1100-000004000000}">
      <text>
        <r>
          <rPr>
            <b/>
            <sz val="9"/>
            <rFont val="宋体"/>
            <family val="3"/>
            <charset val="134"/>
          </rPr>
          <t>Lenovo:</t>
        </r>
        <r>
          <rPr>
            <sz val="9"/>
            <rFont val="宋体"/>
            <family val="3"/>
            <charset val="134"/>
          </rPr>
          <t xml:space="preserve">
服务类合同
</t>
        </r>
      </text>
    </comment>
    <comment ref="F20" authorId="1" shapeId="0" xr:uid="{00000000-0006-0000-1100-00000500000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2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400-000002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<sst xmlns="http://schemas.openxmlformats.org/spreadsheetml/2006/main" count="8321" uniqueCount="3622">
  <si>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</si>
  <si>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</si>
  <si>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</si>
  <si>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</si>
  <si>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</si>
  <si>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</si>
  <si>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</si>
  <si>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</si>
  <si>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</si>
  <si>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</si>
  <si>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</si>
  <si>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</si>
  <si>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</si>
  <si>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</si>
  <si>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</si>
  <si>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</si>
  <si>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</si>
  <si>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</si>
  <si>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</si>
  <si>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</si>
  <si>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</si>
  <si>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</si>
  <si>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</si>
  <si>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</si>
  <si>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</si>
  <si>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</si>
  <si>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</si>
  <si>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</si>
  <si>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</si>
  <si>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</si>
  <si>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</si>
  <si>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</si>
  <si>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</si>
  <si>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</si>
  <si>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</si>
  <si>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</si>
  <si>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</si>
  <si>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</si>
  <si>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</si>
  <si>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</si>
  <si>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</si>
  <si>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</si>
  <si>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</si>
  <si>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</si>
  <si>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</si>
  <si>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</si>
  <si>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</si>
  <si>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</si>
  <si>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</si>
  <si>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</si>
  <si>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</si>
  <si>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</si>
  <si>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</si>
  <si>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</si>
  <si>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</si>
  <si>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</si>
  <si>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</si>
  <si>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</si>
  <si>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</si>
  <si>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</si>
  <si>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</si>
  <si>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</si>
  <si>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</si>
  <si>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</si>
  <si>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</si>
  <si>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</si>
  <si>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</si>
  <si>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</si>
  <si>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</si>
  <si>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</si>
  <si>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</si>
  <si>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</si>
  <si>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</si>
  <si>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</si>
  <si>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</si>
  <si>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</si>
  <si>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</si>
  <si>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</si>
  <si>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</si>
  <si>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</si>
  <si>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</si>
  <si>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</si>
  <si>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</si>
  <si>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</si>
  <si>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</si>
  <si>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</si>
  <si>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</si>
  <si>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</si>
  <si>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</si>
  <si>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</si>
  <si>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</si>
  <si>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</si>
  <si>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</si>
  <si>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</si>
  <si>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</si>
  <si>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</si>
  <si>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</si>
  <si>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</si>
  <si>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</si>
  <si>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</si>
  <si>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</si>
  <si>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</si>
  <si>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</si>
  <si>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</si>
  <si>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</si>
  <si>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</si>
  <si>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</si>
  <si>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</si>
  <si>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</si>
  <si>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</si>
  <si>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</si>
  <si>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</si>
  <si>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</si>
  <si>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</si>
  <si>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</si>
  <si>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</si>
  <si>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</si>
  <si>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</si>
  <si>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</si>
  <si>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</si>
  <si>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</si>
  <si>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</si>
  <si>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</si>
  <si>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</si>
  <si>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</si>
  <si>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</si>
  <si>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</si>
  <si>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</si>
  <si>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</si>
  <si>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</si>
  <si>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</si>
  <si>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</si>
  <si>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</si>
  <si>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</si>
  <si>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</si>
  <si>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</si>
  <si>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</si>
  <si>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</si>
  <si>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</si>
  <si>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</si>
  <si>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</si>
  <si>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</si>
  <si>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</si>
  <si>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</si>
  <si>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</si>
  <si>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</si>
  <si>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</si>
  <si>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</si>
  <si>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</si>
  <si>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</si>
  <si>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</si>
  <si>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</si>
  <si>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</si>
  <si>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</si>
  <si>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</si>
  <si>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</si>
  <si>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</si>
  <si>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</si>
  <si>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</si>
  <si>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</si>
  <si>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</si>
  <si>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</si>
  <si>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</si>
  <si>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</si>
  <si>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</si>
  <si>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</si>
  <si>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</si>
  <si>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</si>
  <si>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</si>
  <si>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</si>
  <si>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</si>
  <si>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</si>
  <si>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</si>
  <si>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</si>
  <si>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</si>
  <si>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</si>
  <si>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</si>
  <si>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</si>
  <si>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</si>
  <si>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</si>
  <si>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</si>
  <si>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</si>
  <si>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</si>
  <si>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</si>
  <si>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</si>
  <si>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</si>
  <si>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</si>
  <si>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</si>
  <si>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</si>
  <si>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</si>
  <si>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</si>
  <si>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</si>
  <si>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</si>
  <si>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</si>
  <si>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</si>
  <si>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</si>
  <si>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</si>
  <si>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</si>
  <si>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</si>
  <si>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</si>
  <si>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</si>
  <si>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</si>
  <si>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</si>
  <si>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</si>
  <si>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</si>
  <si>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</si>
  <si>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</si>
  <si>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</si>
  <si>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</si>
  <si>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</si>
  <si>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</si>
  <si>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</si>
  <si>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</si>
  <si>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</si>
  <si>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</si>
  <si>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</si>
  <si>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</si>
  <si>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</si>
  <si>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</si>
  <si>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</si>
  <si>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</si>
  <si>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</si>
  <si>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</si>
  <si>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</si>
  <si>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</si>
  <si>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</si>
  <si>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</si>
  <si>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</si>
  <si>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</si>
  <si>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</si>
  <si>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</si>
  <si>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</si>
  <si>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</si>
  <si>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</si>
  <si>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</si>
  <si>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</si>
  <si>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</si>
  <si>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</si>
  <si>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</si>
  <si>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</si>
  <si>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</si>
  <si>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</si>
  <si>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</si>
  <si>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</si>
  <si>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</si>
  <si>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</si>
  <si>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</si>
  <si>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</si>
  <si>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</si>
  <si>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</si>
  <si>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</si>
  <si>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</si>
  <si>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</si>
  <si>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</si>
  <si>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</si>
  <si>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</si>
  <si>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</si>
  <si>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</si>
  <si>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</si>
  <si>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</si>
  <si>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</si>
  <si>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</si>
  <si>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</si>
  <si>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</si>
  <si>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</si>
  <si>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</si>
  <si>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</si>
  <si>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</si>
  <si>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</si>
  <si>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</si>
  <si>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</si>
  <si>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</si>
  <si>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</si>
  <si>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</si>
  <si>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</si>
  <si>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</si>
  <si>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</si>
  <si>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</si>
  <si>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</si>
  <si>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</si>
  <si>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</si>
  <si>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</si>
  <si>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</si>
  <si>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</si>
  <si>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</si>
  <si>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</si>
  <si>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</si>
  <si>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</si>
  <si>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</si>
  <si>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</si>
  <si>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</si>
  <si>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</si>
  <si>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</si>
  <si>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</si>
  <si>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</si>
  <si>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</si>
  <si>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</si>
  <si>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</si>
  <si>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</si>
  <si>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</si>
  <si>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</si>
  <si>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</si>
  <si>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</si>
  <si>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</si>
  <si>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</si>
  <si>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</si>
  <si>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</si>
  <si>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</si>
  <si>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</si>
  <si>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</si>
  <si>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</si>
  <si>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</si>
  <si>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</si>
  <si>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</si>
  <si>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</si>
  <si>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</si>
  <si>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</si>
  <si>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</si>
  <si>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</si>
  <si>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</si>
  <si>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</si>
  <si>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</si>
  <si>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</si>
  <si>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</si>
  <si>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</si>
  <si>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</si>
  <si>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</si>
  <si>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</si>
  <si>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</si>
  <si>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</si>
  <si>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</si>
  <si>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</si>
  <si>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</si>
  <si>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</si>
  <si>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</si>
  <si>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</si>
  <si>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</si>
  <si>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</si>
  <si>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</si>
  <si>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</si>
  <si>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</si>
  <si>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</si>
  <si>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</si>
  <si>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</si>
  <si>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</si>
  <si>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</si>
  <si>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</si>
  <si>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</si>
  <si>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</si>
  <si>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</si>
  <si>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</si>
  <si>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</si>
  <si>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</si>
  <si>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</si>
  <si>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</si>
  <si>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</si>
  <si>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</si>
  <si>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</si>
  <si>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</si>
  <si>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</si>
  <si>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</si>
  <si>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</si>
  <si>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</si>
  <si>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</si>
  <si>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</si>
  <si>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</si>
  <si>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</si>
  <si>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</si>
  <si>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</si>
  <si>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</si>
  <si>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</si>
  <si>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</si>
  <si>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</si>
  <si>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</si>
  <si>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</si>
  <si>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</si>
  <si>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</si>
  <si>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</si>
  <si>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</si>
  <si>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</si>
  <si>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</si>
  <si>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</si>
  <si>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</si>
  <si>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</si>
  <si>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</si>
  <si>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</si>
  <si>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</si>
  <si>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</si>
  <si>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</si>
  <si>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</si>
  <si>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</si>
  <si>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</si>
  <si>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</si>
  <si>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</si>
  <si>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</si>
  <si>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</si>
  <si>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</si>
  <si>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</si>
  <si>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</si>
  <si>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</si>
  <si>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</si>
  <si>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</si>
  <si>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</si>
  <si>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</si>
  <si>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</si>
  <si>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</si>
  <si>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</si>
  <si>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</si>
  <si>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</si>
  <si>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</si>
  <si>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</si>
  <si>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</si>
  <si>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</si>
  <si>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</si>
  <si>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</si>
  <si>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</si>
  <si>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</si>
  <si>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</si>
  <si>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</si>
  <si>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</si>
  <si>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</si>
  <si>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</si>
  <si>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</si>
  <si>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</si>
  <si>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</si>
  <si>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</si>
  <si>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</si>
  <si>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</si>
  <si>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</si>
  <si>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</si>
  <si>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</si>
  <si>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</si>
  <si>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</si>
  <si>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</si>
  <si>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</si>
  <si>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</si>
  <si>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</si>
  <si>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</si>
  <si>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</si>
  <si>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</si>
  <si>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</si>
  <si>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</si>
  <si>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</si>
  <si>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</si>
  <si>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</si>
  <si>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</si>
  <si>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</si>
  <si>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</si>
  <si>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</si>
  <si>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</si>
  <si>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</si>
  <si>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</si>
  <si>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</si>
  <si>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</si>
  <si>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</si>
  <si>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</si>
  <si>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</si>
  <si>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</si>
  <si>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</si>
  <si>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</si>
  <si>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</si>
  <si>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</si>
  <si>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</si>
  <si>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</si>
  <si>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</si>
  <si>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</si>
  <si>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</si>
  <si>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</si>
  <si>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</si>
  <si>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</si>
  <si>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</si>
  <si>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</si>
  <si>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</si>
  <si>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</si>
  <si>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</si>
  <si>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</si>
  <si>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</si>
  <si>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</si>
  <si>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</si>
  <si>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</si>
  <si>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</si>
  <si>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</si>
  <si>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</si>
  <si>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</si>
  <si>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</si>
  <si>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</si>
  <si>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</si>
  <si>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</si>
  <si>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</si>
  <si>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</si>
  <si>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</si>
  <si>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</si>
  <si>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</si>
  <si>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</si>
  <si>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</si>
  <si>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</si>
  <si>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</si>
  <si>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</si>
  <si>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</si>
  <si>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</si>
  <si>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</si>
  <si>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</si>
  <si>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</si>
  <si>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</si>
  <si>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</si>
  <si>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</si>
  <si>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</si>
  <si>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</si>
  <si>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</si>
  <si>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</si>
  <si>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</si>
  <si>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</si>
  <si>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</si>
  <si>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</si>
  <si>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</si>
  <si>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</si>
  <si>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</si>
  <si>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</si>
  <si>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</si>
  <si>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</si>
  <si>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</si>
  <si>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</si>
  <si>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</si>
  <si>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</si>
  <si>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</si>
  <si>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</si>
  <si>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</si>
  <si>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</si>
  <si>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</si>
  <si>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</si>
  <si>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</si>
  <si>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</si>
  <si>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</si>
  <si>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</si>
  <si>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</si>
  <si>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</si>
  <si>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</si>
  <si>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</si>
  <si>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</si>
  <si>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</si>
  <si>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</si>
  <si>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</si>
  <si>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</si>
  <si>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</si>
  <si>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</si>
  <si>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</si>
  <si>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</si>
  <si>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</si>
  <si>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</si>
  <si>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</si>
  <si>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</si>
  <si>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</si>
  <si>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</si>
  <si>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</si>
  <si>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</si>
  <si>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</si>
  <si>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</si>
  <si>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</si>
  <si>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</si>
  <si>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</si>
  <si>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</si>
  <si>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</si>
  <si>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</si>
  <si>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</si>
  <si>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</si>
  <si>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</si>
  <si>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</si>
  <si>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</si>
  <si>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</si>
  <si>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</si>
  <si>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</si>
  <si>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</si>
  <si>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</si>
  <si>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</si>
  <si>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</si>
  <si>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</si>
  <si>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</si>
  <si>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</si>
  <si>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</si>
  <si>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</si>
  <si>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</si>
  <si>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</si>
  <si>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</si>
  <si>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</si>
  <si>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</si>
  <si>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</si>
  <si>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</si>
  <si>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</si>
  <si>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</si>
  <si>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</si>
  <si>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</si>
  <si>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</si>
  <si>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</si>
  <si>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</si>
  <si>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</si>
  <si>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</si>
  <si>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</si>
  <si>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</si>
  <si>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</si>
  <si>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</si>
  <si>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</si>
  <si>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</si>
  <si>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</si>
  <si>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</si>
  <si>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</si>
  <si>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</si>
  <si>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</si>
  <si>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</si>
  <si>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</si>
  <si>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</si>
  <si>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</si>
  <si>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</si>
  <si>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</si>
  <si>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</si>
  <si>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</si>
  <si>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</si>
  <si>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</si>
  <si>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</si>
  <si>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</si>
  <si>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</si>
  <si>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</si>
  <si>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</si>
  <si>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</si>
  <si>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</si>
  <si>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</si>
  <si>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</si>
  <si>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</si>
  <si>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</si>
  <si>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</si>
  <si>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</si>
  <si>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</si>
  <si>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</si>
  <si>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</si>
  <si>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</si>
  <si>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</si>
  <si>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</si>
  <si>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</si>
  <si>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</si>
  <si>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</si>
  <si>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</si>
  <si>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</si>
  <si>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</si>
  <si>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</si>
  <si>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</si>
  <si>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</si>
  <si>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</si>
  <si>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</si>
  <si>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</si>
  <si>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</si>
  <si>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</si>
  <si>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</si>
  <si>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</si>
  <si>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</si>
  <si>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</si>
  <si>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</si>
  <si>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</si>
  <si>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</si>
  <si>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</si>
  <si>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</si>
  <si>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</si>
  <si>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</si>
  <si>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</si>
  <si>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</si>
  <si>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</si>
  <si>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</si>
  <si>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</si>
  <si>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</si>
  <si>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</si>
  <si>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</si>
  <si>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</si>
  <si>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</si>
  <si>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</si>
  <si>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</si>
  <si>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</si>
  <si>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</si>
  <si>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</si>
  <si>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</si>
  <si>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</si>
  <si>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</si>
  <si>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</si>
  <si>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</si>
  <si>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</si>
  <si>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</si>
  <si>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</si>
  <si>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</si>
  <si>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</si>
  <si>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</si>
  <si>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</si>
  <si>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</si>
  <si>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</si>
  <si>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</si>
  <si>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</si>
  <si>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</si>
  <si>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</si>
  <si>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</si>
  <si>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</si>
  <si>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</si>
  <si>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</si>
  <si>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</si>
  <si>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</si>
  <si>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</si>
  <si>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</si>
  <si>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</si>
  <si>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</si>
  <si>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</si>
  <si>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</si>
  <si>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</si>
  <si>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</si>
  <si>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</si>
  <si>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</si>
  <si>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</si>
  <si>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</si>
  <si>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</si>
  <si>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</si>
  <si>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</si>
  <si>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</si>
  <si>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</si>
  <si>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</si>
  <si>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</si>
  <si>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</si>
  <si>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</si>
  <si>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</si>
  <si>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</si>
  <si>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</si>
  <si>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</si>
  <si>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</si>
  <si>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</si>
  <si>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</si>
  <si>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</si>
  <si>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</si>
  <si>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</si>
  <si>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</si>
  <si>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</si>
  <si>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</si>
  <si>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</si>
  <si>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</si>
  <si>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</si>
  <si>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</si>
  <si>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</si>
  <si>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</si>
  <si>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</si>
  <si>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</si>
  <si>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</si>
  <si>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</si>
  <si>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</si>
  <si>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</si>
  <si>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</si>
  <si>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</si>
  <si>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</si>
  <si>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</si>
  <si>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</si>
  <si>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</si>
  <si>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</si>
  <si>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</si>
  <si>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</si>
  <si>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</si>
  <si>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</si>
  <si>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</si>
  <si>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</si>
  <si>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</si>
  <si>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</si>
  <si>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</si>
  <si>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</si>
  <si>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</si>
  <si>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</si>
  <si>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</si>
  <si>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</si>
  <si>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</si>
  <si>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</si>
  <si>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</si>
  <si>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</si>
  <si>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</si>
  <si>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</si>
  <si>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</si>
  <si>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</si>
  <si>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</si>
  <si>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</si>
  <si>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</si>
  <si>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</si>
  <si>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</si>
  <si>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</si>
  <si>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</si>
  <si>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</si>
  <si>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</si>
  <si>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</si>
  <si>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</si>
  <si>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</si>
  <si>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</si>
  <si>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</si>
  <si>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</si>
  <si>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</si>
  <si>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</si>
  <si>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</si>
  <si>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</si>
  <si>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</si>
  <si>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</si>
  <si>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</si>
  <si>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</si>
  <si>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</si>
  <si>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</si>
  <si>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</si>
  <si>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</si>
  <si>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</si>
  <si>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</si>
  <si>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</si>
  <si>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</si>
  <si>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</si>
  <si>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</si>
  <si>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</si>
  <si>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</si>
  <si>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</si>
  <si>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</si>
  <si>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</si>
  <si>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</si>
  <si>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</si>
  <si>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</si>
  <si>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</si>
  <si>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</si>
  <si>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</si>
  <si>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</si>
  <si>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</si>
  <si>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</si>
  <si>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</si>
  <si>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</si>
  <si>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</si>
  <si>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</si>
  <si>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</si>
  <si>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</si>
  <si>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</si>
  <si>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</si>
  <si>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</si>
  <si>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</si>
  <si>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</si>
  <si>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</si>
  <si>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</si>
  <si>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</si>
  <si>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</si>
  <si>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</si>
  <si>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</si>
  <si>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</si>
  <si>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</si>
  <si>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</si>
  <si>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</si>
  <si>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</si>
  <si>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</si>
  <si>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</si>
  <si>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</si>
  <si>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</si>
  <si>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</si>
  <si>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</si>
  <si>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</si>
  <si>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</si>
  <si>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</si>
  <si>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</si>
  <si>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</si>
  <si>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</si>
  <si>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</si>
  <si>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</si>
  <si>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</si>
  <si>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</si>
  <si>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</si>
  <si>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</si>
  <si>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</si>
  <si>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</si>
  <si>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</si>
  <si>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</si>
  <si>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</si>
  <si>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</si>
  <si>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</si>
  <si>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</si>
  <si>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</si>
  <si>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</si>
  <si>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</si>
  <si>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</si>
  <si>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</si>
  <si>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</si>
  <si>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</si>
  <si>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</si>
  <si>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</si>
  <si>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</si>
  <si>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</si>
  <si>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</si>
  <si>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</si>
  <si>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</si>
  <si>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</si>
  <si>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</si>
  <si>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</si>
  <si>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</si>
  <si>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</si>
  <si>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</si>
  <si>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</si>
  <si>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</si>
  <si>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</si>
  <si>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</si>
  <si>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</si>
  <si>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</si>
  <si>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</si>
  <si>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</si>
  <si>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</si>
  <si>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</si>
  <si>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</si>
  <si>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</si>
  <si>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</si>
  <si>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</si>
  <si>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</si>
  <si>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</si>
  <si>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</si>
  <si>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</si>
  <si>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</si>
  <si>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</si>
  <si>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</si>
  <si>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</si>
  <si>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</si>
  <si>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</si>
  <si>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</si>
  <si>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</si>
  <si>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</si>
  <si>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</si>
  <si>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</si>
  <si>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</si>
  <si>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</si>
  <si>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</si>
  <si>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</si>
  <si>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</si>
  <si>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</si>
  <si>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</si>
  <si>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</si>
  <si>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</si>
  <si>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</si>
  <si>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</si>
  <si>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</si>
  <si>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</si>
  <si>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</si>
  <si>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</si>
  <si>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</si>
  <si>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</si>
  <si>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</si>
  <si>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</si>
  <si>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</si>
  <si>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</si>
  <si>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</si>
  <si>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</si>
  <si>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</si>
  <si>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</si>
  <si>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</si>
  <si>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</si>
  <si>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</si>
  <si>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</si>
  <si>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</si>
  <si>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</si>
  <si>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</si>
  <si>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</si>
  <si>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</si>
  <si>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</si>
  <si>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</si>
  <si>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</si>
  <si>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</si>
  <si>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</si>
  <si>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</si>
  <si>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</si>
  <si>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</si>
  <si>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</si>
  <si>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</si>
  <si>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</si>
  <si>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</si>
  <si>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</si>
  <si>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</si>
  <si>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</si>
  <si>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</si>
  <si>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</si>
  <si>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</si>
  <si>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</si>
  <si>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</si>
  <si>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</si>
  <si>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</si>
  <si>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</si>
  <si>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</si>
  <si>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</si>
  <si>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</si>
  <si>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</si>
  <si>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</si>
  <si>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</si>
  <si>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</si>
  <si>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</si>
  <si>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</si>
  <si>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</si>
  <si>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</si>
  <si>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</si>
  <si>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</si>
  <si>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</si>
  <si>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</si>
  <si>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</si>
  <si>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</si>
  <si>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</si>
  <si>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</si>
  <si>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</si>
  <si>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</si>
  <si>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</si>
  <si>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</si>
  <si>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</si>
  <si>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</si>
  <si>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</si>
  <si>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</si>
  <si>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</si>
  <si>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</si>
  <si>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</si>
  <si>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</si>
  <si>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</si>
  <si>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</si>
  <si>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</si>
  <si>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</si>
  <si>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</si>
  <si>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</si>
  <si>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</si>
  <si>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</si>
  <si>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</si>
  <si>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</si>
  <si>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</si>
  <si>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</si>
  <si>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</si>
  <si>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</si>
  <si>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</si>
  <si>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</si>
  <si>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</si>
  <si>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</si>
  <si>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</si>
  <si>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</si>
  <si>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</si>
  <si>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</si>
  <si>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</si>
  <si>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</si>
  <si>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</si>
  <si>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</si>
  <si>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</si>
  <si>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</si>
  <si>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</si>
  <si>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</si>
  <si>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</si>
  <si>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</si>
  <si>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</si>
  <si>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</si>
  <si>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</si>
  <si>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</si>
  <si>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</si>
  <si>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</si>
  <si>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</si>
  <si>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</si>
  <si>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</si>
  <si>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</si>
  <si>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</si>
  <si>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</si>
  <si>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</si>
  <si>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</si>
  <si>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</si>
  <si>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</si>
  <si>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</si>
  <si>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</si>
  <si>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</si>
  <si>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</si>
  <si>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</si>
  <si>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</si>
  <si>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</si>
  <si>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</si>
  <si>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</si>
  <si>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</si>
  <si>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</si>
  <si>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</si>
  <si>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</si>
  <si>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</si>
  <si>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</si>
  <si>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</si>
  <si>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</si>
  <si>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</si>
  <si>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</si>
  <si>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</si>
  <si>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</si>
  <si>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</si>
  <si>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</si>
  <si>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</si>
  <si>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</si>
  <si>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</si>
  <si>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</si>
  <si>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</si>
  <si>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</si>
  <si>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</si>
  <si>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</si>
  <si>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</si>
  <si>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</si>
  <si>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</si>
  <si>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</si>
  <si>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</si>
  <si>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</si>
  <si>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</si>
  <si>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</si>
  <si>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</si>
  <si>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</si>
  <si>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</si>
  <si>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</si>
  <si>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</si>
  <si>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</si>
  <si>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</si>
  <si>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</si>
  <si>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</si>
  <si>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</si>
  <si>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</si>
  <si>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</si>
  <si>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</si>
  <si>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</si>
  <si>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</si>
  <si>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</si>
  <si>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</si>
  <si>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</si>
  <si>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</si>
  <si>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</si>
  <si>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</si>
  <si>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</si>
  <si>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</si>
  <si>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</si>
  <si>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</si>
  <si>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</si>
  <si>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</si>
  <si>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</si>
  <si>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</si>
  <si>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</si>
  <si>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</si>
  <si>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</si>
  <si>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</si>
  <si>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</si>
  <si>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</si>
  <si>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</si>
  <si>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</si>
  <si>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</si>
  <si>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</si>
  <si>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</si>
  <si>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</si>
  <si>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</si>
  <si>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</si>
  <si>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</si>
  <si>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</si>
  <si>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</si>
  <si>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</si>
  <si>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</si>
  <si>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</si>
  <si>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</si>
  <si>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</si>
  <si>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</si>
  <si>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</si>
  <si>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</si>
  <si>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</si>
  <si>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</si>
  <si>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</si>
  <si>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</si>
  <si>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</si>
  <si>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</si>
  <si>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</si>
  <si>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</si>
  <si>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</si>
  <si>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</si>
  <si>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</si>
  <si>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</si>
  <si>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</si>
  <si>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</si>
  <si>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</si>
  <si>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</si>
  <si>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</si>
  <si>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</si>
  <si>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</si>
  <si>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</si>
  <si>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</si>
  <si>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</si>
  <si>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</si>
  <si>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</si>
  <si>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</si>
  <si>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</si>
  <si>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</si>
  <si>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</si>
  <si>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</si>
  <si>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</si>
  <si>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</si>
  <si>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</si>
  <si>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</si>
  <si>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</si>
  <si>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</si>
  <si>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</si>
  <si>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</si>
  <si>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</si>
  <si>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</si>
  <si>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</si>
  <si>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</si>
  <si>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</si>
  <si>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</si>
  <si>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</si>
  <si>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</si>
  <si>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</si>
  <si>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</si>
  <si>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</si>
  <si>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</si>
  <si>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</si>
  <si>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</si>
  <si>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</si>
  <si>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</si>
  <si>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</si>
  <si>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</si>
  <si>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</si>
  <si>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</si>
  <si>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</si>
  <si>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</si>
  <si>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</si>
  <si>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</si>
  <si>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</si>
  <si>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</si>
  <si>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</si>
  <si>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</si>
  <si>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</si>
  <si>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</si>
  <si>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</si>
  <si>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</si>
  <si>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</si>
  <si>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</si>
  <si>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</si>
  <si>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</si>
  <si>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</si>
  <si>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</si>
  <si>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</si>
  <si>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</si>
  <si>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</si>
  <si>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</si>
  <si>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</si>
  <si>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</si>
  <si>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</si>
  <si>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</si>
  <si>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</si>
  <si>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</si>
  <si>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</si>
  <si>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</si>
  <si>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</si>
  <si>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</si>
  <si>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</si>
  <si>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</si>
  <si>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</si>
  <si>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</si>
  <si>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</si>
  <si>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</si>
  <si>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</si>
  <si>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</si>
  <si>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</si>
  <si>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</si>
  <si>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</si>
  <si>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</si>
  <si>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</si>
  <si>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</si>
  <si>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</si>
  <si>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</si>
  <si>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</si>
  <si>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</si>
  <si>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</si>
  <si>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</si>
  <si>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</si>
  <si>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</si>
  <si>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</si>
  <si>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</si>
  <si>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</si>
  <si>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</si>
  <si>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</si>
  <si>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</si>
  <si>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</si>
  <si>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</si>
  <si>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</si>
  <si>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</si>
  <si>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</si>
  <si>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</si>
  <si>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</si>
  <si>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</si>
  <si>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</si>
  <si>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</si>
  <si>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</si>
  <si>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</si>
  <si>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</si>
  <si>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</si>
  <si>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</si>
  <si>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</si>
  <si>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</si>
  <si>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</si>
  <si>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</si>
  <si>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</si>
  <si>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</si>
  <si>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</si>
  <si>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</si>
  <si>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</si>
  <si>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</si>
  <si>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</si>
  <si>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</si>
  <si>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</si>
  <si>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</si>
  <si>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</si>
  <si>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</si>
  <si>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</si>
  <si>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</si>
  <si>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</si>
  <si>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</si>
  <si>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</si>
  <si>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</si>
  <si>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</si>
  <si>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</si>
  <si>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</si>
  <si>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</si>
  <si>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</si>
  <si>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</si>
  <si>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</si>
  <si>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</si>
  <si>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</si>
  <si>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</si>
  <si>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</si>
  <si>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</si>
  <si>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</si>
  <si>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</si>
  <si>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</si>
  <si>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</si>
  <si>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</si>
  <si>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</si>
  <si>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</si>
  <si>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</si>
  <si>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</si>
  <si>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</si>
  <si>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</si>
  <si>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</si>
  <si>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</si>
  <si>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</si>
  <si>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</si>
  <si>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</si>
  <si>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</si>
  <si>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</si>
  <si>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</si>
  <si>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</si>
  <si>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</si>
  <si>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</si>
  <si>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</si>
  <si>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</si>
  <si>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</si>
  <si>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</si>
  <si>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</si>
  <si>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</si>
  <si>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</si>
  <si>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</si>
  <si>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</si>
  <si>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</si>
  <si>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</si>
  <si>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</si>
  <si>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</si>
  <si>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</si>
  <si>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</si>
  <si>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</si>
  <si>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</si>
  <si>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</si>
  <si>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</si>
  <si>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</si>
  <si>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</si>
  <si>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</si>
  <si>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</si>
  <si>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</si>
  <si>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</si>
  <si>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</si>
  <si>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</si>
  <si>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</si>
  <si>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</si>
  <si>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</si>
  <si>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</si>
  <si>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</si>
  <si>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</si>
  <si>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</si>
  <si>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</si>
  <si>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</si>
  <si>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</si>
  <si>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</si>
  <si>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</si>
  <si>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</si>
  <si>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</si>
  <si>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</si>
  <si>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</si>
  <si>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</si>
  <si>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</si>
  <si>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</si>
  <si>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</si>
  <si>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</si>
  <si>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</si>
  <si>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</si>
  <si>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</si>
  <si>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</si>
  <si>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</si>
  <si>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</si>
  <si>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</si>
  <si>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</si>
  <si>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</si>
  <si>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</si>
  <si>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</si>
  <si>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</si>
  <si>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</si>
  <si>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</si>
  <si>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</si>
  <si>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</si>
  <si>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</si>
  <si>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</si>
  <si>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</si>
  <si>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</si>
  <si>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</si>
  <si>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</si>
  <si>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</si>
  <si>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</si>
  <si>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</si>
  <si>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</si>
  <si>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</si>
  <si>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</si>
  <si>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</si>
  <si>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</si>
  <si>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</si>
  <si>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</si>
  <si>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</si>
  <si>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</si>
  <si>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</si>
  <si>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</si>
  <si>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</si>
  <si>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</si>
  <si>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</si>
  <si>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</si>
  <si>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</si>
  <si>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</si>
  <si>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</si>
  <si>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</si>
  <si>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</si>
  <si>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</si>
  <si>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</si>
  <si>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</si>
  <si>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</si>
  <si>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</si>
  <si>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</si>
  <si>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</si>
  <si>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</si>
  <si>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</si>
  <si>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</si>
  <si>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</si>
  <si>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</si>
  <si>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</si>
  <si>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</si>
  <si>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</si>
  <si>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</si>
  <si>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</si>
  <si>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</si>
  <si>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</si>
  <si>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</si>
  <si>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</si>
  <si>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</si>
  <si>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</si>
  <si>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</si>
  <si>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</si>
  <si>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</si>
  <si>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</si>
  <si>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</si>
  <si>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</si>
  <si>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</si>
  <si>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</si>
  <si>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</si>
  <si>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</si>
  <si>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</si>
  <si>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</si>
  <si>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</si>
  <si>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</si>
  <si>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</si>
  <si>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</si>
  <si>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</si>
  <si>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</si>
  <si>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</si>
  <si>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</si>
  <si>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</si>
  <si>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</si>
  <si>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</si>
  <si>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</si>
  <si>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</si>
  <si>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</si>
  <si>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</si>
  <si>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</si>
  <si>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</si>
  <si>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</si>
  <si>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</si>
  <si>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</si>
  <si>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</si>
  <si>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</si>
  <si>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</si>
  <si>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</si>
  <si>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</si>
  <si>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</si>
  <si>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</si>
  <si>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</si>
  <si>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</si>
  <si>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</si>
  <si>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</si>
  <si>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</si>
  <si>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</si>
  <si>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</si>
  <si>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</si>
  <si>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</si>
  <si>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</si>
  <si>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</si>
  <si>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</si>
  <si>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</si>
  <si>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</si>
  <si>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</si>
  <si>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</si>
  <si>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</si>
  <si>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</si>
  <si>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</si>
  <si>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</si>
  <si>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</si>
  <si>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</si>
  <si>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</si>
  <si>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</si>
  <si>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</si>
  <si>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</si>
  <si>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</si>
  <si>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</si>
  <si>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</si>
  <si>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</si>
  <si>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</si>
  <si>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</si>
  <si>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</si>
  <si>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</si>
  <si>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</si>
  <si>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</si>
  <si>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</si>
  <si>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</si>
  <si>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</si>
  <si>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</si>
  <si>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</si>
  <si>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</si>
  <si>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</si>
  <si>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</si>
  <si>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</si>
  <si>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</si>
  <si>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</si>
  <si>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</si>
  <si>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</si>
  <si>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</si>
  <si>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</si>
  <si>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</si>
  <si>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</si>
  <si>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</si>
  <si>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</si>
  <si>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</si>
  <si>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</si>
  <si>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</si>
  <si>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</si>
  <si>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</si>
  <si>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</si>
  <si>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</si>
  <si>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</si>
  <si>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</si>
  <si>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</si>
  <si>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</si>
  <si>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</si>
  <si>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</si>
  <si>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</si>
  <si>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</si>
  <si>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</si>
  <si>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</si>
  <si>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</si>
  <si>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</si>
  <si>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</si>
  <si>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</si>
  <si>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</si>
  <si>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</si>
  <si>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</si>
  <si>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</si>
  <si>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</si>
  <si>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</si>
  <si>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</si>
  <si>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</si>
  <si>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</si>
  <si>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</si>
  <si>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</si>
  <si>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</si>
  <si>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</si>
  <si>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</si>
  <si>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</si>
  <si>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</si>
  <si>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</si>
  <si>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</si>
  <si>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</si>
  <si>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</si>
  <si>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</si>
  <si>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</si>
  <si>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</si>
  <si>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</si>
  <si>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</si>
  <si>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</si>
  <si>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</si>
  <si>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</si>
  <si>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</si>
  <si>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</si>
  <si>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</si>
  <si>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</si>
  <si>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</si>
  <si>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</si>
  <si>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</si>
  <si>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</si>
  <si>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</si>
  <si>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</si>
  <si>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</si>
  <si>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</si>
  <si>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</si>
  <si>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</si>
  <si>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</si>
  <si>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</si>
  <si>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</si>
  <si>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</si>
  <si>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</si>
  <si>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</si>
  <si>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</si>
  <si>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</si>
  <si>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</si>
  <si>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</si>
  <si>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</si>
  <si>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</si>
  <si>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</si>
  <si>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</si>
  <si>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</si>
  <si>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</si>
  <si>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</si>
  <si>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</si>
  <si>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</si>
  <si>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</si>
  <si>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</si>
  <si>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</si>
  <si>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</si>
  <si>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</si>
  <si>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</si>
  <si>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</si>
  <si>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</si>
  <si>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</si>
  <si>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</si>
  <si>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</si>
  <si>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</si>
  <si>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</si>
  <si>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</si>
  <si>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</si>
  <si>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</si>
  <si>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</si>
  <si>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</si>
  <si>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</si>
  <si>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</si>
  <si>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</si>
  <si>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</si>
  <si>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</si>
  <si>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</si>
  <si>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</si>
  <si>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</si>
  <si>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</si>
  <si>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</si>
  <si>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</si>
  <si>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</si>
  <si>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</si>
  <si>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</si>
  <si>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</si>
  <si>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</si>
  <si>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</si>
  <si>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</si>
  <si>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</si>
  <si>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</si>
  <si>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</si>
  <si>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</si>
  <si>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</si>
  <si>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</si>
  <si>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</si>
  <si>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</si>
  <si>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</si>
  <si>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</si>
  <si>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</si>
  <si>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</si>
  <si>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</si>
  <si>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</si>
  <si>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</si>
  <si>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</si>
  <si>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</si>
  <si>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</si>
  <si>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</si>
  <si>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</si>
  <si>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</si>
  <si>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</si>
  <si>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</si>
  <si>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</si>
  <si>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</si>
  <si>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</si>
  <si>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</si>
  <si>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</si>
  <si>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</si>
  <si>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</si>
  <si>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</si>
  <si>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</si>
  <si>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</si>
  <si>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</si>
  <si>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</si>
  <si>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</si>
  <si>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</si>
  <si>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</si>
  <si>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</si>
  <si>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</si>
  <si>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</si>
  <si>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</si>
  <si>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</si>
  <si>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</si>
  <si>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</si>
  <si>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</si>
  <si>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</si>
  <si>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</si>
  <si>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</si>
  <si>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</si>
  <si>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</si>
  <si>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</si>
  <si>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</si>
  <si>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</si>
  <si>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</si>
  <si>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</si>
  <si>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</si>
  <si>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</si>
  <si>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</si>
  <si>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</si>
  <si>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</si>
  <si>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</si>
  <si>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</si>
  <si>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</si>
  <si>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</si>
  <si>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</si>
  <si>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</si>
  <si>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</si>
  <si>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</si>
  <si>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</si>
  <si>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</si>
  <si>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</si>
  <si>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</si>
  <si>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</si>
  <si>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</si>
  <si>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</si>
  <si>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</si>
  <si>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</si>
  <si>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</si>
  <si>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</si>
  <si>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</si>
  <si>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</si>
  <si>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</si>
  <si>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</si>
  <si>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</si>
  <si>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</si>
  <si>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</si>
  <si>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</si>
  <si>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</si>
  <si>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</si>
  <si>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</si>
  <si>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</si>
  <si>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</si>
  <si>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</si>
  <si>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</si>
  <si>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</si>
  <si>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</si>
  <si>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</si>
  <si>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</si>
  <si>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</si>
  <si>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</si>
  <si>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</si>
  <si>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</si>
  <si>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</si>
  <si>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</si>
  <si>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</si>
  <si>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</si>
  <si>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</si>
  <si>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</si>
  <si>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</si>
  <si>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</si>
  <si>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</si>
  <si>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</si>
  <si>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</si>
  <si>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</si>
  <si>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</si>
  <si>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</si>
  <si>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</si>
  <si>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</si>
  <si>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</si>
  <si>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</si>
  <si>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</si>
  <si>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</si>
  <si>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</si>
  <si>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</si>
  <si>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</si>
  <si>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</si>
  <si>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</si>
  <si>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</si>
  <si>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</si>
  <si>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</si>
  <si>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</si>
  <si>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</si>
  <si>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</si>
  <si>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</si>
  <si>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</si>
  <si>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</si>
  <si>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</si>
  <si>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</si>
  <si>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</si>
  <si>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</si>
  <si>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</si>
  <si>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</si>
  <si>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</si>
  <si>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</si>
  <si>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</si>
  <si>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</si>
  <si>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</si>
  <si>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</si>
  <si>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</si>
  <si>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</si>
  <si>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</si>
  <si>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</si>
  <si>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</si>
  <si>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</si>
  <si>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</si>
  <si>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</si>
  <si>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</si>
  <si>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</si>
  <si>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</si>
  <si>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</si>
  <si>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</si>
  <si>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</si>
  <si>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</si>
  <si>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</si>
  <si>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</si>
  <si>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</si>
  <si>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</si>
  <si>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</si>
  <si>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</si>
  <si>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</si>
  <si>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</si>
  <si>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</si>
  <si>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</si>
  <si>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</si>
  <si>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</si>
  <si>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</si>
  <si>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</si>
  <si>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</si>
  <si>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</si>
  <si>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</si>
  <si>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</si>
  <si>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</si>
  <si>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</si>
  <si>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</si>
  <si>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</si>
  <si>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</si>
  <si>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</si>
  <si>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</si>
  <si>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</si>
  <si>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</si>
  <si>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</si>
  <si>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</si>
  <si>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</si>
  <si>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</si>
  <si>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</si>
  <si>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</si>
  <si>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</si>
  <si>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</si>
  <si>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</si>
  <si>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</si>
  <si>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</si>
  <si>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</si>
  <si>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</si>
  <si>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</si>
  <si>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</si>
  <si>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</si>
  <si>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</si>
  <si>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</si>
  <si>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</si>
  <si>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</si>
  <si>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</si>
  <si>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</si>
  <si>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</si>
  <si>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</si>
  <si>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</si>
  <si>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</si>
  <si>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</si>
  <si>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</si>
  <si>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</si>
  <si>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</si>
  <si>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</si>
  <si>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</si>
  <si>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</si>
  <si>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</si>
  <si>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</si>
  <si>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</si>
  <si>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</si>
  <si>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</si>
  <si>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</si>
  <si>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</si>
  <si>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</si>
  <si>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</si>
  <si>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</si>
  <si>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</si>
  <si>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</si>
  <si>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</si>
  <si>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</si>
  <si>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</si>
  <si>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</si>
  <si>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</si>
  <si>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</si>
  <si>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</si>
  <si>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</si>
  <si>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</si>
  <si>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</si>
  <si>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</si>
  <si>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</si>
  <si>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</si>
  <si>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</si>
  <si>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</si>
  <si>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</si>
  <si>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</si>
  <si>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</si>
  <si>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</si>
  <si>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</si>
  <si>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</si>
  <si>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</si>
  <si>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</si>
  <si>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</si>
  <si>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</si>
  <si>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</si>
  <si>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</si>
  <si>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</si>
  <si>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</si>
  <si>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</si>
  <si>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</si>
  <si>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</si>
  <si>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</si>
  <si>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</si>
  <si>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</si>
  <si>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</si>
  <si>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</si>
  <si>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</si>
  <si>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</si>
  <si>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</si>
  <si>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</si>
  <si>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</si>
  <si>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</si>
  <si>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</si>
  <si>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</si>
  <si>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</si>
  <si>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</si>
  <si>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</si>
  <si>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</si>
  <si>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</si>
  <si>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</si>
  <si>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</si>
  <si>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</si>
  <si>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</si>
  <si>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</si>
  <si>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</si>
  <si>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</si>
  <si>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</si>
  <si>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</si>
  <si>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</si>
  <si>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</si>
  <si>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</si>
  <si>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</si>
  <si>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</si>
  <si>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</si>
  <si>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</si>
  <si>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</si>
  <si>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</si>
  <si>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</si>
  <si>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</si>
  <si>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</si>
  <si>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</si>
  <si>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</si>
  <si>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</si>
  <si>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</si>
  <si>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</si>
  <si>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</si>
  <si>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</si>
  <si>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</si>
  <si>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</si>
  <si>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</si>
  <si>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</si>
  <si>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</si>
  <si>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</si>
  <si>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</si>
  <si>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</si>
  <si>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</si>
  <si>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</si>
  <si>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</si>
  <si>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</si>
  <si>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</si>
  <si>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</si>
  <si>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</si>
  <si>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</si>
  <si>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</si>
  <si>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</si>
  <si>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</si>
  <si>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</si>
  <si>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</si>
  <si>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</si>
  <si>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</si>
  <si>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</si>
  <si>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</si>
  <si>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</si>
  <si>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</si>
  <si>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</si>
  <si>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</si>
  <si>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</si>
  <si>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</si>
  <si>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</si>
  <si>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</si>
  <si>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</si>
  <si>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</si>
  <si>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</si>
  <si>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</si>
  <si>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</si>
  <si>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</si>
  <si>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</si>
  <si>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</si>
  <si>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</si>
  <si>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</si>
  <si>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</si>
  <si>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</si>
  <si>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</si>
  <si>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</si>
  <si>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</si>
  <si>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</si>
  <si>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</si>
  <si>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</si>
  <si>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</si>
  <si>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</si>
  <si>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</si>
  <si>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</si>
  <si>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</si>
  <si>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</si>
  <si>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</si>
  <si>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</si>
  <si>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</si>
  <si>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</si>
  <si>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</si>
  <si>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</si>
  <si>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</si>
  <si>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</si>
  <si>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</si>
  <si>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</si>
  <si>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</si>
  <si>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</si>
  <si>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</si>
  <si>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</si>
  <si>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</si>
  <si>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</si>
  <si>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</si>
  <si>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</si>
  <si>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</si>
  <si>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</si>
  <si>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</si>
  <si>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</si>
  <si>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</si>
  <si>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</si>
  <si>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</si>
  <si>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</si>
  <si>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</si>
  <si>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</si>
  <si>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</si>
  <si>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</si>
  <si>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</si>
  <si>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</si>
  <si>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</si>
  <si>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</si>
  <si>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</si>
  <si>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</si>
  <si>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</si>
  <si>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</si>
  <si>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</si>
  <si>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</si>
  <si>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</si>
  <si>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</si>
  <si>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</si>
  <si>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</si>
  <si>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</si>
  <si>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</si>
  <si>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</si>
  <si>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</si>
  <si>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</si>
  <si>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</si>
  <si>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</si>
  <si>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</si>
  <si>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</si>
  <si>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</si>
  <si>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</si>
  <si>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</si>
  <si>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</si>
  <si>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</si>
  <si>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</si>
  <si>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</si>
  <si>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</si>
  <si>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</si>
  <si>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</si>
  <si>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</si>
  <si>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</si>
  <si>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</si>
  <si>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</si>
  <si>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</si>
  <si>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</si>
  <si>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</si>
  <si>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</si>
  <si>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</si>
  <si>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</si>
  <si>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</si>
  <si>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</si>
  <si>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</si>
  <si>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</si>
  <si>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</si>
  <si>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</si>
  <si>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</si>
  <si>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</si>
  <si>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</si>
  <si>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</si>
  <si>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</si>
  <si>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</si>
  <si>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</si>
  <si>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</si>
  <si>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</si>
  <si>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</si>
  <si>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</si>
  <si>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</si>
  <si>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</si>
  <si>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</si>
  <si>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</si>
  <si>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</si>
  <si>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</si>
  <si>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</si>
  <si>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</si>
  <si>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</si>
  <si>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</si>
  <si>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</si>
  <si>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</si>
  <si>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</si>
  <si>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</si>
  <si>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</si>
  <si>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</si>
  <si>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</si>
  <si>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</si>
  <si>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</si>
  <si>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</si>
  <si>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</si>
  <si>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</si>
  <si>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</si>
  <si>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</si>
  <si>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</si>
  <si>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</si>
  <si>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</si>
  <si>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</si>
  <si>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</si>
  <si>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</si>
  <si>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</si>
  <si>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</si>
  <si>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</si>
  <si>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</si>
  <si>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</si>
  <si>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</si>
  <si>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</si>
  <si>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</si>
  <si>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</si>
  <si>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</si>
  <si>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</si>
  <si>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</si>
  <si>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</si>
  <si>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</si>
  <si>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</si>
  <si>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</si>
  <si>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</si>
  <si>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</si>
  <si>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</si>
  <si>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</si>
  <si>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</si>
  <si>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</si>
  <si>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</si>
  <si>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</si>
  <si>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</si>
  <si>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</si>
  <si>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</si>
  <si>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</si>
  <si>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</si>
  <si>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</si>
  <si>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</si>
  <si>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</si>
  <si>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</si>
  <si>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</si>
  <si>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</si>
  <si>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</si>
  <si>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</si>
  <si>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</si>
  <si>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</si>
  <si>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</si>
  <si>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</si>
  <si>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</si>
  <si>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</si>
  <si>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</si>
  <si>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</si>
  <si>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</si>
  <si>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</si>
  <si>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</si>
  <si>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</si>
  <si>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</si>
  <si>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</si>
  <si>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</si>
  <si>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</si>
  <si>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</si>
  <si>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</si>
  <si>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</si>
  <si>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</si>
  <si>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</si>
  <si>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</si>
  <si>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</si>
  <si>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</si>
  <si>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</si>
  <si>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</si>
  <si>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</si>
  <si>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</si>
  <si>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</si>
  <si>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</si>
  <si>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</si>
  <si>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</si>
  <si>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</si>
  <si>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</si>
  <si>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</si>
  <si>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</si>
  <si>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</si>
  <si>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</si>
  <si>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</si>
  <si>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</si>
  <si>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</si>
  <si>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</si>
  <si>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</si>
  <si>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</si>
  <si>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</si>
  <si>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</si>
  <si>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</si>
  <si>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</si>
  <si>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</si>
  <si>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</si>
  <si>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</si>
  <si>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</si>
  <si>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</si>
  <si>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</si>
  <si>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</si>
  <si>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</si>
  <si>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</si>
  <si>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</si>
  <si>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</si>
  <si>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</si>
  <si>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</si>
  <si>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</si>
  <si>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</si>
  <si>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</si>
  <si>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</si>
  <si>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</si>
  <si>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</si>
  <si>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</si>
  <si>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</si>
  <si>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</si>
  <si>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</si>
  <si>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</si>
  <si>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</si>
  <si>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</si>
  <si>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</si>
  <si>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</si>
  <si>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</si>
  <si>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</si>
  <si>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</si>
  <si>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</si>
  <si>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</si>
  <si>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</si>
  <si>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</si>
  <si>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</si>
  <si>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</si>
  <si>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</si>
  <si>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</si>
  <si>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</si>
  <si>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</si>
  <si>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</si>
  <si>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</si>
  <si>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</si>
  <si>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</si>
  <si>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</si>
  <si>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</si>
  <si>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</si>
  <si>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</si>
  <si>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</si>
  <si>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</si>
  <si>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</si>
  <si>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</si>
  <si>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</si>
  <si>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</si>
  <si>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</si>
  <si>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</si>
  <si>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</si>
  <si>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</si>
  <si>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</si>
  <si>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</si>
  <si>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</si>
  <si>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</si>
  <si>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</si>
  <si>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</si>
  <si>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</si>
  <si>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</si>
  <si>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</si>
  <si>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</si>
  <si>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</si>
  <si>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</si>
  <si>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</si>
  <si>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</si>
  <si>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</si>
  <si>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</si>
  <si>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</si>
  <si>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</si>
  <si>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</si>
  <si>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</si>
  <si>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</si>
  <si>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</si>
  <si>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</si>
  <si>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</si>
  <si>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</si>
  <si>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</si>
  <si>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</si>
  <si>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</si>
  <si>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</si>
  <si>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</si>
  <si>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</si>
  <si>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</si>
  <si>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</si>
  <si>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</si>
  <si>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</si>
  <si>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</si>
  <si>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</si>
  <si>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</si>
  <si>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</si>
  <si>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</si>
  <si>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</si>
  <si>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</si>
  <si>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</si>
  <si>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</si>
  <si>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</si>
  <si>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</si>
  <si>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</si>
  <si>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</si>
  <si>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</si>
  <si>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</si>
  <si>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</si>
  <si>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</si>
  <si>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</si>
  <si>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</si>
  <si>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</si>
  <si>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</si>
  <si>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</si>
  <si>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</si>
  <si>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</si>
  <si>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</si>
  <si>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</si>
  <si>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</si>
  <si>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</si>
  <si>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</si>
  <si>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</si>
  <si>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</si>
  <si>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</si>
  <si>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</si>
  <si>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</si>
  <si>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</si>
  <si>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</si>
  <si>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</si>
  <si>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</si>
  <si>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</si>
  <si>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</si>
  <si>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</si>
  <si>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</si>
  <si>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</si>
  <si>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</si>
  <si>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</si>
  <si>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</si>
  <si>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</si>
  <si>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</si>
  <si>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</si>
  <si>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</si>
  <si>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</si>
  <si>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</si>
  <si>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</si>
  <si>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</si>
  <si>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</si>
  <si>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</si>
  <si>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</si>
  <si>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</si>
  <si>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</si>
  <si>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</si>
  <si>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</si>
  <si>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</si>
  <si>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</si>
  <si>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</si>
  <si>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</si>
  <si>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</si>
  <si>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</si>
  <si>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</si>
  <si>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</si>
  <si>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</si>
  <si>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</si>
  <si>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</si>
  <si>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</si>
  <si>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</si>
  <si>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</si>
  <si>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</si>
  <si>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</si>
  <si>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</si>
  <si>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</si>
  <si>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</si>
  <si>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</si>
  <si>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</si>
  <si>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</si>
  <si>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</si>
  <si>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</si>
  <si>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</si>
  <si>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</si>
  <si>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</si>
  <si>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</si>
  <si>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</si>
  <si>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</si>
  <si>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</si>
  <si>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</si>
  <si>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</si>
  <si>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</si>
  <si>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</si>
  <si>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</si>
  <si>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</si>
  <si>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</si>
  <si>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</si>
  <si>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</si>
  <si>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</si>
  <si>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</si>
  <si>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</si>
  <si>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</si>
  <si>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</si>
  <si>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</si>
  <si>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</si>
  <si>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</si>
  <si>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</si>
  <si>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</si>
  <si>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</si>
  <si>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</si>
  <si>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</si>
  <si>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</si>
  <si>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</si>
  <si>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</si>
  <si>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</si>
  <si>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</si>
  <si>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</si>
  <si>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</si>
  <si>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</si>
  <si>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</si>
  <si>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</si>
  <si>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</si>
  <si>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</si>
  <si>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</si>
  <si>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</si>
  <si>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</si>
  <si>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</si>
  <si>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</si>
  <si>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</si>
  <si>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</si>
  <si>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</si>
  <si>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</si>
  <si>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</si>
  <si>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</si>
  <si>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</si>
  <si>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</si>
  <si>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</si>
  <si>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</si>
  <si>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</si>
  <si>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</si>
  <si>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</si>
  <si>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</si>
  <si>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</si>
  <si>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</si>
  <si>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</si>
  <si>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</si>
  <si>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</si>
  <si>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</si>
  <si>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</si>
  <si>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</si>
  <si>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</si>
  <si>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</si>
  <si>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</si>
  <si>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</si>
  <si>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</si>
  <si>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</si>
  <si>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</si>
  <si>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</si>
  <si>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</si>
  <si>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</si>
  <si>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</si>
  <si>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</si>
  <si>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</si>
  <si>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</si>
  <si>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</si>
  <si>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</si>
  <si>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</si>
  <si>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</si>
  <si>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</si>
  <si>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</si>
  <si>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</si>
  <si>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</si>
  <si>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</si>
  <si>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</si>
  <si>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</si>
  <si>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</si>
  <si>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</si>
  <si>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</si>
  <si>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</si>
  <si>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</si>
  <si>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</si>
  <si>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</si>
  <si>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</si>
  <si>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</si>
  <si>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</si>
  <si>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</si>
  <si>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</si>
  <si>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</si>
  <si>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</si>
  <si>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</si>
  <si>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</si>
  <si>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</si>
  <si>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</si>
  <si>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</si>
  <si>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</si>
  <si>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</si>
  <si>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</si>
  <si>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</si>
  <si>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</si>
  <si>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</si>
  <si>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</si>
  <si>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</si>
  <si>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</si>
  <si>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</si>
  <si>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</si>
  <si>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</si>
  <si>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</si>
  <si>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</si>
  <si>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</si>
  <si>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</si>
  <si>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</si>
  <si>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</si>
  <si>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</si>
  <si>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</si>
  <si>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</si>
  <si>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</si>
  <si>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</si>
  <si>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</si>
  <si>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</si>
  <si>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</si>
  <si>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</si>
  <si>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</si>
  <si>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</si>
  <si>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</si>
  <si>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</si>
  <si>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</si>
  <si>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</si>
  <si>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</si>
  <si>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</si>
  <si>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</si>
  <si>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</si>
  <si>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</si>
  <si>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</si>
  <si>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</si>
  <si>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</si>
  <si>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</si>
  <si>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</si>
  <si>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</si>
  <si>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</si>
  <si>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</si>
  <si>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</si>
  <si>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</si>
  <si>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</si>
  <si>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</si>
  <si>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</si>
  <si>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</si>
  <si>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</si>
  <si>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</si>
  <si>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</si>
  <si>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</si>
  <si>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</si>
  <si>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</si>
  <si>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</si>
  <si>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</si>
  <si>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</si>
  <si>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</si>
  <si>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</si>
  <si>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</si>
  <si>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</si>
  <si>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</si>
  <si>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</si>
  <si>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</si>
  <si>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</si>
  <si>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</si>
  <si>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</si>
  <si>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</si>
  <si>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</si>
  <si>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</si>
  <si>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</si>
  <si>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</si>
  <si>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</si>
  <si>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</si>
  <si>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</si>
  <si>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</si>
  <si>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</si>
  <si>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</si>
  <si>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</si>
  <si>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</si>
  <si>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</si>
  <si>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</si>
  <si>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</si>
  <si>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</si>
  <si>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</si>
  <si>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</si>
  <si>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</si>
  <si>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</si>
  <si>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</si>
  <si>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</si>
  <si>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</si>
  <si>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</si>
  <si>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</si>
  <si>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</si>
  <si>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</si>
  <si>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</si>
  <si>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</si>
  <si>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</si>
  <si>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</si>
  <si>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</si>
  <si>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</si>
  <si>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</si>
  <si>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</si>
  <si>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</si>
  <si>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</si>
  <si>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</si>
  <si>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</si>
  <si>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</si>
  <si>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</si>
  <si>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</si>
  <si>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</si>
  <si>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</si>
  <si>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</si>
  <si>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</si>
  <si>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</si>
  <si>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</si>
  <si>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</si>
  <si>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</si>
  <si>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</si>
  <si>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</si>
  <si>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</si>
  <si>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</si>
  <si>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</si>
  <si>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</si>
  <si>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</si>
  <si>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</si>
  <si>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</si>
  <si>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</si>
  <si>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</si>
  <si>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</si>
  <si>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</si>
  <si>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</si>
  <si>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</si>
  <si>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</si>
  <si>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</si>
  <si>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</si>
  <si>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</si>
  <si>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</si>
  <si>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</si>
  <si>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</si>
  <si>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</si>
  <si>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</si>
  <si>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</si>
  <si>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</si>
  <si>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</si>
  <si>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</si>
  <si>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</si>
  <si>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</si>
  <si>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</si>
  <si>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</si>
  <si>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</si>
  <si>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</si>
  <si>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</si>
  <si>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</si>
  <si>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</si>
  <si>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</si>
  <si>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</si>
  <si>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</si>
  <si>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</si>
  <si>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</si>
  <si>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</si>
  <si>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</si>
  <si>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</si>
  <si>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</si>
  <si>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</si>
  <si>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</si>
  <si>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</si>
  <si>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</si>
  <si>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</si>
  <si>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</si>
  <si>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</si>
  <si>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</si>
  <si>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</si>
  <si>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</si>
  <si>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</si>
  <si>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</si>
  <si>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</si>
  <si>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</si>
  <si>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</si>
  <si>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</si>
  <si>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</si>
  <si>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</si>
  <si>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</si>
  <si>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</si>
  <si>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</si>
  <si>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</si>
  <si>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</si>
  <si>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</si>
  <si>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</si>
  <si>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</si>
  <si>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</si>
  <si>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</si>
  <si>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</si>
  <si>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</si>
  <si>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</si>
  <si>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</si>
  <si>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</si>
  <si>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</si>
  <si>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</si>
  <si>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</si>
  <si>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</si>
  <si>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</si>
  <si>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</si>
  <si>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</si>
  <si>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</si>
  <si>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</si>
  <si>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</si>
  <si>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</si>
  <si>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</si>
  <si>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</si>
  <si>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</si>
  <si>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</si>
  <si>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</si>
  <si>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</si>
  <si>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</si>
  <si>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</si>
  <si>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</si>
  <si>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</si>
  <si>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</si>
  <si>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</si>
  <si>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</si>
  <si>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</si>
  <si>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</si>
  <si>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</si>
  <si>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</si>
  <si>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</si>
  <si>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</si>
  <si>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</si>
  <si>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</si>
  <si>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</si>
  <si>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</si>
  <si>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</si>
  <si>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</si>
  <si>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</si>
  <si>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</si>
  <si>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</si>
  <si>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</si>
  <si>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</si>
  <si>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</si>
  <si>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</si>
  <si>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</si>
  <si>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</si>
  <si>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</si>
  <si>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</si>
  <si>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</si>
  <si>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</si>
  <si>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</si>
  <si>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</si>
  <si>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</si>
  <si>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</si>
  <si>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</si>
  <si>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</si>
  <si>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</si>
  <si>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</si>
  <si>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</si>
  <si>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</si>
  <si>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</si>
  <si>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</si>
  <si>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</si>
  <si>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</si>
  <si>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</si>
  <si>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</si>
  <si>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</si>
  <si>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</si>
  <si>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</si>
  <si>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</si>
  <si>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</si>
  <si>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</si>
  <si>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</si>
  <si>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</si>
  <si>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</si>
  <si>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</si>
  <si>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</si>
  <si>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</si>
  <si>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</si>
  <si>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</si>
  <si>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</si>
  <si>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</si>
  <si>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</si>
  <si>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</si>
  <si>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</si>
  <si>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</si>
  <si>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</si>
  <si>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</si>
  <si>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</si>
  <si>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</si>
  <si>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</si>
  <si>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</si>
  <si>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</si>
  <si>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</si>
  <si>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</si>
  <si>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</si>
  <si>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</si>
  <si>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</si>
  <si>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</si>
  <si>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</si>
  <si>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</si>
  <si>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</si>
  <si>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</si>
  <si>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</si>
  <si>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</si>
  <si>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</si>
  <si>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</si>
  <si>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</si>
  <si>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</si>
  <si>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</si>
  <si>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</si>
  <si>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</si>
  <si>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</si>
  <si>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</si>
  <si>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</si>
  <si>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</si>
  <si>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</si>
  <si>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</si>
  <si>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</si>
  <si>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</si>
  <si>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</si>
  <si>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</si>
  <si>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</si>
  <si>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</si>
  <si>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</si>
  <si>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</si>
  <si>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</si>
  <si>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</si>
  <si>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</si>
  <si>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</si>
  <si>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</si>
  <si>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</si>
  <si>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</si>
  <si>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</si>
  <si>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</si>
  <si>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</si>
  <si>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</si>
  <si>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</si>
  <si>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</si>
  <si>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</si>
  <si>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</si>
  <si>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</si>
  <si>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</si>
  <si>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</si>
  <si>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</si>
  <si>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</si>
  <si>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</si>
  <si>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</si>
  <si>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</si>
  <si>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</si>
  <si>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</si>
  <si>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</si>
  <si>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</si>
  <si>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</si>
  <si>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</si>
  <si>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</si>
  <si>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</si>
  <si>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</si>
  <si>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</si>
  <si>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</si>
  <si>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</si>
  <si>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</si>
  <si>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</si>
  <si>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</si>
  <si>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</si>
  <si>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</si>
  <si>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</si>
  <si>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</si>
  <si>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</si>
  <si>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</si>
  <si>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</si>
  <si>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</si>
  <si>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</si>
  <si>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</si>
  <si>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</si>
  <si>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</si>
  <si>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</si>
  <si>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</si>
  <si>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</si>
  <si>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</si>
  <si>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</si>
  <si>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</si>
  <si>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</si>
  <si>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</si>
  <si>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</si>
  <si>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</si>
  <si>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</si>
  <si>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</si>
  <si>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</si>
  <si>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</si>
  <si>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</si>
  <si>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</si>
  <si>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</si>
  <si>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</si>
  <si>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</si>
  <si>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</si>
  <si>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</si>
  <si>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</si>
  <si>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</si>
  <si>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</si>
  <si>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</si>
  <si>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</si>
  <si>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</si>
  <si>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</si>
  <si>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</si>
  <si>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</si>
  <si>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</si>
  <si>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</si>
  <si>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</si>
  <si>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</si>
  <si>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</si>
  <si>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</si>
  <si>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</si>
  <si>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</si>
  <si>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</si>
  <si>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</si>
  <si>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</si>
  <si>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</si>
  <si>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</si>
  <si>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</si>
  <si>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</si>
  <si>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</si>
  <si>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</si>
  <si>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</si>
  <si>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</si>
  <si>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</si>
  <si>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</si>
  <si>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</si>
  <si>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</si>
  <si>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</si>
  <si>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</si>
  <si>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</si>
  <si>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</si>
  <si>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</si>
  <si>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</si>
  <si>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</si>
  <si>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</si>
  <si>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</si>
  <si>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</si>
  <si>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</si>
  <si>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</si>
  <si>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</si>
  <si>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</si>
  <si>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</si>
  <si>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</si>
  <si>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</si>
  <si>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</si>
  <si>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</si>
  <si>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</si>
  <si>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</si>
  <si>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</si>
  <si>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</si>
  <si>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</si>
  <si>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</si>
  <si>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</si>
  <si>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</si>
  <si>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</si>
  <si>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</si>
  <si>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</si>
  <si>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</si>
  <si>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</si>
  <si>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</si>
  <si>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</si>
  <si>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</si>
  <si>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</si>
  <si>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</si>
  <si>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</si>
  <si>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</si>
  <si>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</si>
  <si>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</si>
  <si>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</si>
  <si>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</si>
  <si>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</si>
  <si>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</si>
  <si>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</si>
  <si>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</si>
  <si>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</si>
  <si>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</si>
  <si>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</si>
  <si>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</si>
  <si>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</si>
  <si>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</si>
  <si>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</si>
  <si>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</si>
  <si>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</si>
  <si>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</si>
  <si>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</si>
  <si>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</si>
  <si>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</si>
  <si>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</si>
  <si>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</si>
  <si>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</si>
  <si>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</si>
  <si>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</si>
  <si>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</si>
  <si>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</si>
  <si>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</si>
  <si>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</si>
  <si>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</si>
  <si>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</si>
  <si>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</si>
  <si>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</si>
  <si>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</si>
  <si>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</si>
  <si>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</si>
  <si>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</si>
  <si>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</si>
  <si>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</si>
  <si>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</si>
  <si>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</si>
  <si>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</si>
  <si>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</si>
  <si>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</si>
  <si>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</si>
  <si>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</si>
  <si>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</si>
  <si>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</si>
  <si>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</si>
  <si>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</si>
  <si>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</si>
  <si>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</si>
  <si>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</si>
  <si>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</si>
  <si>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</si>
  <si>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</si>
  <si>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</si>
  <si>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</si>
  <si>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</si>
  <si>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</si>
  <si>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</si>
  <si>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</si>
  <si>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</si>
  <si>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</si>
  <si>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</si>
  <si>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</si>
  <si>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</si>
  <si>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</si>
  <si>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</si>
  <si>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</si>
  <si>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</si>
  <si>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</si>
  <si>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</si>
  <si>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</si>
  <si>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</si>
  <si>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</si>
  <si>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</si>
  <si>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</si>
  <si>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</si>
  <si>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</si>
  <si>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</si>
  <si>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</si>
  <si>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</si>
  <si>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</si>
  <si>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</si>
  <si>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</si>
  <si>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</si>
  <si>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</si>
  <si>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</si>
  <si>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</si>
  <si>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</si>
  <si>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</si>
  <si>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</si>
  <si>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</si>
  <si>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</si>
  <si>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</si>
  <si>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</si>
  <si>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</si>
  <si>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</si>
  <si>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</si>
  <si>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</si>
  <si>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</si>
  <si>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</si>
  <si>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</si>
  <si>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</si>
  <si>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</si>
  <si>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</si>
  <si>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</si>
  <si>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</si>
  <si>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</si>
  <si>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</si>
  <si>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</si>
  <si>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</si>
  <si>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</si>
  <si>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</si>
  <si>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</si>
  <si>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</si>
  <si>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</si>
  <si>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</si>
  <si>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</si>
  <si>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</si>
  <si>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</si>
  <si>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</si>
  <si>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</si>
  <si>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</si>
  <si>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</si>
  <si>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</si>
  <si>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</si>
  <si>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</si>
  <si>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</si>
  <si>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</si>
  <si>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</si>
  <si>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</si>
  <si>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</si>
  <si>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</si>
  <si>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</si>
  <si>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</si>
  <si>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</si>
  <si>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</si>
  <si>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</si>
  <si>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</si>
  <si>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</si>
  <si>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</si>
  <si>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</si>
  <si>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</si>
  <si>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</si>
  <si>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</si>
  <si>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</si>
  <si>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</si>
  <si>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</si>
  <si>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</si>
  <si>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</si>
  <si>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</si>
  <si>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</si>
  <si>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</si>
  <si>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</si>
  <si>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</si>
  <si>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</si>
  <si>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</si>
  <si>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</si>
  <si>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</si>
  <si>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</si>
  <si>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</si>
  <si>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</si>
  <si>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</si>
  <si>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</si>
  <si>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</si>
  <si>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</si>
  <si>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</si>
  <si>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</si>
  <si>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</si>
  <si>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</si>
  <si>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</si>
  <si>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</si>
  <si>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</si>
  <si>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</si>
  <si>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</si>
  <si>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</si>
  <si>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</si>
  <si>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</si>
  <si>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</si>
  <si>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</si>
  <si>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</si>
  <si>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</si>
  <si>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</si>
  <si>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</si>
  <si>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</si>
  <si>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</si>
  <si>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</si>
  <si>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</si>
  <si>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</si>
  <si>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</si>
  <si>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</si>
  <si>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</si>
  <si>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</si>
  <si>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</si>
  <si>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</si>
  <si>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</si>
  <si>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</si>
  <si>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</si>
  <si>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</si>
  <si>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</si>
  <si>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</si>
  <si>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</si>
  <si>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</si>
  <si>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</si>
  <si>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</si>
  <si>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</si>
  <si>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</si>
  <si>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</si>
  <si>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</si>
  <si>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</si>
  <si>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</si>
  <si>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</si>
  <si>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</si>
  <si>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</si>
  <si>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</si>
  <si>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</si>
  <si>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</si>
  <si>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</si>
  <si>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</si>
  <si>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</si>
  <si>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</si>
  <si>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</si>
  <si>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</si>
  <si>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</si>
  <si>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</si>
  <si>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</si>
  <si>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</si>
  <si>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</si>
  <si>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</si>
  <si>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</si>
  <si>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</si>
  <si>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</si>
  <si>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</si>
  <si>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</si>
  <si>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</si>
  <si>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</si>
  <si>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</si>
  <si>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</si>
  <si>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</si>
  <si>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</si>
  <si>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</si>
  <si>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</si>
  <si>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</si>
  <si>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</si>
  <si>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</si>
  <si>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</si>
  <si>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</si>
  <si>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</si>
  <si>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</si>
  <si>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</si>
  <si>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</si>
  <si>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</si>
  <si>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</si>
  <si>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</si>
  <si>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</si>
  <si>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</si>
  <si>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</si>
  <si>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</si>
  <si>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</si>
  <si>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</si>
  <si>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</si>
  <si>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</si>
  <si>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</si>
  <si>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</si>
  <si>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</si>
  <si>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</si>
  <si>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</si>
  <si>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</si>
  <si>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</si>
  <si>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</si>
  <si>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</si>
  <si>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</si>
  <si>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</si>
  <si>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</si>
  <si>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</si>
  <si>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</si>
  <si>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</si>
  <si>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</si>
  <si>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</si>
  <si>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</si>
  <si>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</si>
  <si>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</si>
  <si>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</si>
  <si>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</si>
  <si>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</si>
  <si>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</si>
  <si>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</si>
  <si>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</si>
  <si>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</si>
  <si>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</si>
  <si>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</si>
  <si>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</si>
  <si>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</si>
  <si>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</si>
  <si>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</si>
  <si>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</si>
  <si>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</si>
  <si>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</si>
  <si>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</si>
  <si>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</si>
  <si>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</si>
  <si>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</si>
  <si>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</si>
  <si>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</si>
  <si>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</si>
  <si>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</si>
  <si>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</si>
  <si>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</si>
  <si>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</si>
  <si>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</si>
  <si>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</si>
  <si>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</si>
  <si>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</si>
  <si>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</si>
  <si>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</si>
  <si>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</si>
  <si>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</si>
  <si>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</si>
  <si>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</si>
  <si>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</si>
  <si>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</si>
  <si>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</si>
  <si>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</si>
  <si>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</si>
  <si>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</si>
  <si>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</si>
  <si>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</si>
  <si>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</si>
  <si>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</si>
  <si>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</si>
  <si>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</si>
  <si>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</si>
  <si>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</si>
  <si>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</si>
  <si>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</si>
  <si>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</si>
  <si>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</si>
  <si>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</si>
  <si>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</si>
  <si>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</si>
  <si>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</si>
  <si>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</si>
  <si>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</si>
  <si>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</si>
  <si>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</si>
  <si>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</si>
  <si>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</si>
  <si>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</si>
  <si>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</si>
  <si>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</si>
  <si>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</si>
  <si>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</si>
  <si>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</si>
  <si>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</si>
  <si>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</si>
  <si>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</si>
  <si>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</si>
  <si>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</si>
  <si>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</si>
  <si>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</si>
  <si>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</si>
  <si>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</si>
  <si>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</si>
  <si>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</si>
  <si>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</si>
  <si>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</si>
  <si>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</si>
  <si>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</si>
  <si>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</si>
  <si>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</si>
  <si>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</si>
  <si>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</si>
  <si>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</si>
  <si>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</si>
  <si>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</si>
  <si>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</si>
  <si>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</si>
  <si>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</si>
  <si>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</si>
  <si>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</si>
  <si>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</si>
  <si>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</si>
  <si>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</si>
  <si>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</si>
  <si>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</si>
  <si>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</si>
  <si>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</si>
  <si>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</si>
  <si>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</si>
  <si>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</si>
  <si>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</si>
  <si>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</si>
  <si>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</si>
  <si>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</si>
  <si>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</si>
  <si>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</si>
  <si>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</si>
  <si>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</si>
  <si>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</si>
  <si>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</si>
  <si>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</si>
  <si>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</si>
  <si>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</si>
  <si>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</si>
  <si>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</si>
  <si>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</si>
  <si>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</si>
  <si>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</si>
  <si>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</si>
  <si>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</si>
  <si>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</si>
  <si>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</si>
  <si>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</si>
  <si>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</si>
  <si>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</si>
  <si>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</si>
  <si>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</si>
  <si>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</si>
  <si>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</si>
  <si>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</si>
  <si>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</si>
  <si>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</si>
  <si>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</si>
  <si>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</si>
  <si>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</si>
  <si>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</si>
  <si>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</si>
  <si>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</si>
  <si>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</si>
  <si>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</si>
  <si>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</si>
  <si>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</si>
  <si>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</si>
  <si>
    <t>合计</t>
    <phoneticPr fontId="140" type="noConversion"/>
  </si>
  <si>
    <t>车位个数</t>
    <phoneticPr fontId="140" type="noConversion"/>
  </si>
  <si>
    <t>库房个数</t>
    <phoneticPr fontId="140" type="noConversion"/>
  </si>
  <si>
    <t>面积/个数</t>
    <phoneticPr fontId="140" type="noConversion"/>
  </si>
  <si>
    <t>总价（万元）</t>
    <phoneticPr fontId="140" type="noConversion"/>
  </si>
  <si>
    <t>住宅面积</t>
    <phoneticPr fontId="140" type="noConversion"/>
  </si>
  <si>
    <t>单价</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</si>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</sst>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8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120" fillId="0" borderId="63"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176"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80" xfId="0" applyFont="1" applyBorder="1" applyAlignment="1">
      <alignment horizontal="center" vertical="center" wrapText="1"/>
    </xf>
    <xf numFmtId="0" fontId="120" fillId="0" borderId="81" xfId="0" applyFont="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6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65" xfId="0" applyFont="1" applyBorder="1" applyAlignment="1">
      <alignment horizontal="center" vertical="center" wrapText="1"/>
    </xf>
    <xf numFmtId="0" fontId="120" fillId="0" borderId="170"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0" borderId="64" xfId="0" applyFont="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2" fillId="5" borderId="1" xfId="0" applyFont="1" applyFill="1" applyBorder="1" applyAlignment="1">
      <alignment horizontal="center" vertical="center"/>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xfId="19" xr:uid="{00000000-0005-0000-0000-000006000000}"/>
    <cellStyle name="常规 2 2 2 2 3" xfId="15" xr:uid="{00000000-0005-0000-0000-000007000000}"/>
    <cellStyle name="常规 2 3" xfId="17"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85200</xdr:colOff>
      <xdr:row>28</xdr:row>
      <xdr:rowOff>132733</xdr:rowOff>
    </xdr:to>
    <xdr:pic>
      <xdr:nvPicPr>
        <xdr:cNvPr id="2" name="图片 1">
          <a:extLst>
            <a:ext uri="{FF2B5EF4-FFF2-40B4-BE49-F238E27FC236}">
              <a16:creationId xmlns:a16="http://schemas.microsoft.com/office/drawing/2014/main" id="{B7E4A4BC-DAE6-4FBC-981E-B5A74D103EA1}"/>
            </a:ext>
          </a:extLst>
        </xdr:cNvPr>
        <xdr:cNvPicPr>
          <a:picLocks noChangeAspect="1"/>
        </xdr:cNvPicPr>
      </xdr:nvPicPr>
      <xdr:blipFill>
        <a:blip xmlns:r="http://schemas.openxmlformats.org/officeDocument/2006/relationships" r:embed="rId1"/>
        <a:stretch>
          <a:fillRect/>
        </a:stretch>
      </xdr:blipFill>
      <xdr:spPr>
        <a:xfrm>
          <a:off x="0" y="0"/>
          <a:ext cx="4200000" cy="4933333"/>
        </a:xfrm>
        <a:prstGeom prst="rect">
          <a:avLst/>
        </a:prstGeom>
      </xdr:spPr>
    </xdr:pic>
    <xdr:clientData/>
  </xdr:twoCellAnchor>
  <xdr:twoCellAnchor editAs="oneCell">
    <xdr:from>
      <xdr:col>0</xdr:col>
      <xdr:colOff>0</xdr:colOff>
      <xdr:row>31</xdr:row>
      <xdr:rowOff>0</xdr:rowOff>
    </xdr:from>
    <xdr:to>
      <xdr:col>9</xdr:col>
      <xdr:colOff>294307</xdr:colOff>
      <xdr:row>33</xdr:row>
      <xdr:rowOff>161862</xdr:rowOff>
    </xdr:to>
    <xdr:pic>
      <xdr:nvPicPr>
        <xdr:cNvPr id="3" name="图片 2">
          <a:extLst>
            <a:ext uri="{FF2B5EF4-FFF2-40B4-BE49-F238E27FC236}">
              <a16:creationId xmlns:a16="http://schemas.microsoft.com/office/drawing/2014/main" id="{BEDA29BB-5CDD-434E-B30A-CD23B491B940}"/>
            </a:ext>
          </a:extLst>
        </xdr:cNvPr>
        <xdr:cNvPicPr>
          <a:picLocks noChangeAspect="1"/>
        </xdr:cNvPicPr>
      </xdr:nvPicPr>
      <xdr:blipFill>
        <a:blip xmlns:r="http://schemas.openxmlformats.org/officeDocument/2006/relationships" r:embed="rId2"/>
        <a:stretch>
          <a:fillRect/>
        </a:stretch>
      </xdr:blipFill>
      <xdr:spPr>
        <a:xfrm>
          <a:off x="0" y="5314950"/>
          <a:ext cx="7742857" cy="504762"/>
        </a:xfrm>
        <a:prstGeom prst="rect">
          <a:avLst/>
        </a:prstGeom>
      </xdr:spPr>
    </xdr:pic>
    <xdr:clientData/>
  </xdr:twoCellAnchor>
  <xdr:twoCellAnchor editAs="oneCell">
    <xdr:from>
      <xdr:col>0</xdr:col>
      <xdr:colOff>0</xdr:colOff>
      <xdr:row>34</xdr:row>
      <xdr:rowOff>0</xdr:rowOff>
    </xdr:from>
    <xdr:to>
      <xdr:col>13</xdr:col>
      <xdr:colOff>17624</xdr:colOff>
      <xdr:row>42</xdr:row>
      <xdr:rowOff>56971</xdr:rowOff>
    </xdr:to>
    <xdr:pic>
      <xdr:nvPicPr>
        <xdr:cNvPr id="4" name="图片 3">
          <a:extLst>
            <a:ext uri="{FF2B5EF4-FFF2-40B4-BE49-F238E27FC236}">
              <a16:creationId xmlns:a16="http://schemas.microsoft.com/office/drawing/2014/main" id="{E35A0A42-E034-4844-A39D-61C29F39625F}"/>
            </a:ext>
          </a:extLst>
        </xdr:cNvPr>
        <xdr:cNvPicPr>
          <a:picLocks noChangeAspect="1"/>
        </xdr:cNvPicPr>
      </xdr:nvPicPr>
      <xdr:blipFill>
        <a:blip xmlns:r="http://schemas.openxmlformats.org/officeDocument/2006/relationships" r:embed="rId3"/>
        <a:stretch>
          <a:fillRect/>
        </a:stretch>
      </xdr:blipFill>
      <xdr:spPr>
        <a:xfrm>
          <a:off x="0" y="5829300"/>
          <a:ext cx="11409524" cy="1428571"/>
        </a:xfrm>
        <a:prstGeom prst="rect">
          <a:avLst/>
        </a:prstGeom>
      </xdr:spPr>
    </xdr:pic>
    <xdr:clientData/>
  </xdr:twoCellAnchor>
  <xdr:twoCellAnchor editAs="oneCell">
    <xdr:from>
      <xdr:col>0</xdr:col>
      <xdr:colOff>0</xdr:colOff>
      <xdr:row>47</xdr:row>
      <xdr:rowOff>85725</xdr:rowOff>
    </xdr:from>
    <xdr:to>
      <xdr:col>12</xdr:col>
      <xdr:colOff>512947</xdr:colOff>
      <xdr:row>61</xdr:row>
      <xdr:rowOff>47330</xdr:rowOff>
    </xdr:to>
    <xdr:pic>
      <xdr:nvPicPr>
        <xdr:cNvPr id="5" name="图片 4">
          <a:extLst>
            <a:ext uri="{FF2B5EF4-FFF2-40B4-BE49-F238E27FC236}">
              <a16:creationId xmlns:a16="http://schemas.microsoft.com/office/drawing/2014/main" id="{9A72F88A-6381-4B83-B782-D1B16B3B1360}"/>
            </a:ext>
          </a:extLst>
        </xdr:cNvPr>
        <xdr:cNvPicPr>
          <a:picLocks noChangeAspect="1"/>
        </xdr:cNvPicPr>
      </xdr:nvPicPr>
      <xdr:blipFill>
        <a:blip xmlns:r="http://schemas.openxmlformats.org/officeDocument/2006/relationships" r:embed="rId4"/>
        <a:stretch>
          <a:fillRect/>
        </a:stretch>
      </xdr:blipFill>
      <xdr:spPr>
        <a:xfrm>
          <a:off x="0" y="8143875"/>
          <a:ext cx="11219047" cy="2361905"/>
        </a:xfrm>
        <a:prstGeom prst="rect">
          <a:avLst/>
        </a:prstGeom>
      </xdr:spPr>
    </xdr:pic>
    <xdr:clientData/>
  </xdr:twoCellAnchor>
  <xdr:twoCellAnchor editAs="oneCell">
    <xdr:from>
      <xdr:col>0</xdr:col>
      <xdr:colOff>0</xdr:colOff>
      <xdr:row>44</xdr:row>
      <xdr:rowOff>38100</xdr:rowOff>
    </xdr:from>
    <xdr:to>
      <xdr:col>9</xdr:col>
      <xdr:colOff>627640</xdr:colOff>
      <xdr:row>46</xdr:row>
      <xdr:rowOff>28533</xdr:rowOff>
    </xdr:to>
    <xdr:pic>
      <xdr:nvPicPr>
        <xdr:cNvPr id="6" name="图片 5">
          <a:extLst>
            <a:ext uri="{FF2B5EF4-FFF2-40B4-BE49-F238E27FC236}">
              <a16:creationId xmlns:a16="http://schemas.microsoft.com/office/drawing/2014/main" id="{EEEF4B98-6466-40B0-AC1C-4ACE66632E23}"/>
            </a:ext>
          </a:extLst>
        </xdr:cNvPr>
        <xdr:cNvPicPr>
          <a:picLocks noChangeAspect="1"/>
        </xdr:cNvPicPr>
      </xdr:nvPicPr>
      <xdr:blipFill>
        <a:blip xmlns:r="http://schemas.openxmlformats.org/officeDocument/2006/relationships" r:embed="rId5"/>
        <a:stretch>
          <a:fillRect/>
        </a:stretch>
      </xdr:blipFill>
      <xdr:spPr>
        <a:xfrm>
          <a:off x="0" y="7581900"/>
          <a:ext cx="8076190" cy="333333"/>
        </a:xfrm>
        <a:prstGeom prst="rect">
          <a:avLst/>
        </a:prstGeom>
      </xdr:spPr>
    </xdr:pic>
    <xdr:clientData/>
  </xdr:twoCellAnchor>
  <xdr:twoCellAnchor editAs="oneCell">
    <xdr:from>
      <xdr:col>0</xdr:col>
      <xdr:colOff>0</xdr:colOff>
      <xdr:row>63</xdr:row>
      <xdr:rowOff>0</xdr:rowOff>
    </xdr:from>
    <xdr:to>
      <xdr:col>7</xdr:col>
      <xdr:colOff>647001</xdr:colOff>
      <xdr:row>66</xdr:row>
      <xdr:rowOff>38031</xdr:rowOff>
    </xdr:to>
    <xdr:pic>
      <xdr:nvPicPr>
        <xdr:cNvPr id="7" name="图片 6">
          <a:extLst>
            <a:ext uri="{FF2B5EF4-FFF2-40B4-BE49-F238E27FC236}">
              <a16:creationId xmlns:a16="http://schemas.microsoft.com/office/drawing/2014/main" id="{6070A402-0FFE-422C-8527-23FA2E9550EC}"/>
            </a:ext>
          </a:extLst>
        </xdr:cNvPr>
        <xdr:cNvPicPr>
          <a:picLocks noChangeAspect="1"/>
        </xdr:cNvPicPr>
      </xdr:nvPicPr>
      <xdr:blipFill>
        <a:blip xmlns:r="http://schemas.openxmlformats.org/officeDocument/2006/relationships" r:embed="rId6"/>
        <a:stretch>
          <a:fillRect/>
        </a:stretch>
      </xdr:blipFill>
      <xdr:spPr>
        <a:xfrm>
          <a:off x="0" y="10801350"/>
          <a:ext cx="5590476" cy="552381"/>
        </a:xfrm>
        <a:prstGeom prst="rect">
          <a:avLst/>
        </a:prstGeom>
      </xdr:spPr>
    </xdr:pic>
    <xdr:clientData/>
  </xdr:twoCellAnchor>
  <xdr:twoCellAnchor editAs="oneCell">
    <xdr:from>
      <xdr:col>0</xdr:col>
      <xdr:colOff>0</xdr:colOff>
      <xdr:row>67</xdr:row>
      <xdr:rowOff>0</xdr:rowOff>
    </xdr:from>
    <xdr:to>
      <xdr:col>12</xdr:col>
      <xdr:colOff>512947</xdr:colOff>
      <xdr:row>88</xdr:row>
      <xdr:rowOff>104312</xdr:rowOff>
    </xdr:to>
    <xdr:pic>
      <xdr:nvPicPr>
        <xdr:cNvPr id="8" name="图片 7">
          <a:extLst>
            <a:ext uri="{FF2B5EF4-FFF2-40B4-BE49-F238E27FC236}">
              <a16:creationId xmlns:a16="http://schemas.microsoft.com/office/drawing/2014/main" id="{CB8701DD-56E5-4123-A4FA-855CBFB43F47}"/>
            </a:ext>
          </a:extLst>
        </xdr:cNvPr>
        <xdr:cNvPicPr>
          <a:picLocks noChangeAspect="1"/>
        </xdr:cNvPicPr>
      </xdr:nvPicPr>
      <xdr:blipFill>
        <a:blip xmlns:r="http://schemas.openxmlformats.org/officeDocument/2006/relationships" r:embed="rId7"/>
        <a:stretch>
          <a:fillRect/>
        </a:stretch>
      </xdr:blipFill>
      <xdr:spPr>
        <a:xfrm>
          <a:off x="0" y="11487150"/>
          <a:ext cx="11219047" cy="3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2/&#27979;&#31639;-826&#24037;&#31243;0315&#36710;&#24211;&#21450;&#24211;&#25151;&#25913;&#22320;&#20215;&#25351;&#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比较法-车位"/>
      <sheetName val="结果表-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G20">
            <v>6040</v>
          </cell>
        </row>
      </sheetData>
      <sheetData sheetId="20"/>
      <sheetData sheetId="21"/>
      <sheetData sheetId="22"/>
      <sheetData sheetId="23"/>
      <sheetData sheetId="24"/>
      <sheetData sheetId="25">
        <row r="20">
          <cell r="G20">
            <v>7786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t="str">
        <f>'预评函-封皮'!B40</f>
        <v>北京市保障房中心</v>
      </c>
    </row>
    <row r="4" spans="1:2" s="1332" customFormat="1">
      <c r="A4" s="1330" t="s">
        <v>1130</v>
      </c>
      <c r="B4" s="1331" t="str">
        <f ca="1">'预评函-封皮'!B46</f>
        <v>陈颖（注册号：0)、叶凌（注册号：1119970111)</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估价对象为北京市房地产，为所有。根据《国有土地使用证》[]，估价对象（分摊）出让国有建设用地使用权面积为25000平方米，建筑面积为63761.02平方米。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估价对象为北京市房地产,属开发建设的，该项目尚在开发建设中。根据《国有土地使用证》[]，估价对象（分摊）出让国有建设用地使用权面积为25000平方米，规划建筑面积为63761.02平方米。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2022年2月25日（评估专业人员实地查勘之日）</v>
      </c>
    </row>
    <row r="13" spans="1:2" s="1332" customFormat="1">
      <c r="A13" s="1330" t="s">
        <v>1135</v>
      </c>
      <c r="B13" s="1331" t="str">
        <f>'预评函-1'!A18</f>
        <v>本次估价的“房地产价值”是指在正常市场情况下，在价值时点2022年2月25日，估价对象规划用途为，土地取得方式为划拨，假定未设立法定优先受偿款下的房地产市场价值。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本次评估采用的主估价方法为基准地价系数修正法和基准地价系数修正法。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63761.02</v>
      </c>
    </row>
    <row r="44" spans="1:2" s="1332" customFormat="1">
      <c r="A44" s="1330" t="s">
        <v>1181</v>
      </c>
      <c r="B44" s="1331" t="str">
        <f>'预评函-3'!C2</f>
        <v>(分摊)土地面积</v>
      </c>
    </row>
    <row r="45" spans="1:2" s="1332" customFormat="1">
      <c r="A45" s="1330" t="s">
        <v>1153</v>
      </c>
      <c r="B45" s="1331">
        <f>'预评函-3'!C4</f>
        <v>25000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5" thickBot="1">
      <c r="A73" s="1333" t="s">
        <v>1171</v>
      </c>
      <c r="B73" s="1334">
        <f ca="1">'预评函-4'!B5</f>
        <v>1119970111</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00"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704" t="s">
        <v>832</v>
      </c>
      <c r="C54" s="1701" t="s">
        <v>1189</v>
      </c>
    </row>
    <row r="55" spans="1:4">
      <c r="A55" s="3500"/>
      <c r="B55" s="1704" t="s">
        <v>833</v>
      </c>
      <c r="C55" s="1701" t="s">
        <v>1190</v>
      </c>
    </row>
    <row r="56" spans="1:4">
      <c r="A56" s="3500"/>
      <c r="B56" s="1704" t="s">
        <v>834</v>
      </c>
      <c r="C56" s="1701" t="s">
        <v>1194</v>
      </c>
    </row>
    <row r="57" spans="1:4">
      <c r="A57" s="3500"/>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1" zoomScaleNormal="100" zoomScaleSheetLayoutView="100" workbookViewId="0">
      <selection activeCell="J7" sqref="J7"/>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4" t="s">
        <v>2852</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44617</v>
      </c>
      <c r="C3" s="2562" t="s">
        <v>2855</v>
      </c>
      <c r="D3" s="2561">
        <f>B3</f>
        <v>44617</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5" thickBot="1">
      <c r="A4" s="1217" t="s">
        <v>2856</v>
      </c>
      <c r="B4" s="2563" t="s">
        <v>3158</v>
      </c>
      <c r="C4" s="2564">
        <f ca="1">SUMIF(注册房地产估价师,B4,估价师及机构信息!B3:B24)</f>
        <v>0</v>
      </c>
      <c r="D4" s="2563" t="s">
        <v>3159</v>
      </c>
      <c r="E4" s="2565">
        <f ca="1">SUMIF(注册房地产估价师,D4,估价师及机构信息!B3:B24)</f>
        <v>1119970111</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陈颖（注册号：0)、叶凌（注册号：1119970111)</v>
      </c>
      <c r="L4" s="2557"/>
      <c r="M4" s="2557"/>
      <c r="N4" s="2558"/>
      <c r="O4" s="1726"/>
      <c r="P4" s="2558"/>
      <c r="Q4" s="2558"/>
      <c r="R4" s="2558"/>
      <c r="S4" s="1833"/>
      <c r="T4" s="1896"/>
      <c r="U4" s="1896"/>
      <c r="V4" s="1896"/>
      <c r="W4" s="1896"/>
      <c r="X4" s="1896"/>
      <c r="Y4" s="1896"/>
      <c r="Z4" s="1896"/>
      <c r="AA4" s="1896"/>
      <c r="AB4" s="1896"/>
    </row>
    <row r="5" spans="1:28" ht="24.75" thickTop="1">
      <c r="A5" s="2567" t="s">
        <v>2857</v>
      </c>
      <c r="B5" s="3202" t="s">
        <v>3160</v>
      </c>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3161</v>
      </c>
      <c r="C8" s="2577"/>
      <c r="D8" s="3512" t="s">
        <v>2861</v>
      </c>
      <c r="E8" s="2578"/>
      <c r="F8" s="2579"/>
      <c r="G8" s="2853"/>
      <c r="H8" s="2853"/>
      <c r="I8" s="2853"/>
      <c r="J8" s="2628"/>
      <c r="K8" s="2803"/>
      <c r="L8" s="2802"/>
      <c r="M8" s="2802"/>
      <c r="N8" s="2628"/>
      <c r="O8" s="2639"/>
      <c r="P8" s="2628"/>
      <c r="Q8" s="2628"/>
      <c r="R8" s="2628"/>
    </row>
    <row r="9" spans="1:28" ht="13.5" thickBot="1">
      <c r="A9" s="2580" t="s">
        <v>2862</v>
      </c>
      <c r="B9" s="2581" t="s">
        <v>3162</v>
      </c>
      <c r="C9" s="2582"/>
      <c r="D9" s="3513"/>
      <c r="E9" s="2581"/>
      <c r="F9" s="2583"/>
      <c r="G9" s="2855"/>
      <c r="H9" s="2855"/>
      <c r="I9" s="2855"/>
      <c r="J9" s="2628"/>
      <c r="K9" s="2805"/>
      <c r="L9" s="2802"/>
      <c r="M9" s="2802"/>
      <c r="N9" s="2628"/>
      <c r="O9" s="2639"/>
      <c r="P9" s="2628"/>
      <c r="Q9" s="2628"/>
      <c r="R9" s="2628"/>
    </row>
    <row r="10" spans="1:28" ht="13.5" thickTop="1">
      <c r="A10" s="2584" t="s">
        <v>2863</v>
      </c>
      <c r="B10" s="2585" t="s">
        <v>3163</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3164</v>
      </c>
      <c r="C11" s="2590"/>
      <c r="D11" s="2591"/>
      <c r="E11" s="2558"/>
      <c r="F11" s="2558"/>
      <c r="G11" s="2558"/>
      <c r="H11" s="2558"/>
      <c r="I11" s="2558"/>
      <c r="J11" s="2628"/>
      <c r="K11" s="2805"/>
      <c r="L11" s="2802"/>
      <c r="M11" s="2802"/>
      <c r="N11" s="2628"/>
      <c r="O11" s="2639"/>
      <c r="P11" s="2628"/>
      <c r="Q11" s="2628"/>
      <c r="R11" s="2628"/>
    </row>
    <row r="12" spans="1:28">
      <c r="A12" s="2592" t="s">
        <v>2866</v>
      </c>
      <c r="B12" s="2589" t="s">
        <v>3165</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519"/>
      <c r="C16" s="3520"/>
      <c r="D16" s="3521"/>
      <c r="E16" s="2602" t="s">
        <v>2878</v>
      </c>
      <c r="F16" s="3522"/>
      <c r="G16" s="3523"/>
      <c r="H16" s="3523"/>
      <c r="I16" s="3524"/>
      <c r="J16" s="2628"/>
      <c r="K16" s="2807"/>
      <c r="L16" s="2640"/>
      <c r="M16" s="2640"/>
      <c r="N16" s="2698"/>
      <c r="O16" s="2640"/>
      <c r="P16" s="2698"/>
      <c r="Q16" s="2628"/>
      <c r="R16" s="2628"/>
    </row>
    <row r="17" spans="1:28">
      <c r="A17" s="317" t="s">
        <v>2879</v>
      </c>
      <c r="B17" s="306" t="s">
        <v>2880</v>
      </c>
      <c r="C17" s="11">
        <f>'数据-汇总表'!E3</f>
        <v>63761.02</v>
      </c>
      <c r="D17" s="2509" t="s">
        <v>2881</v>
      </c>
      <c r="E17" s="3525" t="s">
        <v>2882</v>
      </c>
      <c r="F17" s="3526"/>
      <c r="G17" s="3526"/>
      <c r="H17" s="3526"/>
      <c r="I17" s="3527"/>
      <c r="J17" s="2628"/>
      <c r="K17" s="2808"/>
      <c r="L17" s="2640"/>
      <c r="M17" s="2640"/>
      <c r="N17" s="2698"/>
      <c r="O17" s="2640"/>
      <c r="P17" s="2698"/>
      <c r="Q17" s="2628"/>
      <c r="R17" s="2628"/>
      <c r="S17" s="2628"/>
      <c r="T17" s="2628"/>
      <c r="U17" s="2628"/>
      <c r="V17" s="2628"/>
    </row>
    <row r="18" spans="1:28" ht="24.75" thickBot="1">
      <c r="A18" s="2603" t="s">
        <v>2883</v>
      </c>
      <c r="B18" s="1217" t="s">
        <v>2884</v>
      </c>
      <c r="C18" s="2604">
        <f>'数据-汇总表'!D3</f>
        <v>25000</v>
      </c>
      <c r="D18" s="1219" t="s">
        <v>2885</v>
      </c>
      <c r="E18" s="3528" t="s">
        <v>2886</v>
      </c>
      <c r="F18" s="3529"/>
      <c r="G18" s="3529"/>
      <c r="H18" s="3529"/>
      <c r="I18" s="3530"/>
      <c r="J18" s="2628"/>
      <c r="K18" s="2808"/>
      <c r="L18" s="2640"/>
      <c r="M18" s="2640"/>
      <c r="N18" s="2698"/>
      <c r="O18" s="2640"/>
      <c r="P18" s="2698"/>
      <c r="Q18" s="2628"/>
      <c r="R18" s="2628"/>
      <c r="S18" s="2628"/>
      <c r="T18" s="2628"/>
      <c r="U18" s="2628"/>
      <c r="V18" s="2628"/>
    </row>
    <row r="19" spans="1:28" ht="37.5"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515" t="s">
        <v>2890</v>
      </c>
      <c r="C20" s="3516"/>
      <c r="D20" s="3517" t="s">
        <v>2891</v>
      </c>
      <c r="E20" s="3518"/>
      <c r="F20" s="2837" t="s">
        <v>1682</v>
      </c>
      <c r="G20" s="2854"/>
      <c r="H20" s="2854"/>
      <c r="I20" s="2854"/>
      <c r="J20" s="2628"/>
      <c r="K20" s="3514"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24.75" thickBot="1">
      <c r="A21" s="2822"/>
      <c r="B21" s="2823" t="s">
        <v>2893</v>
      </c>
      <c r="C21" s="2824" t="s">
        <v>1683</v>
      </c>
      <c r="D21" s="1718" t="s">
        <v>2894</v>
      </c>
      <c r="E21" s="2825" t="s">
        <v>1683</v>
      </c>
      <c r="F21" s="2838"/>
      <c r="G21" s="2854"/>
      <c r="H21" s="2854"/>
      <c r="I21" s="2854"/>
      <c r="J21" s="2628"/>
      <c r="K21" s="351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24.75" thickBot="1">
      <c r="A22" s="2822"/>
      <c r="B22" s="2826" t="s">
        <v>2895</v>
      </c>
      <c r="C22" s="2824" t="s">
        <v>1684</v>
      </c>
      <c r="D22" s="2853"/>
      <c r="E22" s="2853"/>
      <c r="F22" s="2853"/>
      <c r="G22" s="2854"/>
      <c r="H22" s="2854"/>
      <c r="I22" s="2854"/>
      <c r="J22" s="2628"/>
      <c r="K22" s="351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502"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502"/>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502"/>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503"/>
      <c r="B30" s="306" t="s">
        <v>2902</v>
      </c>
      <c r="C30" s="3504"/>
      <c r="D30" s="3505"/>
      <c r="E30" s="2854"/>
      <c r="F30" s="2854"/>
      <c r="G30" s="2854"/>
      <c r="H30" s="2854"/>
      <c r="I30" s="2854"/>
      <c r="J30" s="2628"/>
      <c r="K30" s="2805"/>
      <c r="L30" s="2802"/>
      <c r="M30" s="2802"/>
      <c r="N30" s="2628"/>
      <c r="O30" s="2639"/>
      <c r="P30" s="2628"/>
      <c r="Q30" s="2628"/>
      <c r="R30" s="2628"/>
      <c r="S30" s="2628"/>
      <c r="T30" s="2628"/>
      <c r="U30" s="2628"/>
      <c r="V30" s="2628"/>
    </row>
    <row r="31" spans="1:28">
      <c r="A31" s="3506"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507"/>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507"/>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501" t="s">
        <v>2912</v>
      </c>
      <c r="T34" s="2617" t="str">
        <f>NUMBERSTRING(7-K34,1)&amp;"通"</f>
        <v>七通</v>
      </c>
      <c r="U34" s="2628"/>
      <c r="V34" s="2628"/>
    </row>
    <row r="35" spans="1:30">
      <c r="A35" s="2618"/>
      <c r="B35" s="3508" t="s">
        <v>2913</v>
      </c>
      <c r="C35" s="3508"/>
      <c r="D35" s="3508"/>
      <c r="E35" s="3508"/>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501"/>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t="s">
        <v>526</v>
      </c>
      <c r="C37" s="2620" t="s">
        <v>526</v>
      </c>
      <c r="D37" s="2620" t="s">
        <v>526</v>
      </c>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2915</v>
      </c>
      <c r="B38" s="2621" t="s">
        <v>396</v>
      </c>
      <c r="C38" s="2621" t="s">
        <v>396</v>
      </c>
      <c r="D38" s="2621" t="s">
        <v>396</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5">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5" sqref="D35"/>
    </sheetView>
  </sheetViews>
  <sheetFormatPr defaultColWidth="8.875"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8.875"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f>面积表!B1</f>
        <v>25000</v>
      </c>
      <c r="B3" s="14">
        <f>IF(C3="否",G5-AT5,G5)</f>
        <v>63761.01999999999</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25000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76015.689999999988</v>
      </c>
      <c r="H5" s="16">
        <f t="shared" ref="H5:AT5" si="0">SUM(H13:H656)</f>
        <v>47461.850000000006</v>
      </c>
      <c r="I5" s="16">
        <f t="shared" si="0"/>
        <v>47461.850000000006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16299.170000000002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15997.82</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63761.02</v>
      </c>
      <c r="BA5" s="18">
        <f t="shared" si="1"/>
        <v>47461.850000000006</v>
      </c>
      <c r="BB5" s="18">
        <f t="shared" si="1"/>
        <v>47461.850000000006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16299.170000000002</v>
      </c>
      <c r="BM5" s="18">
        <f t="shared" si="1"/>
        <v>0</v>
      </c>
      <c r="BN5" s="18">
        <f t="shared" si="1"/>
        <v>0</v>
      </c>
      <c r="BO5" s="18">
        <f t="shared" si="1"/>
        <v>0</v>
      </c>
      <c r="BP5" s="18">
        <f t="shared" si="1"/>
        <v>0</v>
      </c>
      <c r="BQ5" s="18">
        <f t="shared" si="1"/>
        <v>301.34999999999997</v>
      </c>
      <c r="BR5" s="18">
        <f t="shared" si="1"/>
        <v>15997.82</v>
      </c>
      <c r="BS5" s="18">
        <f t="shared" si="1"/>
        <v>0</v>
      </c>
      <c r="BT5" s="19">
        <f t="shared" si="1"/>
        <v>0</v>
      </c>
    </row>
    <row r="6" spans="1:72" s="1739" customFormat="1" ht="12.75">
      <c r="A6" s="15" t="s">
        <v>1698</v>
      </c>
      <c r="B6" s="1736"/>
      <c r="C6" s="1736"/>
      <c r="D6" s="1737"/>
      <c r="E6" s="16">
        <f>H6+AC6+AT6</f>
        <v>25000</v>
      </c>
      <c r="F6" s="16" t="s">
        <v>1</v>
      </c>
      <c r="G6" s="16" t="s">
        <v>2</v>
      </c>
      <c r="H6" s="20">
        <f>SUMIF(I$12:AB$12,"总值",I6:AB6)</f>
        <v>18609.27</v>
      </c>
      <c r="I6" s="16">
        <f t="shared" ref="I6:AB6" si="2">ROUND($A$3*I5/$B$3,2)</f>
        <v>18609.27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6390.73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118.16</v>
      </c>
      <c r="AM6" s="16">
        <f t="shared" si="3"/>
        <v>0</v>
      </c>
      <c r="AN6" s="16">
        <f t="shared" si="3"/>
        <v>6272.57</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25000</v>
      </c>
      <c r="AZ6" s="16" t="s">
        <v>3</v>
      </c>
      <c r="BA6" s="16">
        <f>ROUND($AY$6*BA5/$AZ$5,2)</f>
        <v>18609.27</v>
      </c>
      <c r="BB6" s="16">
        <f>ROUND($AY$6*BB5/$AZ$5,2)</f>
        <v>18609.27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6390.73</v>
      </c>
      <c r="BM6" s="16">
        <f t="shared" si="5"/>
        <v>0</v>
      </c>
      <c r="BN6" s="16">
        <f t="shared" si="5"/>
        <v>0</v>
      </c>
      <c r="BO6" s="16">
        <f t="shared" si="5"/>
        <v>0</v>
      </c>
      <c r="BP6" s="16">
        <f t="shared" si="5"/>
        <v>0</v>
      </c>
      <c r="BQ6" s="16">
        <f t="shared" si="5"/>
        <v>118.16</v>
      </c>
      <c r="BR6" s="16">
        <f t="shared" si="5"/>
        <v>6272.57</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3171</v>
      </c>
      <c r="J9" s="915"/>
      <c r="K9" s="1753" t="s">
        <v>3171</v>
      </c>
      <c r="L9" s="915"/>
      <c r="M9" s="1753" t="s">
        <v>3171</v>
      </c>
      <c r="N9" s="915"/>
      <c r="O9" s="1753" t="s">
        <v>3176</v>
      </c>
      <c r="P9" s="915"/>
      <c r="Q9" s="1753" t="s">
        <v>3176</v>
      </c>
      <c r="R9" s="915"/>
      <c r="S9" s="1753" t="s">
        <v>3176</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3130</v>
      </c>
      <c r="J10" s="915"/>
      <c r="K10" s="1759" t="s">
        <v>1283</v>
      </c>
      <c r="L10" s="915"/>
      <c r="M10" s="1759" t="s">
        <v>27</v>
      </c>
      <c r="N10" s="915"/>
      <c r="O10" s="1759" t="s">
        <v>27</v>
      </c>
      <c r="P10" s="915"/>
      <c r="Q10" s="1759" t="s">
        <v>3182</v>
      </c>
      <c r="R10" s="915"/>
      <c r="S10" s="1759" t="s">
        <v>3183</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t="str">
        <f>面积表!A4</f>
        <v>1#住宅楼</v>
      </c>
      <c r="D13" s="1775" t="s">
        <v>3170</v>
      </c>
      <c r="E13" s="16">
        <f>IF($C$3="是",ROUND($A$3*G13/$B$3,2),ROUND($A$3*(G13-AT13)/$B$3,2))</f>
        <v>1580.28</v>
      </c>
      <c r="F13" s="32"/>
      <c r="G13" s="33">
        <f>H13+AC13+AT13</f>
        <v>4030.4</v>
      </c>
      <c r="H13" s="20">
        <f>SUMIF(I$12:AB$12,"总值",I13:AB13)</f>
        <v>3238.3</v>
      </c>
      <c r="I13" s="1776">
        <f>面积表!D4</f>
        <v>3238.3</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792.1</v>
      </c>
      <c r="AD13" s="1777"/>
      <c r="AE13" s="1777"/>
      <c r="AF13" s="1777"/>
      <c r="AG13" s="1777"/>
      <c r="AH13" s="1777"/>
      <c r="AI13" s="1777"/>
      <c r="AJ13" s="1777"/>
      <c r="AK13" s="1777"/>
      <c r="AL13" s="1777"/>
      <c r="AM13" s="1777"/>
      <c r="AN13" s="1777">
        <f>面积表!L4+面积表!M4</f>
        <v>792.1</v>
      </c>
      <c r="AO13" s="1777"/>
      <c r="AP13" s="1777"/>
      <c r="AQ13" s="1777"/>
      <c r="AR13" s="1777"/>
      <c r="AS13" s="1777"/>
      <c r="AT13" s="1778"/>
      <c r="AU13" s="1779"/>
      <c r="AV13" s="11">
        <f t="shared" ref="AV13:AX17" si="6">A13</f>
        <v>0</v>
      </c>
      <c r="AW13" s="11">
        <f t="shared" si="6"/>
        <v>0</v>
      </c>
      <c r="AX13" s="11" t="str">
        <f t="shared" si="6"/>
        <v>1#住宅楼</v>
      </c>
      <c r="AY13" s="1498">
        <f>ROUND($AY$6*AZ13/$AZ$5,2)</f>
        <v>1580.28</v>
      </c>
      <c r="AZ13" s="16">
        <f>BA13+BL13</f>
        <v>4030.4</v>
      </c>
      <c r="BA13" s="16">
        <f>SUM(BB13:BK13)</f>
        <v>3238.3</v>
      </c>
      <c r="BB13" s="16">
        <f>IF($D13="是",I13-J13,0)</f>
        <v>3238.3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29" customFormat="1" ht="12.75">
      <c r="A14" s="1178"/>
      <c r="B14" s="1178"/>
      <c r="C14" s="1178" t="str">
        <f>面积表!A5</f>
        <v>2#住宅楼</v>
      </c>
      <c r="D14" s="1775" t="s">
        <v>3170</v>
      </c>
      <c r="E14" s="16">
        <f>IF($C$3="是",ROUND($A$3*G14/$B$3,2),ROUND($A$3*(G14-AT14)/$B$3,2))</f>
        <v>1325.6</v>
      </c>
      <c r="F14" s="32"/>
      <c r="G14" s="33">
        <f>H14+AC14+AT14</f>
        <v>3380.8700000000003</v>
      </c>
      <c r="H14" s="20">
        <f>SUMIF(I$12:AB$12,"总值",I14:AB14)</f>
        <v>3190.8</v>
      </c>
      <c r="I14" s="1776">
        <f>面积表!D5</f>
        <v>3190.8</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190.07</v>
      </c>
      <c r="AD14" s="1777"/>
      <c r="AE14" s="1777"/>
      <c r="AF14" s="1777"/>
      <c r="AG14" s="1777"/>
      <c r="AH14" s="1777"/>
      <c r="AI14" s="1777"/>
      <c r="AJ14" s="1777"/>
      <c r="AK14" s="1777"/>
      <c r="AL14" s="1777"/>
      <c r="AM14" s="1777"/>
      <c r="AN14" s="1777">
        <f>面积表!M5</f>
        <v>190.07</v>
      </c>
      <c r="AO14" s="1777"/>
      <c r="AP14" s="1777"/>
      <c r="AQ14" s="1777"/>
      <c r="AR14" s="1777"/>
      <c r="AS14" s="1777"/>
      <c r="AT14" s="1778"/>
      <c r="AU14" s="1779"/>
      <c r="AV14" s="11">
        <f t="shared" si="6"/>
        <v>0</v>
      </c>
      <c r="AW14" s="11">
        <f t="shared" si="6"/>
        <v>0</v>
      </c>
      <c r="AX14" s="11" t="str">
        <f t="shared" si="6"/>
        <v>2#住宅楼</v>
      </c>
      <c r="AY14" s="1498">
        <f>ROUND($AY$6*AZ14/$AZ$5,2)</f>
        <v>1325.6</v>
      </c>
      <c r="AZ14" s="16">
        <f>BA14+BL14</f>
        <v>3380.8700000000003</v>
      </c>
      <c r="BA14" s="16">
        <f>SUM(BB14:BK14)</f>
        <v>3190.8</v>
      </c>
      <c r="BB14" s="16">
        <f>IF($D14="是",I14-J14,0)</f>
        <v>3190.8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29" customFormat="1" ht="12.75">
      <c r="A15" s="1178"/>
      <c r="B15" s="1178"/>
      <c r="C15" s="1178" t="str">
        <f>面积表!A6</f>
        <v>3#住宅楼</v>
      </c>
      <c r="D15" s="1775" t="s">
        <v>3170</v>
      </c>
      <c r="E15" s="16">
        <f>IF($C$3="是",ROUND($A$3*G15/$B$3,2),ROUND($A$3*(G15-AT15)/$B$3,2))</f>
        <v>2348.91</v>
      </c>
      <c r="F15" s="32"/>
      <c r="G15" s="33">
        <f>H15+AC15+AT15</f>
        <v>5990.76</v>
      </c>
      <c r="H15" s="20">
        <f>SUMIF(I$12:AB$12,"总值",I15:AB15)</f>
        <v>4841.55</v>
      </c>
      <c r="I15" s="1776">
        <f>面积表!D6</f>
        <v>4841.55</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1149.21</v>
      </c>
      <c r="AD15" s="1777"/>
      <c r="AE15" s="1777"/>
      <c r="AF15" s="1777"/>
      <c r="AG15" s="1777"/>
      <c r="AH15" s="1777"/>
      <c r="AI15" s="1777"/>
      <c r="AJ15" s="1777"/>
      <c r="AK15" s="1777"/>
      <c r="AL15" s="1777"/>
      <c r="AM15" s="1777"/>
      <c r="AN15" s="1777">
        <f>面积表!L6+面积表!M6</f>
        <v>1149.21</v>
      </c>
      <c r="AO15" s="1777"/>
      <c r="AP15" s="1777"/>
      <c r="AQ15" s="1777"/>
      <c r="AR15" s="1777"/>
      <c r="AS15" s="1777"/>
      <c r="AT15" s="1778"/>
      <c r="AU15" s="1779"/>
      <c r="AV15" s="11">
        <f t="shared" si="6"/>
        <v>0</v>
      </c>
      <c r="AW15" s="11">
        <f t="shared" si="6"/>
        <v>0</v>
      </c>
      <c r="AX15" s="11" t="str">
        <f t="shared" si="6"/>
        <v>3#住宅楼</v>
      </c>
      <c r="AY15" s="1498">
        <f>ROUND($AY$6*AZ15/$AZ$5,2)</f>
        <v>2348.91</v>
      </c>
      <c r="AZ15" s="16">
        <f>BA15+BL15</f>
        <v>5990.76</v>
      </c>
      <c r="BA15" s="16">
        <f>SUM(BB15:BK15)</f>
        <v>4841.55</v>
      </c>
      <c r="BB15" s="16">
        <f>IF($D15="是",I15-J15,0)</f>
        <v>4841.55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29" customFormat="1" ht="12.75">
      <c r="A16" s="1178"/>
      <c r="B16" s="1178"/>
      <c r="C16" s="1178" t="str">
        <f>面积表!A7</f>
        <v>4#住宅楼</v>
      </c>
      <c r="D16" s="1775" t="s">
        <v>3170</v>
      </c>
      <c r="E16" s="16">
        <f>IF($C$3="是",ROUND($A$3*G16/$B$3,2),ROUND($A$3*(G16-AT16)/$B$3,2))</f>
        <v>2070.14</v>
      </c>
      <c r="F16" s="32"/>
      <c r="G16" s="33">
        <f>H16+AC16+AT16</f>
        <v>5279.77</v>
      </c>
      <c r="H16" s="20">
        <f>SUMIF(I$12:AB$12,"总值",I16:AB16)</f>
        <v>5030.88</v>
      </c>
      <c r="I16" s="1776">
        <f>面积表!D7</f>
        <v>5030.88</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248.89</v>
      </c>
      <c r="AD16" s="1777"/>
      <c r="AE16" s="1777"/>
      <c r="AF16" s="1777"/>
      <c r="AG16" s="1777"/>
      <c r="AH16" s="1777"/>
      <c r="AI16" s="1777"/>
      <c r="AJ16" s="1777"/>
      <c r="AK16" s="1777"/>
      <c r="AL16" s="1777"/>
      <c r="AM16" s="1777"/>
      <c r="AN16" s="1777">
        <f>面积表!K7-50+面积表!M7</f>
        <v>248.89</v>
      </c>
      <c r="AO16" s="1777"/>
      <c r="AP16" s="1777"/>
      <c r="AQ16" s="1777"/>
      <c r="AR16" s="1777"/>
      <c r="AS16" s="1777"/>
      <c r="AT16" s="1778"/>
      <c r="AU16" s="1779"/>
      <c r="AV16" s="11">
        <f t="shared" si="6"/>
        <v>0</v>
      </c>
      <c r="AW16" s="11">
        <f t="shared" si="6"/>
        <v>0</v>
      </c>
      <c r="AX16" s="11" t="str">
        <f t="shared" si="6"/>
        <v>4#住宅楼</v>
      </c>
      <c r="AY16" s="1498">
        <f>ROUND($AY$6*AZ16/$AZ$5,2)</f>
        <v>2070.14</v>
      </c>
      <c r="AZ16" s="16">
        <f>BA16+BL16</f>
        <v>5279.77</v>
      </c>
      <c r="BA16" s="16">
        <f>SUM(BB16:BK16)</f>
        <v>5030.88</v>
      </c>
      <c r="BB16" s="16">
        <f>IF($D16="是",I16-J16,0)</f>
        <v>5030.88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29" customFormat="1" ht="12.75">
      <c r="A17" s="1178"/>
      <c r="B17" s="1178"/>
      <c r="C17" s="1178" t="str">
        <f>面积表!A8</f>
        <v>5#住宅楼</v>
      </c>
      <c r="D17" s="1775" t="s">
        <v>3170</v>
      </c>
      <c r="E17" s="16">
        <f>IF($C$3="是",ROUND($A$3*G17/$B$3,2),ROUND($A$3*(G17-AT17)/$B$3,2))</f>
        <v>4612.3</v>
      </c>
      <c r="F17" s="32"/>
      <c r="G17" s="33">
        <f>H17+AC17+AT17</f>
        <v>11763.41</v>
      </c>
      <c r="H17" s="20">
        <f>SUMIF(I$12:AB$12,"总值",I17:AB17)</f>
        <v>11302.98</v>
      </c>
      <c r="I17" s="1776">
        <f>面积表!D8</f>
        <v>11302.98</v>
      </c>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460.43</v>
      </c>
      <c r="AD17" s="1777"/>
      <c r="AE17" s="1777"/>
      <c r="AF17" s="1777"/>
      <c r="AG17" s="1777"/>
      <c r="AH17" s="1777"/>
      <c r="AI17" s="1777"/>
      <c r="AJ17" s="1777"/>
      <c r="AK17" s="1777"/>
      <c r="AL17" s="1777"/>
      <c r="AM17" s="1777"/>
      <c r="AN17" s="1777">
        <f>面积表!M8</f>
        <v>460.43</v>
      </c>
      <c r="AO17" s="1777"/>
      <c r="AP17" s="1777"/>
      <c r="AQ17" s="1777"/>
      <c r="AR17" s="1777"/>
      <c r="AS17" s="1777"/>
      <c r="AT17" s="1778"/>
      <c r="AU17" s="1779"/>
      <c r="AV17" s="11">
        <f t="shared" si="6"/>
        <v>0</v>
      </c>
      <c r="AW17" s="11">
        <f t="shared" si="6"/>
        <v>0</v>
      </c>
      <c r="AX17" s="11" t="str">
        <f t="shared" si="6"/>
        <v>5#住宅楼</v>
      </c>
      <c r="AY17" s="1498">
        <f>ROUND($AY$6*AZ17/$AZ$5,2)</f>
        <v>4612.3</v>
      </c>
      <c r="AZ17" s="16">
        <f>BA17+BL17</f>
        <v>11763.41</v>
      </c>
      <c r="BA17" s="16">
        <f>SUM(BB17:BK17)</f>
        <v>11302.98</v>
      </c>
      <c r="BB17" s="16">
        <f>IF($D17="是",I17-J17,0)</f>
        <v>11302.98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8" t="str">
        <f>面积表!A9</f>
        <v>6#住宅楼</v>
      </c>
      <c r="D18" s="1775" t="s">
        <v>3170</v>
      </c>
      <c r="E18" s="35">
        <f t="shared" ref="E18:E112" si="7">IF($C$3="是",ROUND($A$3*G18/$B$3,2),ROUND($A$3*(G18-AT18)/$B$3,2))</f>
        <v>4023.44</v>
      </c>
      <c r="F18" s="36"/>
      <c r="G18" s="37">
        <f t="shared" ref="G18:G109" si="8">H18+AC18+AT18</f>
        <v>10261.550000000001</v>
      </c>
      <c r="H18" s="38">
        <f t="shared" ref="H18:H109" si="9">SUMIF(I$12:AB$12,"总值",I18:AB18)</f>
        <v>9939.19</v>
      </c>
      <c r="I18" s="1776">
        <f>面积表!D9</f>
        <v>9939.19</v>
      </c>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1"/>
      <c r="AV18" s="1492">
        <f t="shared" ref="AV18:AV112" si="11">A18</f>
        <v>0</v>
      </c>
      <c r="AW18" s="1492">
        <f t="shared" ref="AW18:AW112" si="12">B18</f>
        <v>0</v>
      </c>
      <c r="AX18" s="1492" t="str">
        <f t="shared" ref="AX18:AX112" si="13">C18</f>
        <v>6#住宅楼</v>
      </c>
      <c r="AY18" s="42">
        <f t="shared" ref="AY18:AY109" si="14">ROUND($AY$6*AZ18/$AZ$5,2)</f>
        <v>4023.44</v>
      </c>
      <c r="AZ18" s="35">
        <f t="shared" ref="AZ18:AZ109" si="15">BA18+BL18</f>
        <v>10261.550000000001</v>
      </c>
      <c r="BA18" s="35">
        <f t="shared" ref="BA18:BA109" si="16">SUM(BB18:BK18)</f>
        <v>9939.19</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8" t="str">
        <f>面积表!A10</f>
        <v>7#住宅楼</v>
      </c>
      <c r="D19" s="1775" t="s">
        <v>3170</v>
      </c>
      <c r="E19" s="35">
        <f t="shared" si="7"/>
        <v>4021.44</v>
      </c>
      <c r="F19" s="36"/>
      <c r="G19" s="37">
        <f t="shared" si="8"/>
        <v>10256.44</v>
      </c>
      <c r="H19" s="38">
        <f t="shared" si="9"/>
        <v>9918.15</v>
      </c>
      <c r="I19" s="1776">
        <f>面积表!D10</f>
        <v>9918.15</v>
      </c>
      <c r="J19" s="39"/>
      <c r="K19" s="39"/>
      <c r="L19" s="39"/>
      <c r="M19" s="39"/>
      <c r="N19" s="39"/>
      <c r="O19" s="39"/>
      <c r="P19" s="39"/>
      <c r="Q19" s="1776"/>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1"/>
      <c r="AV19" s="1492">
        <f t="shared" si="11"/>
        <v>0</v>
      </c>
      <c r="AW19" s="1492">
        <f t="shared" si="12"/>
        <v>0</v>
      </c>
      <c r="AX19" s="1492" t="str">
        <f t="shared" si="13"/>
        <v>7#住宅楼</v>
      </c>
      <c r="AY19" s="42">
        <f t="shared" si="14"/>
        <v>4021.44</v>
      </c>
      <c r="AZ19" s="35">
        <f t="shared" si="15"/>
        <v>10256.44</v>
      </c>
      <c r="BA19" s="35">
        <f t="shared" si="16"/>
        <v>9918.15</v>
      </c>
      <c r="BB19" s="35">
        <f t="shared" si="17"/>
        <v>9918.15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8" t="str">
        <f>面积表!A11</f>
        <v>8#配套楼</v>
      </c>
      <c r="D20" s="1775" t="s">
        <v>3170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t="str">
        <f t="shared" si="13"/>
        <v>8#配套楼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t="str">
        <f>面积表!A12</f>
        <v>9#分界室</v>
      </c>
      <c r="D21" s="1775" t="s">
        <v>3170</v>
      </c>
      <c r="E21" s="35">
        <f t="shared" si="7"/>
        <v>15.68</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1"/>
      <c r="AV21" s="1492">
        <f t="shared" si="11"/>
        <v>0</v>
      </c>
      <c r="AW21" s="1492">
        <f t="shared" si="12"/>
        <v>0</v>
      </c>
      <c r="AX21" s="1492" t="str">
        <f t="shared" si="13"/>
        <v>9#分界室</v>
      </c>
      <c r="AY21" s="42">
        <f t="shared" si="14"/>
        <v>15.68</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8" t="str">
        <f>面积表!A13</f>
        <v>10#分界室</v>
      </c>
      <c r="D22" s="1775" t="s">
        <v>3170</v>
      </c>
      <c r="E22" s="35">
        <f t="shared" si="7"/>
        <v>15.68</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1"/>
      <c r="AV22" s="1492">
        <f t="shared" si="11"/>
        <v>0</v>
      </c>
      <c r="AW22" s="1492">
        <f t="shared" si="12"/>
        <v>0</v>
      </c>
      <c r="AX22" s="1492" t="str">
        <f t="shared" si="13"/>
        <v>10#分界室</v>
      </c>
      <c r="AY22" s="42">
        <f t="shared" si="14"/>
        <v>15.68</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8" t="str">
        <f>面积表!A14</f>
        <v>11#分界室</v>
      </c>
      <c r="D23" s="1775" t="s">
        <v>3170</v>
      </c>
      <c r="E23" s="35">
        <f t="shared" si="7"/>
        <v>15.68</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1"/>
      <c r="AV23" s="1492">
        <f t="shared" si="11"/>
        <v>0</v>
      </c>
      <c r="AW23" s="1492">
        <f t="shared" si="12"/>
        <v>0</v>
      </c>
      <c r="AX23" s="1492" t="str">
        <f t="shared" si="13"/>
        <v>11#分界室</v>
      </c>
      <c r="AY23" s="42">
        <f t="shared" si="14"/>
        <v>15.68</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8" t="str">
        <f>面积表!A15</f>
        <v>CK01#地下车库</v>
      </c>
      <c r="D24" s="1775" t="s">
        <v>3170</v>
      </c>
      <c r="E24" s="35">
        <f>IF($C$3="是",ROUND($A$3*G24/$B$3,2),ROUND($A$3*(G24-AT24)/$B$3,2))</f>
        <v>4905.8100000000004</v>
      </c>
      <c r="F24" s="36"/>
      <c r="G24" s="37">
        <f>H24+AC24+AT24</f>
        <v>24766.639999999999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12511.97</v>
      </c>
      <c r="AD24" s="40"/>
      <c r="AE24" s="40"/>
      <c r="AF24" s="40"/>
      <c r="AG24" s="40"/>
      <c r="AH24" s="40"/>
      <c r="AI24" s="40"/>
      <c r="AJ24" s="40"/>
      <c r="AK24" s="40"/>
      <c r="AL24" s="40"/>
      <c r="AM24" s="40"/>
      <c r="AN24" s="3353">
        <f>面积表!K15+面积表!I19</f>
        <v>12511.97</v>
      </c>
      <c r="AO24" s="40"/>
      <c r="AP24" s="40"/>
      <c r="AQ24" s="40"/>
      <c r="AR24" s="40"/>
      <c r="AS24" s="40"/>
      <c r="AT24" s="41">
        <f>面积表!N19+面积表!O19</f>
        <v>12254.67</v>
      </c>
      <c r="AU24" s="1781"/>
      <c r="AV24" s="1492">
        <f t="shared" si="11"/>
        <v>0</v>
      </c>
      <c r="AW24" s="1492">
        <f t="shared" si="12"/>
        <v>0</v>
      </c>
      <c r="AX24" s="1492" t="str">
        <f t="shared" si="13"/>
        <v>CK01#地下车库</v>
      </c>
      <c r="AY24" s="42">
        <f t="shared" si="14"/>
        <v>4905.8100000000004</v>
      </c>
      <c r="AZ24" s="35">
        <f t="shared" si="15"/>
        <v>12511.97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12511.97</v>
      </c>
      <c r="BM24" s="35">
        <f t="shared" si="28"/>
        <v>0</v>
      </c>
      <c r="BN24" s="35">
        <f t="shared" si="29"/>
        <v>0</v>
      </c>
      <c r="BO24" s="35">
        <f t="shared" si="30"/>
        <v>0</v>
      </c>
      <c r="BP24" s="35">
        <f t="shared" si="31"/>
        <v>0</v>
      </c>
      <c r="BQ24" s="35">
        <f t="shared" si="32"/>
        <v>0</v>
      </c>
      <c r="BR24" s="35">
        <f t="shared" si="33"/>
        <v>12511.97</v>
      </c>
      <c r="BS24" s="35">
        <f t="shared" si="34"/>
        <v>0</v>
      </c>
      <c r="BT24" s="43">
        <f>IF($D24="是",AR24-AS24,0)</f>
        <v>0</v>
      </c>
    </row>
    <row r="25" spans="1:72" ht="28.5" customHeight="1">
      <c r="A25" s="9"/>
      <c r="B25" s="34"/>
      <c r="C25" s="1178" t="str">
        <f>面积表!A16</f>
        <v>1#、2#楼梯间（1#人防出入口）</v>
      </c>
      <c r="D25" s="1780" t="s">
        <v>3170</v>
      </c>
      <c r="E25" s="35">
        <f t="shared" si="7"/>
        <v>25.66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1"/>
      <c r="AV25" s="1492">
        <f t="shared" si="11"/>
        <v>0</v>
      </c>
      <c r="AW25" s="1492">
        <f t="shared" si="12"/>
        <v>0</v>
      </c>
      <c r="AX25" s="1492" t="str">
        <f t="shared" si="13"/>
        <v>1#、2#楼梯间（1#人防出入口）</v>
      </c>
      <c r="AY25" s="42">
        <f t="shared" si="14"/>
        <v>25.66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8" t="str">
        <f>面积表!A17</f>
        <v>3#、4#楼梯间（2#人防出入口）</v>
      </c>
      <c r="D26" s="1780" t="s">
        <v>3170</v>
      </c>
      <c r="E26" s="35">
        <f t="shared" si="7"/>
        <v>25.66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1"/>
      <c r="AV26" s="1492">
        <f t="shared" si="11"/>
        <v>0</v>
      </c>
      <c r="AW26" s="1492">
        <f t="shared" si="12"/>
        <v>0</v>
      </c>
      <c r="AX26" s="1492" t="str">
        <f t="shared" si="13"/>
        <v>3#、4#楼梯间（2#人防出入口）</v>
      </c>
      <c r="AY26" s="42">
        <f t="shared" si="14"/>
        <v>25.66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8" t="str">
        <f>面积表!A18</f>
        <v>5#楼梯间（3#人防出入口）</v>
      </c>
      <c r="D27" s="1780" t="s">
        <v>3170</v>
      </c>
      <c r="E27" s="35">
        <f t="shared" si="7"/>
        <v>13.7</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1"/>
      <c r="AV27" s="1492">
        <f t="shared" si="11"/>
        <v>0</v>
      </c>
      <c r="AW27" s="1492">
        <f t="shared" si="12"/>
        <v>0</v>
      </c>
      <c r="AX27" s="1492" t="str">
        <f t="shared" si="13"/>
        <v>5#楼梯间（3#人防出入口）</v>
      </c>
      <c r="AY27" s="42">
        <f t="shared" si="14"/>
        <v>13.7</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1" t="s">
        <v>0</v>
      </c>
      <c r="B1" s="3531" t="s">
        <v>4</v>
      </c>
      <c r="C1" s="3531" t="s">
        <v>5</v>
      </c>
      <c r="D1" s="3532" t="s">
        <v>53</v>
      </c>
      <c r="E1" s="3532" t="s">
        <v>54</v>
      </c>
      <c r="F1" s="3532"/>
      <c r="G1" s="3532"/>
      <c r="H1" s="3532"/>
      <c r="I1" s="3532"/>
      <c r="J1" s="3532"/>
      <c r="K1" s="3532"/>
      <c r="L1" s="3532"/>
      <c r="M1" s="3532"/>
    </row>
    <row r="2" spans="1:13" ht="27" customHeight="1">
      <c r="A2" s="3531"/>
      <c r="B2" s="3531"/>
      <c r="C2" s="3531"/>
      <c r="D2" s="3532"/>
      <c r="E2" s="3532" t="s">
        <v>37</v>
      </c>
      <c r="F2" s="3532" t="s">
        <v>38</v>
      </c>
      <c r="G2" s="3532"/>
      <c r="H2" s="3532"/>
      <c r="I2" s="3532"/>
      <c r="J2" s="3532" t="s">
        <v>39</v>
      </c>
      <c r="K2" s="3532"/>
      <c r="L2" s="3532"/>
      <c r="M2" s="3532"/>
    </row>
    <row r="3" spans="1:13" ht="28.5">
      <c r="A3" s="3531"/>
      <c r="B3" s="3531"/>
      <c r="C3" s="3531"/>
      <c r="D3" s="3532"/>
      <c r="E3" s="35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2" t="s">
        <v>55</v>
      </c>
      <c r="B9" s="3532"/>
      <c r="C9" s="35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D27"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9" width="6.75" style="1833" customWidth="1"/>
    <col min="30" max="30" width="9.3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75" thickBot="1">
      <c r="A2" s="1834" t="s">
        <v>1787</v>
      </c>
      <c r="B2" s="1173">
        <f>项目基本情况!D3</f>
        <v>44617</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3186</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738">
        <v>4.4999999999999998E-2</v>
      </c>
      <c r="J6" s="70"/>
      <c r="K6" s="1158">
        <f>SUMIF('数据-汇总表'!C$19:C$33,A6,'数据-汇总表'!E$19:E$33)</f>
        <v>47461.850000000006</v>
      </c>
      <c r="L6" s="3386">
        <v>4800</v>
      </c>
      <c r="M6" s="71">
        <f t="shared" ref="M6:M14" si="0">ROUND(K6*L6/10000,0)</f>
        <v>22782</v>
      </c>
      <c r="N6" s="737">
        <v>1</v>
      </c>
      <c r="O6" s="71" t="str">
        <f>IF($N$5="成新度","——",ROUND(M6*N6,0))</f>
        <v>——</v>
      </c>
      <c r="P6" s="72" t="str">
        <f>IF($N$5="成新度","——",M6-O6)</f>
        <v>——</v>
      </c>
      <c r="Q6" s="3351">
        <v>0</v>
      </c>
      <c r="R6" s="73">
        <f ca="1">SUMIF('数据-汇总表'!C$19:C$33,A6,'数据-汇总表'!R$19:R$27)</f>
        <v>25000</v>
      </c>
      <c r="S6" s="54">
        <f>IF('数据-汇总表'!$I$17="按面积比例",SUMIF('数据-汇总表'!C$19:C$33,A6,'数据-汇总表'!K$19:K$33),SUMIF('数据-汇总表'!C$19:C$33,A6,'数据-汇总表'!N$19:N$33))</f>
        <v>16299.17</v>
      </c>
      <c r="T6" s="1301">
        <f>ROUND($L$14*S6/10000,0)</f>
        <v>5705</v>
      </c>
      <c r="U6" s="74"/>
      <c r="V6" s="75"/>
      <c r="W6" s="75"/>
      <c r="X6" s="1168"/>
      <c r="Y6" s="76"/>
      <c r="Z6" s="77"/>
      <c r="AA6" s="70"/>
      <c r="AB6" s="70"/>
      <c r="AC6" s="1168"/>
      <c r="AD6" s="78">
        <v>1</v>
      </c>
      <c r="AE6" s="1169">
        <f ca="1">IF(AN6="",0,SUMIF(INDIRECT("'"&amp;AN6&amp;"'"&amp;"!E:E"),$AE$5,INDIRECT("'"&amp;AN6&amp;"'"&amp;"!F:F")))</f>
        <v>0</v>
      </c>
      <c r="AF6" s="1497"/>
      <c r="AG6" s="141">
        <f>IF(AF6="",0,AE6-AF6)</f>
        <v>0</v>
      </c>
      <c r="AH6" s="79"/>
      <c r="AI6" s="81"/>
      <c r="AJ6" s="82"/>
      <c r="AK6" s="83">
        <v>0.02</v>
      </c>
      <c r="AL6" s="84">
        <v>2E-3</v>
      </c>
      <c r="AM6" s="85">
        <v>0.02</v>
      </c>
      <c r="AN6" s="1866"/>
      <c r="AO6" s="55" t="e">
        <f ca="1">SUMIF(INDIRECT("'"&amp;AN6&amp;"'"&amp;"!A:A"),"总价",INDIRECT("'"&amp;AN6&amp;"'"&amp;"!B:B"))</f>
        <v>#REF!</v>
      </c>
      <c r="AP6" s="1867">
        <f>IF(C6="住宅",K6*L6,0)</f>
        <v>227816880.00000003</v>
      </c>
      <c r="AQ6" s="55">
        <f>ROUND($L$14*$N$14*S6/10000,0)</f>
        <v>5705</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t="str">
        <f>'数据-汇总表'!C20</f>
        <v>商业（配套）</v>
      </c>
      <c r="B7" s="1864" t="str">
        <f t="shared" ref="B7:B13" si="1">IF(A7=0,"","经营性")</f>
        <v>经营性</v>
      </c>
      <c r="C7" s="1865"/>
      <c r="D7" s="964">
        <f>SUMIF(项目基本情况!D$12:I$12,C7,项目基本情况!D$14:I$14)</f>
        <v>0</v>
      </c>
      <c r="E7" s="963">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t="str">
        <f>'数据-汇总表'!C21</f>
        <v>办公（公共服务设施）</v>
      </c>
      <c r="B8" s="1864" t="str">
        <f t="shared" si="1"/>
        <v>经营性</v>
      </c>
      <c r="C8" s="1865"/>
      <c r="D8" s="964">
        <f>SUMIF(项目基本情况!D$12:I$12,C8,项目基本情况!D$14:I$14)</f>
        <v>0</v>
      </c>
      <c r="E8" s="963">
        <f>IF(B8="","",SUMIF(项目基本情况!D$12:I$12,C8,项目基本情况!D$13:I$13))</f>
        <v>0</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t="str">
        <f>'数据-汇总表'!C22</f>
        <v>地下仓储（丙二类库房）</v>
      </c>
      <c r="B9" s="1864" t="str">
        <f t="shared" si="1"/>
        <v>经营性</v>
      </c>
      <c r="C9" s="1865"/>
      <c r="D9" s="964">
        <f>SUMIF(项目基本情况!D$12:I$12,C9,项目基本情况!D$14:I$14)</f>
        <v>0</v>
      </c>
      <c r="E9" s="963">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t="str">
        <f>'数据-汇总表'!C23</f>
        <v>地下车库（非人防车库）</v>
      </c>
      <c r="B10" s="1864" t="str">
        <f t="shared" si="1"/>
        <v>经营性</v>
      </c>
      <c r="C10" s="1865"/>
      <c r="D10" s="964">
        <f>SUMIF(项目基本情况!D$12:I$12,C10,项目基本情况!D$14:I$14)</f>
        <v>0</v>
      </c>
      <c r="E10" s="963">
        <f>IF(B10="","",SUMIF(项目基本情况!D$12:I$12,C10,项目基本情况!D$13:I$13))</f>
        <v>0</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4"/>
      <c r="E14" s="963"/>
      <c r="F14" s="68"/>
      <c r="G14" s="69"/>
      <c r="H14" s="1157"/>
      <c r="I14" s="1157"/>
      <c r="J14" s="1157"/>
      <c r="K14" s="1158">
        <f>SUMIF('数据-汇总表'!C$19:C$33,A14,'数据-汇总表'!E$19:E$33)</f>
        <v>16299.17</v>
      </c>
      <c r="L14" s="3387">
        <v>3500</v>
      </c>
      <c r="M14" s="71">
        <f t="shared" si="0"/>
        <v>5705</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63761.020000000004</v>
      </c>
      <c r="L16" s="98">
        <f>ROUND(M16*10000/SUM(K6:K14),0)</f>
        <v>4468</v>
      </c>
      <c r="M16" s="98">
        <f>SUM(M6:M14)</f>
        <v>28487</v>
      </c>
      <c r="N16" s="99">
        <f>ROUND(SUMPRODUCT(M6:M14,N6:N14)/M16,3)</f>
        <v>1</v>
      </c>
      <c r="O16" s="98">
        <f>SUM(O6:O14)</f>
        <v>0</v>
      </c>
      <c r="P16" s="98">
        <f>SUM(P6:P14)</f>
        <v>0</v>
      </c>
      <c r="Q16" s="100" t="e">
        <f>ROUND(SUMPRODUCT(Q6:Q13,K6:K13)/SUMPRODUCT((Q6:Q13&gt;0)*(K6:K13)),2)</f>
        <v>#DIV/0!</v>
      </c>
      <c r="R16" s="1162">
        <f ca="1">SUM(R6:R13)</f>
        <v>25000</v>
      </c>
      <c r="S16" s="101">
        <f>SUM(S6:S13)</f>
        <v>16299.17</v>
      </c>
      <c r="T16" s="102">
        <f>IF(SUMIF(T6:T13,"&lt;9E307")=M14,SUMIF(T6:T13,"&lt;9E307"),"有误，请检查")</f>
        <v>5705</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4"/>
      <c r="C17" s="2863"/>
      <c r="D17" s="2867"/>
      <c r="E17" s="2867"/>
      <c r="F17" s="2863"/>
      <c r="G17" s="2863"/>
      <c r="H17" s="2863"/>
      <c r="I17" s="2863"/>
      <c r="J17" s="2863"/>
      <c r="K17" s="2864"/>
      <c r="L17" s="2864">
        <f>M6+(L14*'数据-汇总表'!M19)/10000</f>
        <v>28486.709500000001</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7.75">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7.75">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8.5"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7">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7">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7.75"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25">
      <c r="A33" s="1878" t="s">
        <v>1852</v>
      </c>
      <c r="B33" s="3342">
        <v>0.1</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25">
      <c r="A34" s="1880" t="s">
        <v>1853</v>
      </c>
      <c r="B34" s="3343">
        <v>0.05</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25">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5"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5" t="s">
        <v>1862</v>
      </c>
      <c r="B44" s="122">
        <v>0.05</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8" t="s">
        <v>1870</v>
      </c>
      <c r="B52" s="127">
        <f>SUMIF(A54:A63,B53,B54:B63)</f>
        <v>1.5</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0" t="s">
        <v>1871</v>
      </c>
      <c r="B53" s="1889" t="s">
        <v>56</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0" t="s">
        <v>1875</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A7" sqref="A7:XFD7"/>
    </sheetView>
  </sheetViews>
  <sheetFormatPr defaultRowHeight="13.5"/>
  <cols>
    <col min="1" max="1" width="11.625" style="3398" bestFit="1" customWidth="1"/>
    <col min="2" max="2" width="34.75" style="3398" customWidth="1"/>
    <col min="3" max="3" width="9" style="3398"/>
    <col min="4" max="4" width="14.375" style="3398" customWidth="1"/>
    <col min="5" max="6" width="9" style="3398"/>
    <col min="7" max="7" width="12.25" style="3398" customWidth="1"/>
    <col min="8" max="8" width="10.5" style="3398" bestFit="1" customWidth="1"/>
    <col min="9" max="9" width="13.75" style="3398" customWidth="1"/>
    <col min="10" max="10" width="16.625" style="3398" customWidth="1"/>
    <col min="11" max="13" width="9" style="3398"/>
    <col min="14" max="14" width="9.5" style="3398" bestFit="1" customWidth="1"/>
    <col min="15" max="17" width="9" style="3398"/>
    <col min="18" max="18" width="10.5" style="3398" bestFit="1" customWidth="1"/>
    <col min="19" max="16384" width="9" style="3398"/>
  </cols>
  <sheetData>
    <row r="1" spans="1:20">
      <c r="A1" s="3397" t="s">
        <v>3491</v>
      </c>
      <c r="B1" s="3397" t="s">
        <v>3492</v>
      </c>
    </row>
    <row r="2" spans="1:20" ht="27">
      <c r="A2" s="3400">
        <v>43818</v>
      </c>
      <c r="B2" s="3397" t="s">
        <v>3533</v>
      </c>
      <c r="C2" s="3397" t="s">
        <v>3534</v>
      </c>
      <c r="D2" s="3398">
        <v>25000</v>
      </c>
    </row>
    <row r="3" spans="1:20" ht="40.5">
      <c r="A3" s="3400">
        <v>44133</v>
      </c>
      <c r="B3" s="3397" t="s">
        <v>3527</v>
      </c>
      <c r="C3" s="3397" t="s">
        <v>3528</v>
      </c>
      <c r="D3" s="3397" t="s">
        <v>3529</v>
      </c>
      <c r="E3" s="3397" t="s">
        <v>3510</v>
      </c>
      <c r="F3" s="3398">
        <v>85160</v>
      </c>
      <c r="G3" s="3397" t="s">
        <v>3531</v>
      </c>
      <c r="H3" s="3398">
        <v>47220</v>
      </c>
      <c r="I3" s="3397" t="s">
        <v>3532</v>
      </c>
      <c r="J3" s="3398">
        <v>37940</v>
      </c>
      <c r="K3" s="3397" t="s">
        <v>3530</v>
      </c>
      <c r="L3" s="3398">
        <v>81081</v>
      </c>
    </row>
    <row r="4" spans="1:20" ht="40.5">
      <c r="A4" s="3400">
        <v>44158</v>
      </c>
      <c r="B4" s="3397" t="s">
        <v>3526</v>
      </c>
      <c r="C4" s="3397" t="s">
        <v>3495</v>
      </c>
      <c r="D4" s="3398">
        <v>25000</v>
      </c>
      <c r="E4" s="3397" t="s">
        <v>3510</v>
      </c>
      <c r="F4" s="3398">
        <v>85084</v>
      </c>
      <c r="G4" s="3397" t="s">
        <v>3531</v>
      </c>
      <c r="H4" s="3397">
        <v>48221</v>
      </c>
      <c r="I4" s="3397" t="s">
        <v>3517</v>
      </c>
      <c r="J4" s="3397">
        <v>36863</v>
      </c>
    </row>
    <row r="5" spans="1:20" ht="54">
      <c r="A5" s="3399">
        <v>44204</v>
      </c>
      <c r="B5" s="3397" t="s">
        <v>3545</v>
      </c>
      <c r="C5" s="3397" t="s">
        <v>1275</v>
      </c>
      <c r="D5" s="3397" t="s">
        <v>3518</v>
      </c>
      <c r="E5" s="3397" t="s">
        <v>3519</v>
      </c>
      <c r="F5" s="3397" t="s">
        <v>3494</v>
      </c>
      <c r="G5" s="3397" t="s">
        <v>3520</v>
      </c>
      <c r="H5" s="3398">
        <v>25000</v>
      </c>
      <c r="I5" s="3397" t="s">
        <v>3521</v>
      </c>
      <c r="J5" s="3398">
        <v>85084</v>
      </c>
    </row>
    <row r="6" spans="1:20" ht="40.5">
      <c r="A6" s="3399">
        <v>44211</v>
      </c>
      <c r="B6" s="3397" t="s">
        <v>3546</v>
      </c>
      <c r="C6" s="3397" t="s">
        <v>1275</v>
      </c>
      <c r="D6" s="3397" t="s">
        <v>3518</v>
      </c>
      <c r="E6" s="3397" t="s">
        <v>3495</v>
      </c>
      <c r="F6" s="3398">
        <v>25000</v>
      </c>
      <c r="G6" s="3397" t="s">
        <v>3522</v>
      </c>
      <c r="H6" s="3398">
        <v>18734.726999999999</v>
      </c>
      <c r="I6" s="3397" t="s">
        <v>3508</v>
      </c>
      <c r="J6" s="3397" t="s">
        <v>3523</v>
      </c>
      <c r="K6" s="3397" t="s">
        <v>3524</v>
      </c>
      <c r="L6" s="3397" t="s">
        <v>3525</v>
      </c>
      <c r="M6" s="3397" t="s">
        <v>3510</v>
      </c>
      <c r="N6" s="3398">
        <v>85084</v>
      </c>
      <c r="O6" s="3397" t="s">
        <v>3511</v>
      </c>
      <c r="P6" s="3398">
        <v>1.93</v>
      </c>
    </row>
    <row r="7" spans="1:20" ht="42" customHeight="1">
      <c r="A7" s="3399">
        <v>44333</v>
      </c>
      <c r="B7" s="3397" t="s">
        <v>3547</v>
      </c>
      <c r="C7" s="3397" t="s">
        <v>3493</v>
      </c>
      <c r="D7" s="3397" t="s">
        <v>3494</v>
      </c>
      <c r="E7" s="3397" t="s">
        <v>3495</v>
      </c>
      <c r="F7" s="3398">
        <v>25000</v>
      </c>
      <c r="G7" s="3397" t="s">
        <v>3496</v>
      </c>
      <c r="H7" s="3398">
        <v>6265.27</v>
      </c>
      <c r="I7" s="3397" t="s">
        <v>3497</v>
      </c>
      <c r="J7" s="3397" t="s">
        <v>3498</v>
      </c>
      <c r="K7" s="3397" t="s">
        <v>3499</v>
      </c>
      <c r="L7" s="3397" t="s">
        <v>3500</v>
      </c>
      <c r="M7" s="3397" t="s">
        <v>3501</v>
      </c>
      <c r="N7" s="3397" t="s">
        <v>3502</v>
      </c>
      <c r="O7" s="3397" t="s">
        <v>3503</v>
      </c>
      <c r="P7" s="3397" t="s">
        <v>3504</v>
      </c>
      <c r="Q7" s="3397" t="s">
        <v>3505</v>
      </c>
      <c r="R7" s="3397" t="s">
        <v>3506</v>
      </c>
      <c r="S7" s="3397" t="s">
        <v>3507</v>
      </c>
      <c r="T7" s="3398">
        <v>81081</v>
      </c>
    </row>
    <row r="8" spans="1:20" ht="40.5">
      <c r="C8" s="3397" t="s">
        <v>3508</v>
      </c>
      <c r="D8" s="3397" t="s">
        <v>3509</v>
      </c>
      <c r="E8" s="3397" t="s">
        <v>3510</v>
      </c>
      <c r="F8" s="3398">
        <v>85084</v>
      </c>
      <c r="G8" s="3397" t="s">
        <v>3511</v>
      </c>
      <c r="H8" s="3398">
        <v>1.93</v>
      </c>
      <c r="I8" s="3397" t="s">
        <v>1209</v>
      </c>
      <c r="J8" s="3397" t="s">
        <v>3512</v>
      </c>
      <c r="K8" s="3397" t="s">
        <v>3513</v>
      </c>
      <c r="L8" s="3397" t="s">
        <v>3514</v>
      </c>
      <c r="M8" s="3397" t="s">
        <v>3515</v>
      </c>
      <c r="N8" s="3398">
        <v>21322.98</v>
      </c>
      <c r="O8" s="3397" t="s">
        <v>3516</v>
      </c>
      <c r="P8" s="3398">
        <v>457.8</v>
      </c>
      <c r="Q8" s="3397" t="s">
        <v>3517</v>
      </c>
      <c r="R8" s="3398">
        <v>20865.18</v>
      </c>
    </row>
    <row r="9" spans="1:20" ht="40.5">
      <c r="A9" s="3400">
        <v>44224</v>
      </c>
      <c r="B9" s="3397" t="s">
        <v>3549</v>
      </c>
      <c r="C9" s="3397" t="s">
        <v>3540</v>
      </c>
      <c r="D9" s="3397" t="s">
        <v>3494</v>
      </c>
      <c r="E9" s="3397" t="s">
        <v>3541</v>
      </c>
      <c r="F9" s="3398">
        <v>85084</v>
      </c>
      <c r="G9" s="3397"/>
      <c r="I9" s="3397"/>
      <c r="J9" s="3397"/>
      <c r="K9" s="3397"/>
      <c r="L9" s="3397"/>
      <c r="M9" s="3397"/>
      <c r="O9" s="3397"/>
      <c r="Q9" s="3397"/>
    </row>
    <row r="10" spans="1:20" ht="40.5">
      <c r="A10" s="3399">
        <v>44230</v>
      </c>
      <c r="B10" s="3397" t="s">
        <v>3548</v>
      </c>
      <c r="C10" s="3397" t="s">
        <v>3540</v>
      </c>
      <c r="D10" s="3397" t="s">
        <v>3494</v>
      </c>
      <c r="E10" s="3397" t="s">
        <v>3541</v>
      </c>
      <c r="F10" s="3398">
        <v>85084</v>
      </c>
      <c r="G10" s="3397"/>
      <c r="I10" s="3397"/>
      <c r="J10" s="3397"/>
      <c r="K10" s="3397"/>
      <c r="L10" s="3397"/>
      <c r="M10" s="3397"/>
      <c r="O10" s="3397"/>
      <c r="Q10" s="3397"/>
    </row>
    <row r="11" spans="1:20" ht="121.5">
      <c r="A11" s="3399">
        <v>44257</v>
      </c>
      <c r="B11" s="3397" t="s">
        <v>3535</v>
      </c>
      <c r="C11" s="3397" t="s">
        <v>3536</v>
      </c>
      <c r="D11" s="3397" t="s">
        <v>3537</v>
      </c>
      <c r="E11" s="3397" t="s">
        <v>3538</v>
      </c>
      <c r="F11" s="3397" t="s">
        <v>3494</v>
      </c>
      <c r="G11" s="3401" t="s">
        <v>3539</v>
      </c>
    </row>
    <row r="12" spans="1:20" ht="40.5">
      <c r="A12" s="3399">
        <v>44329</v>
      </c>
      <c r="B12" s="3397" t="s">
        <v>3542</v>
      </c>
      <c r="C12" s="3397" t="s">
        <v>3543</v>
      </c>
      <c r="D12" s="3402" t="s">
        <v>3544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10" zoomScale="90" zoomScaleNormal="100" zoomScaleSheetLayoutView="90" workbookViewId="0">
      <selection activeCell="H14" sqref="H14"/>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39"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8"/>
      <c r="C1" s="1268"/>
      <c r="D1" s="1268"/>
      <c r="E1" s="1268"/>
      <c r="F1" s="1268"/>
      <c r="G1" s="1268"/>
      <c r="H1" s="1268"/>
      <c r="I1" s="1268"/>
      <c r="J1" s="1268"/>
      <c r="K1" s="1268"/>
      <c r="L1" s="1268"/>
      <c r="M1" s="1268"/>
      <c r="N1" s="1268"/>
      <c r="O1" s="1268"/>
      <c r="P1" s="1268"/>
    </row>
    <row r="2" spans="1:16" ht="15">
      <c r="A2" s="3542" t="s">
        <v>1757</v>
      </c>
      <c r="B2" s="3542"/>
      <c r="C2" s="3542"/>
      <c r="D2" s="901" t="s">
        <v>1733</v>
      </c>
      <c r="E2" s="1789" t="s">
        <v>1734</v>
      </c>
      <c r="F2" s="2849"/>
      <c r="G2" s="2840"/>
      <c r="H2" s="2841"/>
      <c r="I2" s="2512" t="s">
        <v>1758</v>
      </c>
      <c r="J2" s="2849"/>
      <c r="K2" s="2849"/>
      <c r="L2" s="2849"/>
      <c r="M2" s="2849"/>
      <c r="N2" s="2851"/>
      <c r="O2" s="2849"/>
      <c r="P2" s="2849"/>
    </row>
    <row r="3" spans="1:16" ht="15.75" thickBot="1">
      <c r="A3" s="3543" t="s">
        <v>1731</v>
      </c>
      <c r="B3" s="3543"/>
      <c r="C3" s="3543"/>
      <c r="D3" s="46">
        <f>'数据-基础表'!AY6</f>
        <v>25000</v>
      </c>
      <c r="E3" s="46">
        <f>'数据-基础表'!AZ5</f>
        <v>63761.02</v>
      </c>
      <c r="F3" s="2849">
        <f>E3+面积表!S9+面积表!S5</f>
        <v>85084</v>
      </c>
      <c r="G3" s="1274"/>
      <c r="H3" s="1154" t="s">
        <v>1732</v>
      </c>
      <c r="I3" s="961">
        <f>ROUND('数据-基础表'!B3/'数据-基础表'!A3,2)</f>
        <v>2.5499999999999998</v>
      </c>
      <c r="J3" s="2849"/>
      <c r="K3" s="2849"/>
      <c r="L3" s="2849"/>
      <c r="M3" s="2849"/>
      <c r="N3" s="2851"/>
      <c r="O3" s="2849"/>
      <c r="P3" s="2849"/>
    </row>
    <row r="4" spans="1:16" ht="15">
      <c r="A4" s="3544"/>
      <c r="B4" s="3545"/>
      <c r="C4" s="3546"/>
      <c r="D4" s="1791" t="s">
        <v>1733</v>
      </c>
      <c r="E4" s="1792" t="s">
        <v>1734</v>
      </c>
      <c r="F4" s="2849"/>
      <c r="G4" s="2842" t="s">
        <v>1759</v>
      </c>
      <c r="H4" s="1154" t="s">
        <v>1739</v>
      </c>
      <c r="I4" s="961">
        <f>ROUND(SUMIF('数据-基础表'!I9:AS9,"地上",'数据-基础表'!I5:AS5)/'数据-基础表'!A3,2)</f>
        <v>1.91</v>
      </c>
      <c r="J4" s="2849"/>
      <c r="K4" s="2849"/>
      <c r="L4" s="2849"/>
      <c r="M4" s="2849"/>
      <c r="N4" s="2851"/>
      <c r="O4" s="2849"/>
      <c r="P4" s="2849"/>
    </row>
    <row r="5" spans="1:16">
      <c r="A5" s="47" t="s">
        <v>1735</v>
      </c>
      <c r="B5" s="3547" t="s">
        <v>1736</v>
      </c>
      <c r="C5" s="3547"/>
      <c r="D5" s="48">
        <f>ROUND($D$3*E5/$E$3,2)</f>
        <v>18609.27</v>
      </c>
      <c r="E5" s="49">
        <f>SUMIF('数据-基础表'!$11:$11,"住宅",'数据-基础表'!$5:$5)</f>
        <v>47461.850000000006</v>
      </c>
      <c r="F5" s="2849"/>
      <c r="G5" s="1274"/>
      <c r="H5" s="1154" t="s">
        <v>1732</v>
      </c>
      <c r="I5" s="961">
        <f>ROUND(E31/D31,2)</f>
        <v>2.5499999999999998</v>
      </c>
      <c r="J5" s="2849"/>
      <c r="K5" s="2849"/>
      <c r="L5" s="2849"/>
      <c r="M5" s="2849"/>
      <c r="N5" s="2849"/>
      <c r="O5" s="2849"/>
      <c r="P5" s="2849"/>
    </row>
    <row r="6" spans="1:16" ht="15" thickBot="1">
      <c r="A6" s="1794"/>
      <c r="B6" s="3547" t="s">
        <v>1737</v>
      </c>
      <c r="C6" s="3547"/>
      <c r="D6" s="48">
        <f>ROUND($D$3*E6/$E$3,2)</f>
        <v>6390.73</v>
      </c>
      <c r="E6" s="49">
        <f>E3-E5</f>
        <v>16299.169999999991</v>
      </c>
      <c r="F6" s="2849"/>
      <c r="G6" s="2843" t="s">
        <v>1738</v>
      </c>
      <c r="H6" s="1275" t="s">
        <v>1739</v>
      </c>
      <c r="I6" s="2844">
        <f>ROUND(F31/D31,2)</f>
        <v>1.91</v>
      </c>
      <c r="J6" s="2849"/>
      <c r="K6" s="2849"/>
      <c r="L6" s="2849"/>
      <c r="M6" s="2849"/>
      <c r="N6" s="2849"/>
      <c r="O6" s="2849"/>
      <c r="P6" s="2849"/>
    </row>
    <row r="7" spans="1:16" ht="15.75" thickBot="1">
      <c r="A7" s="3539"/>
      <c r="B7" s="3540"/>
      <c r="C7" s="3541"/>
      <c r="D7" s="1791" t="s">
        <v>1733</v>
      </c>
      <c r="E7" s="1795" t="s">
        <v>1740</v>
      </c>
      <c r="F7" s="2849"/>
      <c r="G7" s="2845" t="s">
        <v>1741</v>
      </c>
      <c r="H7" s="2846"/>
      <c r="I7" s="2847">
        <v>1.93</v>
      </c>
      <c r="J7" s="2849"/>
      <c r="K7" s="2849"/>
      <c r="L7" s="2849"/>
      <c r="M7" s="2849"/>
      <c r="N7" s="2849"/>
      <c r="O7" s="2849"/>
      <c r="P7" s="2849"/>
    </row>
    <row r="8" spans="1:16">
      <c r="A8" s="47" t="s">
        <v>1742</v>
      </c>
      <c r="B8" s="50" t="s">
        <v>1743</v>
      </c>
      <c r="C8" s="48" t="s">
        <v>1744</v>
      </c>
      <c r="D8" s="48">
        <f t="shared" ref="D8:D15" si="0">ROUND($D$3*E8/$E$3,2)</f>
        <v>18609.27</v>
      </c>
      <c r="E8" s="51">
        <f>SUMIF('数据-基础表'!BB10:BK10,"地上",'数据-基础表'!BB5:BK5)</f>
        <v>47461.850000000006</v>
      </c>
      <c r="F8" s="2849"/>
      <c r="G8" s="2850"/>
      <c r="H8" s="2850"/>
      <c r="I8" s="2849"/>
      <c r="J8" s="2849"/>
      <c r="K8" s="2849"/>
      <c r="L8" s="2849"/>
      <c r="M8" s="2849"/>
      <c r="N8" s="2849"/>
      <c r="O8" s="2849"/>
      <c r="P8" s="2849"/>
    </row>
    <row r="9" spans="1:16">
      <c r="A9" s="1796"/>
      <c r="B9" s="1797"/>
      <c r="C9" s="48" t="s">
        <v>1745</v>
      </c>
      <c r="D9" s="48">
        <f t="shared" si="0"/>
        <v>0</v>
      </c>
      <c r="E9" s="52">
        <v>0</v>
      </c>
      <c r="F9" s="2849"/>
      <c r="G9" s="2850"/>
      <c r="H9" s="2850"/>
      <c r="I9" s="2849"/>
      <c r="J9" s="2849"/>
      <c r="K9" s="2849"/>
      <c r="L9" s="2849"/>
      <c r="M9" s="2849"/>
      <c r="N9" s="2849"/>
      <c r="O9" s="2849"/>
      <c r="P9" s="2849"/>
    </row>
    <row r="10" spans="1:16">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4"/>
      <c r="B16" s="1797"/>
      <c r="C16" s="50" t="s">
        <v>1749</v>
      </c>
      <c r="D16" s="50">
        <f>SUM(D8:D15)</f>
        <v>18609.27</v>
      </c>
      <c r="E16" s="53">
        <f>SUM(E8:E15)</f>
        <v>47461.850000000006</v>
      </c>
      <c r="F16" s="2849"/>
      <c r="G16" s="2850"/>
      <c r="H16" s="1798" t="s">
        <v>1761</v>
      </c>
      <c r="I16" s="1799"/>
      <c r="J16" s="1268"/>
      <c r="K16" s="3536" t="s">
        <v>1761</v>
      </c>
      <c r="L16" s="3537"/>
      <c r="M16" s="3537"/>
      <c r="N16" s="3537"/>
      <c r="O16" s="3537"/>
      <c r="P16" s="3538"/>
    </row>
    <row r="17" spans="1:19" ht="15">
      <c r="A17" s="1800" t="s">
        <v>1762</v>
      </c>
      <c r="B17" s="1801" t="s">
        <v>1763</v>
      </c>
      <c r="C17" s="1802" t="s">
        <v>1764</v>
      </c>
      <c r="D17" s="1803" t="s">
        <v>1752</v>
      </c>
      <c r="E17" s="1804" t="s">
        <v>1753</v>
      </c>
      <c r="F17" s="1805"/>
      <c r="G17" s="1806"/>
      <c r="H17" s="1807" t="s">
        <v>1765</v>
      </c>
      <c r="I17" s="1808" t="s">
        <v>1750</v>
      </c>
      <c r="J17" s="1268"/>
      <c r="K17" s="3533" t="s">
        <v>1766</v>
      </c>
      <c r="L17" s="3534"/>
      <c r="M17" s="3535"/>
      <c r="N17" s="3533" t="s">
        <v>1767</v>
      </c>
      <c r="O17" s="3534"/>
      <c r="P17" s="3535"/>
      <c r="R17" s="1790" t="s">
        <v>1768</v>
      </c>
      <c r="S17" s="60"/>
    </row>
    <row r="18" spans="1:19" ht="15">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c r="A19" s="1817"/>
      <c r="B19" s="50" t="s">
        <v>1751</v>
      </c>
      <c r="C19" s="3208" t="s">
        <v>3185</v>
      </c>
      <c r="D19" s="48">
        <f>ROUND($D$3*E19/$E$3,2)</f>
        <v>18609.27</v>
      </c>
      <c r="E19" s="56">
        <f t="shared" ref="E19:E26" si="1">SUM(F19:G19)</f>
        <v>47461.850000000006</v>
      </c>
      <c r="F19" s="2989">
        <f>面积表!D19</f>
        <v>47461.850000000006</v>
      </c>
      <c r="G19" s="2990"/>
      <c r="H19" s="677">
        <f>ROUND($D$3*I19/$E$3,2)</f>
        <v>6390.73</v>
      </c>
      <c r="I19" s="51">
        <f t="shared" ref="I19:I26" si="2">IF($I$17="自定义",P19,M19)</f>
        <v>16299.17</v>
      </c>
      <c r="J19" s="1268"/>
      <c r="K19" s="1267">
        <f t="shared" ref="K19:K26" si="3">ROUND(E$28*E19/E$27,2)</f>
        <v>16299.17</v>
      </c>
      <c r="L19" s="1154">
        <f t="shared" ref="L19:L26" si="4">ROUND(IF(COUNTIF(C19,"*住宅*")&gt;0,E$29*E19/E$32,0),2)</f>
        <v>0</v>
      </c>
      <c r="M19" s="1279">
        <f>K19+L19</f>
        <v>16299.17</v>
      </c>
      <c r="N19" s="1819"/>
      <c r="O19" s="1820"/>
      <c r="P19" s="1279">
        <f>N19+O19</f>
        <v>0</v>
      </c>
      <c r="R19" s="1154">
        <f t="shared" ref="R19:S26" si="5">D19+H19</f>
        <v>25000</v>
      </c>
      <c r="S19" s="1155">
        <f t="shared" si="5"/>
        <v>63761.020000000004</v>
      </c>
    </row>
    <row r="20" spans="1:19">
      <c r="A20" s="1821"/>
      <c r="B20" s="50" t="s">
        <v>1779</v>
      </c>
      <c r="C20" s="3208" t="str">
        <f>面积表!R3</f>
        <v>商业（配套）</v>
      </c>
      <c r="D20" s="48">
        <f t="shared" ref="D20:D26" si="6">ROUND($D$3*E20/$E$3,2)</f>
        <v>0</v>
      </c>
      <c r="E20" s="56">
        <f t="shared" si="1"/>
        <v>0</v>
      </c>
      <c r="F20" s="2989">
        <f>'数据-基础表'!K5</f>
        <v>0</v>
      </c>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c r="A21" s="1821"/>
      <c r="B21" s="50" t="s">
        <v>1779</v>
      </c>
      <c r="C21" s="1818" t="str">
        <f>面积表!R4</f>
        <v>办公（公共服务设施）</v>
      </c>
      <c r="D21" s="48">
        <f t="shared" si="6"/>
        <v>0</v>
      </c>
      <c r="E21" s="56">
        <f t="shared" si="1"/>
        <v>0</v>
      </c>
      <c r="F21" s="2989">
        <f>'数据-基础表'!M5</f>
        <v>0</v>
      </c>
      <c r="G21" s="2990">
        <f>'数据-基础表'!O5</f>
        <v>0</v>
      </c>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c r="A22" s="1821"/>
      <c r="B22" s="50" t="s">
        <v>1779</v>
      </c>
      <c r="C22" s="58" t="str">
        <f>面积表!R7</f>
        <v>地下仓储（丙二类库房）</v>
      </c>
      <c r="D22" s="48">
        <f t="shared" si="6"/>
        <v>0</v>
      </c>
      <c r="E22" s="56">
        <f t="shared" si="1"/>
        <v>0</v>
      </c>
      <c r="F22" s="2991"/>
      <c r="G22" s="2992">
        <f>'数据-基础表'!Q5</f>
        <v>0</v>
      </c>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c r="A23" s="1821"/>
      <c r="B23" s="50" t="s">
        <v>1779</v>
      </c>
      <c r="C23" s="58" t="str">
        <f>面积表!R8</f>
        <v>地下车库（非人防车库）</v>
      </c>
      <c r="D23" s="48">
        <f>ROUND($D$3*E23/$E$3,2)</f>
        <v>0</v>
      </c>
      <c r="E23" s="56">
        <f>SUM(F23:G23)</f>
        <v>0</v>
      </c>
      <c r="F23" s="2991"/>
      <c r="G23" s="2992">
        <f>'数据-基础表'!S5</f>
        <v>0</v>
      </c>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75" thickBot="1">
      <c r="A27" s="1821"/>
      <c r="B27" s="48"/>
      <c r="C27" s="1824" t="s">
        <v>1780</v>
      </c>
      <c r="D27" s="1269">
        <f>SUM(D19:D26)</f>
        <v>18609.27</v>
      </c>
      <c r="E27" s="1270">
        <f>IF(SUM(E19:E26)='数据-基础表'!BA5,SUM(E19:E26),IF(F27="地上面积有误","面积有误","地下面积有误"))</f>
        <v>47461.850000000006</v>
      </c>
      <c r="F27" s="1269">
        <f>IF(SUM(F19:F26)=E8,SUM(F19:F26),"地上面积有误")</f>
        <v>47461.850000000006</v>
      </c>
      <c r="G27" s="1271">
        <f>SUM(G19:G26)</f>
        <v>0</v>
      </c>
      <c r="H27" s="1272">
        <f>SUM(H19:H26)</f>
        <v>6390.73</v>
      </c>
      <c r="I27" s="1273">
        <f>SUM(I19:I26)</f>
        <v>16299.17</v>
      </c>
      <c r="J27" s="1268"/>
      <c r="K27" s="1276">
        <f>SUM(K19:K26)</f>
        <v>16299.17</v>
      </c>
      <c r="L27" s="1277">
        <f>SUM(L19:L26)</f>
        <v>0</v>
      </c>
      <c r="M27" s="1280">
        <f>SUM(M19:M26)</f>
        <v>16299.17</v>
      </c>
      <c r="N27" s="1276">
        <f t="shared" ref="N27:O27" si="10">SUM(N19:N26)</f>
        <v>0</v>
      </c>
      <c r="O27" s="1277">
        <f t="shared" si="10"/>
        <v>0</v>
      </c>
      <c r="P27" s="1278">
        <f>SUM(P19:P26)</f>
        <v>0</v>
      </c>
      <c r="R27" s="1156">
        <f>IF(SUM(R19:R26)=$D$3,SUM(R19:R26),SUM(R19:R26)&amp;"误差"&amp;ROUND(SUM(R19:R26)-$D$3,2))</f>
        <v>25000</v>
      </c>
      <c r="S27" s="1154">
        <f>IF(SUM(S19:S26)=$E$3,SUM(S19:S26),SUM(S19:S26)&amp;"误差"&amp;ROUND(SUM(S19:S26)-E3,2))</f>
        <v>63761.020000000004</v>
      </c>
    </row>
    <row r="28" spans="1:19">
      <c r="A28" s="1821"/>
      <c r="B28" s="50" t="s">
        <v>1781</v>
      </c>
      <c r="C28" s="1166" t="s">
        <v>1782</v>
      </c>
      <c r="D28" s="48">
        <f>ROUND($D$3*E28/$E$3,2)</f>
        <v>6390.73</v>
      </c>
      <c r="E28" s="56">
        <f>SUM(F28:G28)</f>
        <v>16299.17</v>
      </c>
      <c r="F28" s="60">
        <f>'数据-基础表'!BQ5+'数据-基础表'!BS5</f>
        <v>301.34999999999997</v>
      </c>
      <c r="G28" s="61">
        <f>'数据-基础表'!BR5+'数据-基础表'!BT5</f>
        <v>15997.82</v>
      </c>
      <c r="H28" s="2849"/>
      <c r="I28" s="2849"/>
      <c r="J28" s="2849"/>
      <c r="K28" s="2849"/>
      <c r="L28" s="2849"/>
      <c r="M28" s="2849"/>
      <c r="N28" s="2849"/>
      <c r="O28" s="2849"/>
      <c r="P28" s="2849"/>
    </row>
    <row r="29" spans="1:19">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1"/>
      <c r="B30" s="50"/>
      <c r="C30" s="1826" t="s">
        <v>1780</v>
      </c>
      <c r="D30" s="1269">
        <f>SUM(D28:D29)</f>
        <v>6390.73</v>
      </c>
      <c r="E30" s="1269">
        <f>SUM(E28:E29)</f>
        <v>16299.17</v>
      </c>
      <c r="F30" s="1269">
        <f>SUM(F28:F29)</f>
        <v>301.34999999999997</v>
      </c>
      <c r="G30" s="1271">
        <f>SUM(G28:G29)</f>
        <v>15997.82</v>
      </c>
      <c r="H30" s="2849"/>
      <c r="I30" s="2849"/>
      <c r="J30" s="2849"/>
      <c r="K30" s="2849"/>
      <c r="L30" s="2849"/>
      <c r="M30" s="2849"/>
      <c r="N30" s="2849"/>
      <c r="O30" s="2849"/>
      <c r="P30" s="2849"/>
    </row>
    <row r="31" spans="1:19" ht="15.75" thickBot="1">
      <c r="A31" s="1827"/>
      <c r="B31" s="1828"/>
      <c r="C31" s="941" t="s">
        <v>1784</v>
      </c>
      <c r="D31" s="682">
        <f>D27+D30</f>
        <v>25000</v>
      </c>
      <c r="E31" s="682">
        <f>E27+E30</f>
        <v>63761.020000000004</v>
      </c>
      <c r="F31" s="683">
        <f>F27+F30</f>
        <v>47763.200000000004</v>
      </c>
      <c r="G31" s="684">
        <f>G27+G30</f>
        <v>15997.82</v>
      </c>
      <c r="H31" s="2849"/>
      <c r="I31" s="2849"/>
      <c r="J31" s="2849"/>
      <c r="K31" s="2849"/>
      <c r="L31" s="2849"/>
      <c r="M31" s="2849"/>
      <c r="N31" s="2849"/>
      <c r="O31" s="2849"/>
      <c r="P31" s="2849"/>
    </row>
    <row r="32" spans="1:19">
      <c r="A32" s="1793"/>
      <c r="B32" s="1793" t="s">
        <v>1785</v>
      </c>
      <c r="C32" s="1793"/>
      <c r="D32" s="1793"/>
      <c r="E32" s="1180">
        <f>SUMIF(C19:C26,"*住宅*",E19:E26)</f>
        <v>47461.850000000006</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699" customWidth="1"/>
    <col min="4" max="4" width="2.625" style="2699" customWidth="1"/>
    <col min="5" max="5" width="5.875" style="2699" customWidth="1"/>
    <col min="6" max="6" width="27" style="1722"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4"/>
    <col min="30" max="16384" width="9" style="1837"/>
  </cols>
  <sheetData>
    <row r="1" spans="1:29" s="2646" customFormat="1" ht="18.75" thickBot="1">
      <c r="A1" s="3548" t="s">
        <v>2970</v>
      </c>
      <c r="B1" s="3549"/>
      <c r="C1" s="3549"/>
      <c r="D1" s="3549"/>
      <c r="E1" s="3549"/>
      <c r="F1" s="3549"/>
      <c r="G1" s="3549"/>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6.75">
      <c r="A4" s="2631"/>
      <c r="B4" s="327" t="s">
        <v>2938</v>
      </c>
      <c r="C4" s="2657" t="s">
        <v>2939</v>
      </c>
      <c r="D4" s="2654"/>
      <c r="E4" s="2658"/>
      <c r="F4" s="1522" t="s">
        <v>2940</v>
      </c>
      <c r="G4" s="2659" t="s">
        <v>2941</v>
      </c>
      <c r="H4" s="904"/>
      <c r="I4" s="904"/>
      <c r="J4" s="904"/>
      <c r="K4" s="904"/>
      <c r="L4" s="904"/>
      <c r="M4" s="904"/>
      <c r="N4" s="904"/>
      <c r="O4" s="904"/>
      <c r="P4" s="904"/>
      <c r="Q4" s="904"/>
      <c r="R4" s="904"/>
    </row>
    <row r="5" spans="1:29" ht="36.75">
      <c r="A5" s="2631"/>
      <c r="B5" s="327" t="s">
        <v>2942</v>
      </c>
      <c r="C5" s="2657" t="s">
        <v>2943</v>
      </c>
      <c r="D5" s="2654"/>
      <c r="E5" s="2658"/>
      <c r="F5" s="327" t="s">
        <v>2944</v>
      </c>
      <c r="G5" s="2659" t="s">
        <v>2945</v>
      </c>
      <c r="H5" s="904"/>
      <c r="I5" s="904"/>
      <c r="J5" s="904"/>
      <c r="K5" s="904"/>
      <c r="L5" s="904"/>
      <c r="M5" s="904"/>
      <c r="N5" s="904"/>
      <c r="O5" s="904"/>
      <c r="P5" s="904"/>
      <c r="Q5" s="904"/>
      <c r="R5" s="904"/>
    </row>
    <row r="6" spans="1:29" ht="36">
      <c r="A6" s="2631"/>
      <c r="B6" s="327" t="s">
        <v>2946</v>
      </c>
      <c r="C6" s="2659" t="s">
        <v>2941</v>
      </c>
      <c r="D6" s="2654"/>
      <c r="E6" s="2658"/>
      <c r="F6" s="327" t="s">
        <v>2947</v>
      </c>
      <c r="G6" s="2659" t="s">
        <v>2948</v>
      </c>
      <c r="H6" s="904"/>
      <c r="I6" s="904"/>
      <c r="J6" s="904"/>
      <c r="K6" s="904"/>
      <c r="L6" s="904"/>
      <c r="M6" s="904"/>
      <c r="N6" s="904"/>
      <c r="O6" s="904"/>
      <c r="P6" s="904"/>
      <c r="Q6" s="904"/>
      <c r="R6" s="904"/>
    </row>
    <row r="7" spans="1:29" ht="24.75"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5"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2971</v>
      </c>
      <c r="B13" s="2673"/>
      <c r="C13" s="2673"/>
      <c r="D13" s="2671"/>
      <c r="E13" s="2673"/>
      <c r="F13" s="2673"/>
      <c r="G13" s="2673"/>
    </row>
    <row r="14" spans="1:29" ht="15" thickBot="1">
      <c r="A14" s="2683"/>
      <c r="B14" s="2683"/>
      <c r="C14" s="2684" t="s">
        <v>2954</v>
      </c>
      <c r="D14" s="2654"/>
      <c r="E14" s="2685"/>
      <c r="F14" s="2685"/>
      <c r="G14" s="2649" t="s">
        <v>2955</v>
      </c>
    </row>
    <row r="15" spans="1:29" ht="51">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8.25">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8.25">
      <c r="A17" s="2635"/>
      <c r="B17" s="2689" t="s">
        <v>2942</v>
      </c>
      <c r="C17" s="2690" t="str">
        <f>C5</f>
        <v>估价对象位于XX商圈，周边办公楼项目较多，入驻率高，办公集聚程度较好</v>
      </c>
      <c r="D17" s="2660"/>
      <c r="E17" s="2636"/>
      <c r="F17" s="2691" t="s">
        <v>2959</v>
      </c>
      <c r="G17" s="2693"/>
    </row>
    <row r="18" spans="1:18" ht="38.25">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5.5">
      <c r="A19" s="2635"/>
      <c r="B19" s="2691" t="s">
        <v>2960</v>
      </c>
      <c r="C19" s="2693"/>
      <c r="D19" s="2654"/>
      <c r="E19" s="2636"/>
      <c r="F19" s="327" t="s">
        <v>2944</v>
      </c>
      <c r="G19" s="2692" t="str">
        <f>G5</f>
        <v>估价对象所在区域公共配套设施齐备情况</v>
      </c>
    </row>
    <row r="20" spans="1:18" ht="25.5">
      <c r="A20" s="2635"/>
      <c r="B20" s="2691" t="s">
        <v>2961</v>
      </c>
      <c r="C20" s="2690" t="str">
        <f>C9</f>
        <v>区域自然环境：；人文环境；综合评价环境状况一般</v>
      </c>
      <c r="D20" s="2660"/>
      <c r="E20" s="2636"/>
      <c r="F20" s="327" t="s">
        <v>2947</v>
      </c>
      <c r="G20" s="2692" t="str">
        <f>G6</f>
        <v>估价对象所在区域基础设施水平</v>
      </c>
    </row>
    <row r="21" spans="1:18" ht="25.5">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5"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5"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550" t="s">
        <v>3341</v>
      </c>
      <c r="B1" s="3552" t="s">
        <v>3343</v>
      </c>
      <c r="C1" s="3553"/>
      <c r="D1" s="3554"/>
      <c r="E1" s="3558" t="s">
        <v>3344</v>
      </c>
      <c r="F1" s="3560" t="s">
        <v>3345</v>
      </c>
      <c r="G1" s="3558" t="s">
        <v>3346</v>
      </c>
      <c r="H1" s="3558" t="s">
        <v>3347</v>
      </c>
      <c r="I1" s="3565" t="s">
        <v>3348</v>
      </c>
      <c r="J1" s="3566"/>
      <c r="K1" s="3569" t="s">
        <v>3349</v>
      </c>
      <c r="L1" s="3570"/>
      <c r="M1" s="3560" t="s">
        <v>3350</v>
      </c>
      <c r="N1" s="3565" t="s">
        <v>3351</v>
      </c>
      <c r="O1" s="3566"/>
    </row>
    <row r="2" spans="1:15" ht="14.25" thickBot="1">
      <c r="A2" s="3551"/>
      <c r="B2" s="3555"/>
      <c r="C2" s="3556"/>
      <c r="D2" s="3557"/>
      <c r="E2" s="3559"/>
      <c r="F2" s="3561"/>
      <c r="G2" s="3559"/>
      <c r="H2" s="3559"/>
      <c r="I2" s="3567"/>
      <c r="J2" s="3568"/>
      <c r="K2" s="3571"/>
      <c r="L2" s="3572"/>
      <c r="M2" s="3561"/>
      <c r="N2" s="3567"/>
      <c r="O2" s="3568"/>
    </row>
    <row r="3" spans="1:15" ht="14.25" thickBot="1">
      <c r="A3" s="3587">
        <v>1</v>
      </c>
      <c r="B3" s="3573" t="s">
        <v>3352</v>
      </c>
      <c r="C3" s="3574"/>
      <c r="D3" s="3575"/>
      <c r="E3" s="3256" t="e">
        <f>SUM(E4:E8)</f>
        <v>#REF!</v>
      </c>
      <c r="F3" s="3256" t="e">
        <f>ROUND(E3/#REF!*#REF!,4)</f>
        <v>#REF!</v>
      </c>
      <c r="G3" s="3256" t="e">
        <f>SUM(G4:G8)</f>
        <v>#REF!</v>
      </c>
      <c r="H3" s="3256">
        <v>0</v>
      </c>
      <c r="I3" s="3576" t="e">
        <f>ROUND(F3*100000000/#REF!,0)</f>
        <v>#REF!</v>
      </c>
      <c r="J3" s="3577"/>
      <c r="K3" s="3578"/>
      <c r="L3" s="3579"/>
      <c r="M3" s="3257">
        <v>0</v>
      </c>
      <c r="N3" s="3576" t="e">
        <f>ROUND(M3*100000000/#REF!,0)</f>
        <v>#REF!</v>
      </c>
      <c r="O3" s="3577"/>
    </row>
    <row r="4" spans="1:15" ht="14.25" thickBot="1">
      <c r="A4" s="3580"/>
      <c r="B4" s="3550" t="s">
        <v>3353</v>
      </c>
      <c r="C4" s="3562" t="s">
        <v>3354</v>
      </c>
      <c r="D4" s="3563"/>
      <c r="E4" s="3258">
        <v>0</v>
      </c>
      <c r="F4" s="3258">
        <v>0</v>
      </c>
      <c r="G4" s="3258">
        <v>0</v>
      </c>
      <c r="H4" s="3258">
        <v>0</v>
      </c>
      <c r="I4" s="3562"/>
      <c r="J4" s="3563"/>
      <c r="K4" s="3564"/>
      <c r="L4" s="3563"/>
      <c r="M4" s="3259">
        <f t="shared" ref="M4:M24" si="0">F4</f>
        <v>0</v>
      </c>
      <c r="N4" s="3562"/>
      <c r="O4" s="3563"/>
    </row>
    <row r="5" spans="1:15" ht="14.25" thickBot="1">
      <c r="A5" s="3580"/>
      <c r="B5" s="3580"/>
      <c r="C5" s="3562" t="s">
        <v>3355</v>
      </c>
      <c r="D5" s="3563"/>
      <c r="E5" s="3258" t="e">
        <f>ROUND((D34+D36+D38)/10000-#REF!,4)</f>
        <v>#REF!</v>
      </c>
      <c r="F5" s="3258" t="e">
        <f>ROUND(E5/#REF!*#REF!,4)</f>
        <v>#REF!</v>
      </c>
      <c r="G5" s="3258" t="e">
        <f>ROUND(E5/#REF!*#REF!,4)</f>
        <v>#REF!</v>
      </c>
      <c r="H5" s="3258">
        <v>0</v>
      </c>
      <c r="I5" s="3562"/>
      <c r="J5" s="3563"/>
      <c r="K5" s="3564" t="s">
        <v>3356</v>
      </c>
      <c r="L5" s="3563"/>
      <c r="M5" s="3259" t="e">
        <f t="shared" si="0"/>
        <v>#REF!</v>
      </c>
      <c r="N5" s="3562"/>
      <c r="O5" s="3563"/>
    </row>
    <row r="6" spans="1:15" ht="14.25" thickBot="1">
      <c r="A6" s="3580"/>
      <c r="B6" s="3580"/>
      <c r="C6" s="3562" t="s">
        <v>3357</v>
      </c>
      <c r="D6" s="3563"/>
      <c r="E6" s="3258">
        <f>ROUND(D35/10000,4)</f>
        <v>0</v>
      </c>
      <c r="F6" s="3258" t="e">
        <f>ROUND(E6/#REF!*#REF!,4)</f>
        <v>#REF!</v>
      </c>
      <c r="G6" s="3258" t="e">
        <f>ROUND(E6/#REF!*#REF!,4)</f>
        <v>#REF!</v>
      </c>
      <c r="H6" s="3258">
        <v>0</v>
      </c>
      <c r="I6" s="3562"/>
      <c r="J6" s="3563"/>
      <c r="K6" s="3564" t="s">
        <v>3358</v>
      </c>
      <c r="L6" s="3563"/>
      <c r="M6" s="3259" t="e">
        <f t="shared" si="0"/>
        <v>#REF!</v>
      </c>
      <c r="N6" s="3562"/>
      <c r="O6" s="3563"/>
    </row>
    <row r="7" spans="1:15" ht="14.25" thickBot="1">
      <c r="A7" s="3580"/>
      <c r="B7" s="3580"/>
      <c r="C7" s="3562" t="s">
        <v>3359</v>
      </c>
      <c r="D7" s="3563"/>
      <c r="E7" s="3258">
        <f>ROUND(D37/10000,4)</f>
        <v>0</v>
      </c>
      <c r="F7" s="3258" t="e">
        <f>ROUND(E7/#REF!*#REF!,4)</f>
        <v>#REF!</v>
      </c>
      <c r="G7" s="3258" t="e">
        <f>ROUND(E7/#REF!*#REF!,4)</f>
        <v>#REF!</v>
      </c>
      <c r="H7" s="3258">
        <v>0</v>
      </c>
      <c r="I7" s="3562"/>
      <c r="J7" s="3563"/>
      <c r="K7" s="3564" t="s">
        <v>3360</v>
      </c>
      <c r="L7" s="3563"/>
      <c r="M7" s="3259" t="e">
        <f t="shared" si="0"/>
        <v>#REF!</v>
      </c>
      <c r="N7" s="3562"/>
      <c r="O7" s="3563"/>
    </row>
    <row r="8" spans="1:15" ht="14.25" thickBot="1">
      <c r="A8" s="3581"/>
      <c r="B8" s="3581"/>
      <c r="C8" s="3562" t="s">
        <v>3361</v>
      </c>
      <c r="D8" s="3563"/>
      <c r="E8" s="3258">
        <v>0</v>
      </c>
      <c r="F8" s="3258">
        <v>0</v>
      </c>
      <c r="G8" s="3258">
        <v>0</v>
      </c>
      <c r="H8" s="3258">
        <v>0</v>
      </c>
      <c r="I8" s="3562"/>
      <c r="J8" s="3563"/>
      <c r="K8" s="3564" t="s">
        <v>3358</v>
      </c>
      <c r="L8" s="3563"/>
      <c r="M8" s="3259">
        <f t="shared" si="0"/>
        <v>0</v>
      </c>
      <c r="N8" s="3562"/>
      <c r="O8" s="3563"/>
    </row>
    <row r="9" spans="1:15" ht="14.25" thickBot="1">
      <c r="A9" s="3550">
        <v>2</v>
      </c>
      <c r="B9" s="3582" t="s">
        <v>3362</v>
      </c>
      <c r="C9" s="3583"/>
      <c r="D9" s="3584"/>
      <c r="E9" s="3256" t="e">
        <f>#REF!</f>
        <v>#REF!</v>
      </c>
      <c r="F9" s="3256" t="e">
        <f>F10</f>
        <v>#REF!</v>
      </c>
      <c r="G9" s="3256" t="e">
        <f>G10</f>
        <v>#REF!</v>
      </c>
      <c r="H9" s="3256" t="e">
        <f>#REF!</f>
        <v>#REF!</v>
      </c>
      <c r="I9" s="3576" t="e">
        <f>ROUND(F9*100000000/#REF!,0)</f>
        <v>#REF!</v>
      </c>
      <c r="J9" s="3585"/>
      <c r="K9" s="3562"/>
      <c r="L9" s="3586"/>
      <c r="M9" s="3256" t="e">
        <f t="shared" si="0"/>
        <v>#REF!</v>
      </c>
      <c r="N9" s="3576" t="e">
        <f>ROUND(M9*100000000/#REF!,0)</f>
        <v>#REF!</v>
      </c>
      <c r="O9" s="3585"/>
    </row>
    <row r="10" spans="1:15" ht="14.25" thickBot="1">
      <c r="A10" s="3580"/>
      <c r="B10" s="3550" t="s">
        <v>3363</v>
      </c>
      <c r="C10" s="3562" t="s">
        <v>3364</v>
      </c>
      <c r="D10" s="3563"/>
      <c r="E10" s="3258" t="e">
        <f>#REF!</f>
        <v>#REF!</v>
      </c>
      <c r="F10" s="3258" t="e">
        <f>ROUND(E10/#REF!*#REF!,4)</f>
        <v>#REF!</v>
      </c>
      <c r="G10" s="3258" t="e">
        <f>ROUND(E10/#REF!*#REF!,4)</f>
        <v>#REF!</v>
      </c>
      <c r="H10" s="3258" t="e">
        <f>#REF!</f>
        <v>#REF!</v>
      </c>
      <c r="I10" s="3562"/>
      <c r="J10" s="3563"/>
      <c r="K10" s="3564"/>
      <c r="L10" s="3563"/>
      <c r="M10" s="3259" t="e">
        <f t="shared" si="0"/>
        <v>#REF!</v>
      </c>
      <c r="N10" s="3562"/>
      <c r="O10" s="3563"/>
    </row>
    <row r="11" spans="1:15" ht="14.25" thickBot="1">
      <c r="A11" s="3551"/>
      <c r="B11" s="3551"/>
      <c r="C11" s="3562" t="s">
        <v>3365</v>
      </c>
      <c r="D11" s="3563"/>
      <c r="E11" s="3258">
        <v>0</v>
      </c>
      <c r="F11" s="3258">
        <v>0</v>
      </c>
      <c r="G11" s="3258">
        <v>0</v>
      </c>
      <c r="H11" s="3258">
        <v>0</v>
      </c>
      <c r="I11" s="3562"/>
      <c r="J11" s="3563"/>
      <c r="K11" s="3564"/>
      <c r="L11" s="3563"/>
      <c r="M11" s="3259">
        <f t="shared" si="0"/>
        <v>0</v>
      </c>
      <c r="N11" s="3562"/>
      <c r="O11" s="3563"/>
    </row>
    <row r="12" spans="1:15" ht="14.25" thickBot="1">
      <c r="A12" s="3587">
        <v>3</v>
      </c>
      <c r="B12" s="3588" t="s">
        <v>3366</v>
      </c>
      <c r="C12" s="3589"/>
      <c r="D12" s="3590"/>
      <c r="E12" s="3256" t="e">
        <f>#REF!</f>
        <v>#REF!</v>
      </c>
      <c r="F12" s="3256" t="e">
        <f>ROUND(E12/#REF!*#REF!,4)</f>
        <v>#REF!</v>
      </c>
      <c r="G12" s="3256" t="e">
        <f>ROUND(E12/#REF!*#REF!,4)</f>
        <v>#REF!</v>
      </c>
      <c r="H12" s="3256" t="e">
        <f>#REF!</f>
        <v>#REF!</v>
      </c>
      <c r="I12" s="3576" t="e">
        <f>ROUND(F12*100000000/#REF!,0)</f>
        <v>#REF!</v>
      </c>
      <c r="J12" s="3577"/>
      <c r="K12" s="3564" t="s">
        <v>3367</v>
      </c>
      <c r="L12" s="3563"/>
      <c r="M12" s="3256" t="e">
        <f t="shared" si="0"/>
        <v>#REF!</v>
      </c>
      <c r="N12" s="3576" t="e">
        <f>ROUND(M12*100000000/#REF!,0)</f>
        <v>#REF!</v>
      </c>
      <c r="O12" s="3577"/>
    </row>
    <row r="13" spans="1:15" ht="14.25" thickBot="1">
      <c r="A13" s="3580"/>
      <c r="B13" s="3550" t="s">
        <v>3363</v>
      </c>
      <c r="C13" s="3562" t="s">
        <v>3368</v>
      </c>
      <c r="D13" s="3563"/>
      <c r="E13" s="3258">
        <v>0</v>
      </c>
      <c r="F13" s="3258">
        <v>0</v>
      </c>
      <c r="G13" s="3258">
        <v>0</v>
      </c>
      <c r="H13" s="3258">
        <v>0</v>
      </c>
      <c r="I13" s="3562"/>
      <c r="J13" s="3563"/>
      <c r="K13" s="3564" t="s">
        <v>3369</v>
      </c>
      <c r="L13" s="3563"/>
      <c r="M13" s="3259">
        <f t="shared" si="0"/>
        <v>0</v>
      </c>
      <c r="N13" s="3562"/>
      <c r="O13" s="3563"/>
    </row>
    <row r="14" spans="1:15" ht="14.25" thickBot="1">
      <c r="A14" s="3551"/>
      <c r="B14" s="3551"/>
      <c r="C14" s="3562" t="s">
        <v>3370</v>
      </c>
      <c r="D14" s="3563"/>
      <c r="E14" s="3258">
        <v>0</v>
      </c>
      <c r="F14" s="3258">
        <v>0</v>
      </c>
      <c r="G14" s="3258">
        <v>0</v>
      </c>
      <c r="H14" s="3258">
        <v>0</v>
      </c>
      <c r="I14" s="3562"/>
      <c r="J14" s="3563"/>
      <c r="K14" s="3564" t="s">
        <v>3369</v>
      </c>
      <c r="L14" s="3563"/>
      <c r="M14" s="3259">
        <f t="shared" si="0"/>
        <v>0</v>
      </c>
      <c r="N14" s="3562"/>
      <c r="O14" s="3563"/>
    </row>
    <row r="15" spans="1:15" ht="14.25" thickBot="1">
      <c r="A15" s="3587">
        <v>4</v>
      </c>
      <c r="B15" s="3588" t="s">
        <v>3371</v>
      </c>
      <c r="C15" s="3589"/>
      <c r="D15" s="3590"/>
      <c r="E15" s="3256" t="e">
        <f>E16</f>
        <v>#REF!</v>
      </c>
      <c r="F15" s="3256" t="e">
        <f>F16</f>
        <v>#REF!</v>
      </c>
      <c r="G15" s="3256" t="e">
        <f>G16</f>
        <v>#REF!</v>
      </c>
      <c r="H15" s="3256" t="e">
        <f>H16</f>
        <v>#REF!</v>
      </c>
      <c r="I15" s="3576" t="e">
        <f>ROUND(F15*100000000/#REF!,0)</f>
        <v>#REF!</v>
      </c>
      <c r="J15" s="3577"/>
      <c r="K15" s="3564" t="s">
        <v>3372</v>
      </c>
      <c r="L15" s="3563"/>
      <c r="M15" s="3256" t="e">
        <f t="shared" si="0"/>
        <v>#REF!</v>
      </c>
      <c r="N15" s="3576" t="e">
        <f>ROUND(M15*100000000/#REF!,0)</f>
        <v>#REF!</v>
      </c>
      <c r="O15" s="3577"/>
    </row>
    <row r="16" spans="1:15" ht="14.25" thickBot="1">
      <c r="A16" s="3580"/>
      <c r="B16" s="3550" t="s">
        <v>3363</v>
      </c>
      <c r="C16" s="3562" t="s">
        <v>3373</v>
      </c>
      <c r="D16" s="3563"/>
      <c r="E16" s="3258" t="e">
        <f>E17+E18</f>
        <v>#REF!</v>
      </c>
      <c r="F16" s="3259" t="e">
        <f>F17+F18</f>
        <v>#REF!</v>
      </c>
      <c r="G16" s="3258" t="e">
        <f>G17+G18</f>
        <v>#REF!</v>
      </c>
      <c r="H16" s="3258" t="e">
        <f>H17+H18</f>
        <v>#REF!</v>
      </c>
      <c r="I16" s="3562"/>
      <c r="J16" s="3563"/>
      <c r="K16" s="3564"/>
      <c r="L16" s="3563"/>
      <c r="M16" s="3259" t="e">
        <f t="shared" si="0"/>
        <v>#REF!</v>
      </c>
      <c r="N16" s="3562"/>
      <c r="O16" s="3563"/>
    </row>
    <row r="17" spans="1:15" ht="14.25" thickBot="1">
      <c r="A17" s="3580"/>
      <c r="B17" s="3580"/>
      <c r="C17" s="3550" t="s">
        <v>3374</v>
      </c>
      <c r="D17" s="3258" t="s">
        <v>3375</v>
      </c>
      <c r="E17" s="3258" t="e">
        <f>#REF!</f>
        <v>#REF!</v>
      </c>
      <c r="F17" s="3259" t="e">
        <f>ROUND(E17/#REF!*#REF!,4)</f>
        <v>#REF!</v>
      </c>
      <c r="G17" s="3258" t="e">
        <f>ROUND(E17/#REF!*#REF!,4)</f>
        <v>#REF!</v>
      </c>
      <c r="H17" s="3258" t="e">
        <f>#REF!</f>
        <v>#REF!</v>
      </c>
      <c r="I17" s="3562"/>
      <c r="J17" s="3563"/>
      <c r="K17" s="3564"/>
      <c r="L17" s="3563"/>
      <c r="M17" s="3259" t="e">
        <f t="shared" si="0"/>
        <v>#REF!</v>
      </c>
      <c r="N17" s="3562"/>
      <c r="O17" s="3563"/>
    </row>
    <row r="18" spans="1:15" ht="27.75" thickBot="1">
      <c r="A18" s="3551"/>
      <c r="B18" s="3551"/>
      <c r="C18" s="3551"/>
      <c r="D18" s="3260" t="s">
        <v>3376</v>
      </c>
      <c r="E18" s="3258" t="e">
        <f>#REF!</f>
        <v>#REF!</v>
      </c>
      <c r="F18" s="3259" t="e">
        <f>ROUND(E18/#REF!*#REF!,4)</f>
        <v>#REF!</v>
      </c>
      <c r="G18" s="3258" t="e">
        <f>ROUND(E18/#REF!*#REF!,4)</f>
        <v>#REF!</v>
      </c>
      <c r="H18" s="3258" t="e">
        <f>#REF!</f>
        <v>#REF!</v>
      </c>
      <c r="I18" s="3562"/>
      <c r="J18" s="3563"/>
      <c r="K18" s="3564"/>
      <c r="L18" s="3563"/>
      <c r="M18" s="3259" t="e">
        <f t="shared" si="0"/>
        <v>#REF!</v>
      </c>
      <c r="N18" s="3562"/>
      <c r="O18" s="3563"/>
    </row>
    <row r="19" spans="1:15" ht="14.25" thickBot="1">
      <c r="A19" s="3261">
        <v>5</v>
      </c>
      <c r="B19" s="3588" t="s">
        <v>3377</v>
      </c>
      <c r="C19" s="3589"/>
      <c r="D19" s="3590"/>
      <c r="E19" s="3257" t="e">
        <f>ROUND((E3+E9+E12+E15)*0.02,4)</f>
        <v>#REF!</v>
      </c>
      <c r="F19" s="3257" t="e">
        <f>ROUND(E19/#REF!*#REF!,4)</f>
        <v>#REF!</v>
      </c>
      <c r="G19" s="3257" t="e">
        <f>ROUND(E19/#REF!*#REF!,4)</f>
        <v>#REF!</v>
      </c>
      <c r="H19" s="3257" t="e">
        <f>ROUND((H3+H9+H12+H15)*0.02,4)</f>
        <v>#REF!</v>
      </c>
      <c r="I19" s="3582" t="e">
        <f>ROUND(F19*100000000/#REF!,0)</f>
        <v>#REF!</v>
      </c>
      <c r="J19" s="3599"/>
      <c r="K19" s="3600" t="s">
        <v>3378</v>
      </c>
      <c r="L19" s="3601"/>
      <c r="M19" s="3257" t="e">
        <f>ROUND((M3+M9+M12+M15)*0.02,4)</f>
        <v>#REF!</v>
      </c>
      <c r="N19" s="3582" t="e">
        <f>ROUND(M19*100000000/#REF!,0)</f>
        <v>#REF!</v>
      </c>
      <c r="O19" s="3599"/>
    </row>
    <row r="20" spans="1:15" ht="14.25" thickBot="1">
      <c r="A20" s="3591">
        <v>6</v>
      </c>
      <c r="B20" s="3593" t="s">
        <v>3379</v>
      </c>
      <c r="C20" s="3594"/>
      <c r="D20" s="3262" t="s">
        <v>3380</v>
      </c>
      <c r="E20" s="3263" t="e">
        <f>F20+G20</f>
        <v>#REF!</v>
      </c>
      <c r="F20" s="3264">
        <v>5.2285000000000004</v>
      </c>
      <c r="G20" s="3263" t="e">
        <f>ROUND(G3*(1.0475^(3/2+3)-1)+(G9+G12+G15+G19)*(1.0475^(3/2)-1),4)</f>
        <v>#REF!</v>
      </c>
      <c r="H20" s="3263" t="e">
        <f>ROUND(H3*(1.0475^(3/2+3)-1)+(H9+H12+H15+H19)*(1.0475^(3/2)-1),4)</f>
        <v>#REF!</v>
      </c>
      <c r="I20" s="3593" t="e">
        <f>ROUND(F20*100000000/#REF!,0)</f>
        <v>#REF!</v>
      </c>
      <c r="J20" s="3594"/>
      <c r="K20" s="3569" t="s">
        <v>3381</v>
      </c>
      <c r="L20" s="3570"/>
      <c r="M20" s="3263" t="e">
        <f>ROUND(M3*(1.0475^(3/2+3)-1)+(M9+M12+M15+M19)*(1.0475^(3/2)-1),4)</f>
        <v>#REF!</v>
      </c>
      <c r="N20" s="3593" t="e">
        <f>ROUND(M20*100000000/#REF!,0)</f>
        <v>#REF!</v>
      </c>
      <c r="O20" s="3594"/>
    </row>
    <row r="21" spans="1:15" ht="14.25" thickBot="1">
      <c r="A21" s="3592"/>
      <c r="B21" s="3595"/>
      <c r="C21" s="3596"/>
      <c r="D21" s="3256" t="s">
        <v>3382</v>
      </c>
      <c r="E21" s="3265">
        <v>4.7500000000000001E-2</v>
      </c>
      <c r="F21" s="3265">
        <f>E21</f>
        <v>4.7500000000000001E-2</v>
      </c>
      <c r="G21" s="3265">
        <f>F21</f>
        <v>4.7500000000000001E-2</v>
      </c>
      <c r="H21" s="3265">
        <f>E21</f>
        <v>4.7500000000000001E-2</v>
      </c>
      <c r="I21" s="3588"/>
      <c r="J21" s="3590"/>
      <c r="K21" s="3597"/>
      <c r="L21" s="3598"/>
      <c r="M21" s="3266">
        <f>E21</f>
        <v>4.7500000000000001E-2</v>
      </c>
      <c r="N21" s="3588"/>
      <c r="O21" s="3590"/>
    </row>
    <row r="22" spans="1:15" ht="14.25" thickBot="1">
      <c r="A22" s="3261">
        <v>7</v>
      </c>
      <c r="B22" s="3588" t="s">
        <v>3383</v>
      </c>
      <c r="C22" s="3589"/>
      <c r="D22" s="3590"/>
      <c r="E22" s="3257" t="e">
        <f>ROUND((E3+E9+E12+E15)*0.03,4)</f>
        <v>#REF!</v>
      </c>
      <c r="F22" s="3257" t="e">
        <f>ROUND(E22/#REF!*#REF!,4)</f>
        <v>#REF!</v>
      </c>
      <c r="G22" s="3257" t="e">
        <f>ROUND(E22/#REF!*#REF!,4)</f>
        <v>#REF!</v>
      </c>
      <c r="H22" s="3257" t="e">
        <f>ROUND((H9+H12+H15+H3)*0.03,4)</f>
        <v>#REF!</v>
      </c>
      <c r="I22" s="3582" t="e">
        <f>ROUND(F22*100000000/#REF!,0)</f>
        <v>#REF!</v>
      </c>
      <c r="J22" s="3599"/>
      <c r="K22" s="3600" t="s">
        <v>3384</v>
      </c>
      <c r="L22" s="3601"/>
      <c r="M22" s="3257" t="e">
        <f>ROUND((M3+M9+M12+M15)*0.03,4)</f>
        <v>#REF!</v>
      </c>
      <c r="N22" s="3582" t="e">
        <f>ROUND(M22*100000000/#REF!,0)</f>
        <v>#REF!</v>
      </c>
      <c r="O22" s="3599"/>
    </row>
    <row r="23" spans="1:15" ht="14.25" thickBot="1">
      <c r="A23" s="3261">
        <v>8</v>
      </c>
      <c r="B23" s="3582" t="s">
        <v>3385</v>
      </c>
      <c r="C23" s="3583"/>
      <c r="D23" s="3599"/>
      <c r="E23" s="3267" t="e">
        <f>ROUND((E3+E9+E12+E15+E19+E20+E22)*0.055,4)</f>
        <v>#REF!</v>
      </c>
      <c r="F23" s="3267" t="e">
        <f>ROUND(E23/#REF!*#REF!,4)</f>
        <v>#REF!</v>
      </c>
      <c r="G23" s="3268" t="e">
        <f>ROUND((G3+G9+G12+G15+G19+G20+G22)*0.055,4)</f>
        <v>#REF!</v>
      </c>
      <c r="H23" s="3268" t="e">
        <f>ROUND((H3+H9+H12+H15+H19+H20+H22)*0.055,4)</f>
        <v>#REF!</v>
      </c>
      <c r="I23" s="3582" t="e">
        <f>ROUND(F23*100000000/#REF!,0)</f>
        <v>#REF!</v>
      </c>
      <c r="J23" s="3583"/>
      <c r="K23" s="3602" t="s">
        <v>3386</v>
      </c>
      <c r="L23" s="3601"/>
      <c r="M23" s="3257" t="e">
        <f>ROUND((M3+M9+M12+M15+M19+M20+M22)*0.055,4)</f>
        <v>#REF!</v>
      </c>
      <c r="N23" s="3582" t="e">
        <f>ROUND(M23*100000000/#REF!,0)</f>
        <v>#REF!</v>
      </c>
      <c r="O23" s="3583"/>
    </row>
    <row r="24" spans="1:15" ht="14.25" thickBot="1">
      <c r="A24" s="3269">
        <v>9</v>
      </c>
      <c r="B24" s="3606" t="s">
        <v>3387</v>
      </c>
      <c r="C24" s="3606"/>
      <c r="D24" s="3606"/>
      <c r="E24" s="3270" t="e">
        <f>#REF!</f>
        <v>#REF!</v>
      </c>
      <c r="F24" s="3271" t="e">
        <f>ROUND(E24/#REF!*#REF!,4)</f>
        <v>#REF!</v>
      </c>
      <c r="G24" s="3272" t="e">
        <f>ROUND(E24/#REF!*#REF!,4)</f>
        <v>#REF!</v>
      </c>
      <c r="H24" s="3271" t="e">
        <f>#REF!</f>
        <v>#REF!</v>
      </c>
      <c r="I24" s="3606" t="e">
        <f>ROUND(F24*100000000/#REF!,0)</f>
        <v>#REF!</v>
      </c>
      <c r="J24" s="3606"/>
      <c r="K24" s="3607"/>
      <c r="L24" s="3563"/>
      <c r="M24" s="3257" t="e">
        <f t="shared" si="0"/>
        <v>#REF!</v>
      </c>
      <c r="N24" s="3606" t="e">
        <f>ROUND(M24*100000000/#REF!,0)</f>
        <v>#REF!</v>
      </c>
      <c r="O24" s="3606"/>
    </row>
    <row r="25" spans="1:15" ht="14.25" thickBot="1">
      <c r="A25" s="3273">
        <v>10</v>
      </c>
      <c r="B25" s="3562" t="s">
        <v>3388</v>
      </c>
      <c r="C25" s="3607"/>
      <c r="D25" s="3586"/>
      <c r="E25" s="3258" t="e">
        <f>E3+E9+E12+E15+E19+E20+E22+E23+E24</f>
        <v>#REF!</v>
      </c>
      <c r="F25" s="3274" t="e">
        <f>F3+F9+F12+F15+F19+F20+F22+F23+F24</f>
        <v>#REF!</v>
      </c>
      <c r="G25" s="3258" t="e">
        <f>G3+G9+G12+G15+G19+G20+G22+G23+G24</f>
        <v>#REF!</v>
      </c>
      <c r="H25" s="3258" t="e">
        <f>H3+H9+H12+H15+H19+H20+H22+H23+H24</f>
        <v>#REF!</v>
      </c>
      <c r="I25" s="3608" t="e">
        <f>ROUND(F25*100000000/#REF!,0)</f>
        <v>#REF!</v>
      </c>
      <c r="J25" s="3609"/>
      <c r="K25" s="3564"/>
      <c r="L25" s="3563"/>
      <c r="M25" s="3258" t="e">
        <f>M3+M9+M12+M15+M19+M20+M22+M23+M24</f>
        <v>#REF!</v>
      </c>
      <c r="N25" s="3562" t="e">
        <f>ROUND(M25*100000000/#REF!,0)</f>
        <v>#REF!</v>
      </c>
      <c r="O25" s="3563"/>
    </row>
    <row r="26" spans="1:15" ht="14.25" thickBot="1">
      <c r="A26" s="3275"/>
      <c r="B26" s="3603" t="s">
        <v>3389</v>
      </c>
      <c r="C26" s="3604"/>
      <c r="D26" s="3605"/>
      <c r="E26" s="3258" t="e">
        <f>E25+H25</f>
        <v>#REF!</v>
      </c>
      <c r="F26" s="3258" t="e">
        <f>F25+H25+G25</f>
        <v>#REF!</v>
      </c>
      <c r="G26" s="3276"/>
      <c r="H26" s="3276"/>
      <c r="I26" s="3276"/>
      <c r="J26" s="3277"/>
      <c r="K26" s="3276"/>
      <c r="L26" s="3277"/>
      <c r="M26" s="3277"/>
      <c r="N26" s="3277"/>
      <c r="O26" s="3278"/>
    </row>
  </sheetData>
  <mergeCells count="107">
    <mergeCell ref="B26:D26"/>
    <mergeCell ref="B24:D24"/>
    <mergeCell ref="I24:J24"/>
    <mergeCell ref="K24:L24"/>
    <mergeCell ref="N24:O24"/>
    <mergeCell ref="B25:D25"/>
    <mergeCell ref="I25:J25"/>
    <mergeCell ref="K25:L25"/>
    <mergeCell ref="N25:O25"/>
    <mergeCell ref="B22:D22"/>
    <mergeCell ref="I22:J22"/>
    <mergeCell ref="K22:L22"/>
    <mergeCell ref="N22:O22"/>
    <mergeCell ref="B23:D23"/>
    <mergeCell ref="I23:J23"/>
    <mergeCell ref="K23:L23"/>
    <mergeCell ref="N23:O23"/>
    <mergeCell ref="N18:O18"/>
    <mergeCell ref="B19:D19"/>
    <mergeCell ref="I19:J19"/>
    <mergeCell ref="K19:L19"/>
    <mergeCell ref="N19:O19"/>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1:A2"/>
    <mergeCell ref="B1:D2"/>
    <mergeCell ref="E1:E2"/>
    <mergeCell ref="F1:F2"/>
    <mergeCell ref="G1:G2"/>
    <mergeCell ref="H1:H2"/>
    <mergeCell ref="C4:D4"/>
    <mergeCell ref="I4:J4"/>
    <mergeCell ref="K4:L4"/>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S44"/>
  <sheetViews>
    <sheetView zoomScale="90" zoomScaleNormal="90" workbookViewId="0">
      <selection activeCell="J20" sqref="J20"/>
    </sheetView>
  </sheetViews>
  <sheetFormatPr defaultColWidth="11.875" defaultRowHeight="16.5"/>
  <cols>
    <col min="1" max="1" width="15.625" style="3200" customWidth="1"/>
    <col min="2" max="2" width="10.5" style="3200" customWidth="1"/>
    <col min="3" max="3" width="9.875" style="3200" customWidth="1"/>
    <col min="4" max="4" width="11.5" style="3200" customWidth="1"/>
    <col min="5" max="5" width="9.375" style="3200" customWidth="1"/>
    <col min="6" max="6" width="12.125" style="3200" customWidth="1"/>
    <col min="7" max="7" width="10.25" style="3200" customWidth="1"/>
    <col min="8" max="8" width="10.125" style="3200" customWidth="1"/>
    <col min="9" max="9" width="11.75" style="3200" customWidth="1"/>
    <col min="10" max="10" width="10.5" style="3200" customWidth="1"/>
    <col min="11" max="11" width="9" style="3200" customWidth="1"/>
    <col min="12" max="12" width="8.75" style="3200" customWidth="1"/>
    <col min="13" max="13" width="9.375" style="3200" customWidth="1"/>
    <col min="14" max="14" width="10" style="3200" customWidth="1"/>
    <col min="15" max="15" width="9.25" style="3200" customWidth="1"/>
    <col min="16" max="16" width="4.375" style="3200" customWidth="1"/>
    <col min="17" max="17" width="9.625" style="3200" customWidth="1"/>
    <col min="18" max="18" width="21.875" style="3200" customWidth="1"/>
    <col min="19" max="19" width="9.75" style="3200" customWidth="1"/>
    <col min="20" max="16384" width="11.875" style="3200"/>
  </cols>
  <sheetData>
    <row r="1" spans="1:19">
      <c r="A1" s="3201" t="s">
        <v>3166</v>
      </c>
      <c r="B1" s="3201">
        <v>25000</v>
      </c>
      <c r="C1" s="3201" t="s">
        <v>3420</v>
      </c>
      <c r="D1" s="3201">
        <v>6265.27</v>
      </c>
      <c r="E1" s="3201" t="s">
        <v>3421</v>
      </c>
      <c r="F1" s="3201">
        <v>18734.726999999999</v>
      </c>
      <c r="N1" s="3201" t="s">
        <v>3184</v>
      </c>
      <c r="O1" s="3201">
        <f>C19/B1</f>
        <v>1.9288400000000001</v>
      </c>
    </row>
    <row r="2" spans="1:19" ht="14.25" customHeight="1">
      <c r="A2" s="3612" t="s">
        <v>3146</v>
      </c>
      <c r="B2" s="3612" t="s">
        <v>3167</v>
      </c>
      <c r="C2" s="3612" t="s">
        <v>3168</v>
      </c>
      <c r="D2" s="3612" t="s">
        <v>3147</v>
      </c>
      <c r="E2" s="3612"/>
      <c r="F2" s="3612"/>
      <c r="G2" s="3612" t="s">
        <v>3169</v>
      </c>
      <c r="H2" s="3612" t="s">
        <v>3147</v>
      </c>
      <c r="I2" s="3612"/>
      <c r="J2" s="3612"/>
      <c r="K2" s="3612"/>
      <c r="L2" s="3612"/>
      <c r="M2" s="3612"/>
      <c r="N2" s="3610" t="s">
        <v>3155</v>
      </c>
      <c r="O2" s="3611"/>
      <c r="Q2" s="3200" t="s">
        <v>3172</v>
      </c>
      <c r="R2" s="3200">
        <v>21322.98</v>
      </c>
    </row>
    <row r="3" spans="1:19" ht="27.75" customHeight="1">
      <c r="A3" s="3612"/>
      <c r="B3" s="3612"/>
      <c r="C3" s="3612"/>
      <c r="D3" s="3203" t="s">
        <v>3131</v>
      </c>
      <c r="E3" s="3203" t="s">
        <v>3135</v>
      </c>
      <c r="F3" s="3203" t="s">
        <v>3136</v>
      </c>
      <c r="G3" s="3612"/>
      <c r="H3" s="3203" t="s">
        <v>3148</v>
      </c>
      <c r="I3" s="3203" t="s">
        <v>3156</v>
      </c>
      <c r="J3" s="3203" t="s">
        <v>3132</v>
      </c>
      <c r="K3" s="3203" t="s">
        <v>3135</v>
      </c>
      <c r="L3" s="3203" t="s">
        <v>3133</v>
      </c>
      <c r="M3" s="3203" t="s">
        <v>3134</v>
      </c>
      <c r="N3" s="3354" t="s">
        <v>3149</v>
      </c>
      <c r="O3" s="3354" t="s">
        <v>3150</v>
      </c>
      <c r="Q3" s="3200" t="s">
        <v>3173</v>
      </c>
      <c r="R3" s="3200" t="s">
        <v>3174</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3175</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3181</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3177</v>
      </c>
      <c r="R6" s="3200" t="s">
        <v>3178</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3179</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3180</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3181</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3435</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5" spans="1:15" ht="17.25" thickBot="1">
      <c r="A25" s="3616" t="s">
        <v>3576</v>
      </c>
      <c r="B25" s="3616"/>
      <c r="C25" s="3616"/>
      <c r="D25" s="3616"/>
      <c r="E25" s="3616"/>
      <c r="F25" s="3616"/>
      <c r="G25" s="3616"/>
      <c r="H25" s="3616"/>
      <c r="I25" s="3616"/>
      <c r="J25" s="3616"/>
    </row>
    <row r="26" spans="1:15" ht="17.25" thickBot="1">
      <c r="A26" s="3617" t="s">
        <v>3550</v>
      </c>
      <c r="B26" s="3617" t="s">
        <v>3551</v>
      </c>
      <c r="C26" s="3617" t="s">
        <v>3552</v>
      </c>
      <c r="D26" s="3613" t="s">
        <v>3553</v>
      </c>
      <c r="E26" s="3615"/>
      <c r="F26" s="3617" t="s">
        <v>3554</v>
      </c>
      <c r="G26" s="3613" t="s">
        <v>3553</v>
      </c>
      <c r="H26" s="3614"/>
      <c r="I26" s="3614"/>
      <c r="J26" s="3615"/>
    </row>
    <row r="27" spans="1:15" ht="43.5" thickBot="1">
      <c r="A27" s="3618"/>
      <c r="B27" s="3618"/>
      <c r="C27" s="3618"/>
      <c r="D27" s="3404" t="s">
        <v>3130</v>
      </c>
      <c r="E27" s="3404" t="s">
        <v>3555</v>
      </c>
      <c r="F27" s="3618"/>
      <c r="G27" s="3404" t="s">
        <v>3556</v>
      </c>
      <c r="H27" s="3404" t="s">
        <v>3557</v>
      </c>
      <c r="I27" s="3404" t="s">
        <v>3558</v>
      </c>
      <c r="J27" s="3404" t="s">
        <v>3559</v>
      </c>
    </row>
    <row r="28" spans="1:15" ht="17.25" thickBot="1">
      <c r="A28" s="3405" t="s">
        <v>3560</v>
      </c>
      <c r="B28" s="3206">
        <f>C28+F28</f>
        <v>4030.4</v>
      </c>
      <c r="C28" s="3206">
        <f>SUM(D28:E28)</f>
        <v>3238.3</v>
      </c>
      <c r="D28" s="3206">
        <v>3238.3</v>
      </c>
      <c r="E28" s="3206" t="s">
        <v>3561</v>
      </c>
      <c r="F28" s="3206">
        <f>SUM(G28:J28)</f>
        <v>792.1</v>
      </c>
      <c r="G28" s="3206" t="s">
        <v>3561</v>
      </c>
      <c r="H28" s="3206" t="s">
        <v>3561</v>
      </c>
      <c r="I28" s="3206">
        <v>491</v>
      </c>
      <c r="J28" s="3206">
        <v>301.10000000000002</v>
      </c>
    </row>
    <row r="29" spans="1:15" ht="17.25" thickBot="1">
      <c r="A29" s="3405" t="s">
        <v>3562</v>
      </c>
      <c r="B29" s="3206">
        <f t="shared" ref="B29:B42" si="7">C29+F29</f>
        <v>3380.8700000000003</v>
      </c>
      <c r="C29" s="3206">
        <f t="shared" ref="C29:C42" si="8">SUM(D29:E29)</f>
        <v>3190.8</v>
      </c>
      <c r="D29" s="3206">
        <v>3190.8</v>
      </c>
      <c r="E29" s="3206" t="s">
        <v>3561</v>
      </c>
      <c r="F29" s="3206">
        <f t="shared" ref="F29:F42" si="9">SUM(G29:J29)</f>
        <v>190.07</v>
      </c>
      <c r="G29" s="3206" t="s">
        <v>3561</v>
      </c>
      <c r="H29" s="3206" t="s">
        <v>3561</v>
      </c>
      <c r="I29" s="3206" t="s">
        <v>3561</v>
      </c>
      <c r="J29" s="3206">
        <v>190.07</v>
      </c>
    </row>
    <row r="30" spans="1:15" ht="17.25" thickBot="1">
      <c r="A30" s="3405" t="s">
        <v>3563</v>
      </c>
      <c r="B30" s="3206">
        <f t="shared" si="7"/>
        <v>5990.76</v>
      </c>
      <c r="C30" s="3206">
        <f t="shared" si="8"/>
        <v>4841.55</v>
      </c>
      <c r="D30" s="3206">
        <v>4841.55</v>
      </c>
      <c r="E30" s="3206" t="s">
        <v>3561</v>
      </c>
      <c r="F30" s="3206">
        <f t="shared" si="9"/>
        <v>1149.21</v>
      </c>
      <c r="G30" s="3206" t="s">
        <v>3561</v>
      </c>
      <c r="H30" s="3206" t="s">
        <v>3561</v>
      </c>
      <c r="I30" s="3206">
        <v>769</v>
      </c>
      <c r="J30" s="3206">
        <v>380.21</v>
      </c>
    </row>
    <row r="31" spans="1:15" ht="17.25" thickBot="1">
      <c r="A31" s="3405" t="s">
        <v>3564</v>
      </c>
      <c r="B31" s="3206">
        <f t="shared" si="7"/>
        <v>5279.77</v>
      </c>
      <c r="C31" s="3206">
        <f t="shared" si="8"/>
        <v>5030.88</v>
      </c>
      <c r="D31" s="3206">
        <v>5030.88</v>
      </c>
      <c r="E31" s="3206" t="s">
        <v>3561</v>
      </c>
      <c r="F31" s="3206">
        <f t="shared" si="9"/>
        <v>248.89</v>
      </c>
      <c r="G31" s="3206" t="s">
        <v>3561</v>
      </c>
      <c r="H31" s="3206">
        <v>36</v>
      </c>
      <c r="I31" s="3206" t="s">
        <v>3561</v>
      </c>
      <c r="J31" s="3206">
        <v>212.89</v>
      </c>
    </row>
    <row r="32" spans="1:15" ht="17.25" thickBot="1">
      <c r="A32" s="3405" t="s">
        <v>3565</v>
      </c>
      <c r="B32" s="3206">
        <f t="shared" si="7"/>
        <v>11763.41</v>
      </c>
      <c r="C32" s="3206">
        <f t="shared" si="8"/>
        <v>11302.98</v>
      </c>
      <c r="D32" s="3206">
        <v>11302.98</v>
      </c>
      <c r="E32" s="3206" t="s">
        <v>3561</v>
      </c>
      <c r="F32" s="3206">
        <f t="shared" si="9"/>
        <v>460.43</v>
      </c>
      <c r="G32" s="3206" t="s">
        <v>3561</v>
      </c>
      <c r="H32" s="3206" t="s">
        <v>3561</v>
      </c>
      <c r="I32" s="3206" t="s">
        <v>3561</v>
      </c>
      <c r="J32" s="3206">
        <v>460.43</v>
      </c>
    </row>
    <row r="33" spans="1:10" ht="17.25" thickBot="1">
      <c r="A33" s="3405" t="s">
        <v>3566</v>
      </c>
      <c r="B33" s="3206">
        <f t="shared" si="7"/>
        <v>10261.550000000001</v>
      </c>
      <c r="C33" s="3206">
        <f t="shared" si="8"/>
        <v>9939.19</v>
      </c>
      <c r="D33" s="3206">
        <v>9939.19</v>
      </c>
      <c r="E33" s="3206" t="s">
        <v>3561</v>
      </c>
      <c r="F33" s="3206">
        <f t="shared" si="9"/>
        <v>322.36</v>
      </c>
      <c r="G33" s="3206" t="s">
        <v>3561</v>
      </c>
      <c r="H33" s="3206" t="s">
        <v>3561</v>
      </c>
      <c r="I33" s="3206" t="s">
        <v>3561</v>
      </c>
      <c r="J33" s="3206">
        <v>322.36</v>
      </c>
    </row>
    <row r="34" spans="1:10" ht="17.25" thickBot="1">
      <c r="A34" s="3405" t="s">
        <v>3567</v>
      </c>
      <c r="B34" s="3206">
        <f t="shared" si="7"/>
        <v>10256.44</v>
      </c>
      <c r="C34" s="3206">
        <f t="shared" si="8"/>
        <v>9933.65</v>
      </c>
      <c r="D34" s="3206">
        <v>9918.15</v>
      </c>
      <c r="E34" s="3206">
        <v>15.5</v>
      </c>
      <c r="F34" s="3206">
        <f t="shared" si="9"/>
        <v>322.79000000000002</v>
      </c>
      <c r="G34" s="3206" t="s">
        <v>3561</v>
      </c>
      <c r="H34" s="3206" t="s">
        <v>3561</v>
      </c>
      <c r="I34" s="3206" t="s">
        <v>3561</v>
      </c>
      <c r="J34" s="3206">
        <v>322.79000000000002</v>
      </c>
    </row>
    <row r="35" spans="1:10" ht="17.25" thickBot="1">
      <c r="A35" s="3405" t="s">
        <v>3568</v>
      </c>
      <c r="B35" s="3206">
        <f t="shared" si="7"/>
        <v>0</v>
      </c>
      <c r="C35" s="3206">
        <f t="shared" si="8"/>
        <v>0</v>
      </c>
      <c r="D35" s="3206" t="s">
        <v>3561</v>
      </c>
      <c r="E35" s="3206" t="s">
        <v>3561</v>
      </c>
      <c r="F35" s="3206">
        <f t="shared" si="9"/>
        <v>0</v>
      </c>
      <c r="G35" s="3206" t="s">
        <v>3561</v>
      </c>
      <c r="H35" s="3206" t="s">
        <v>3561</v>
      </c>
      <c r="I35" s="3206" t="s">
        <v>3561</v>
      </c>
      <c r="J35" s="3206" t="s">
        <v>3561</v>
      </c>
    </row>
    <row r="36" spans="1:10" ht="17.25" thickBot="1">
      <c r="A36" s="3405" t="s">
        <v>3569</v>
      </c>
      <c r="B36" s="3206">
        <f t="shared" si="7"/>
        <v>40</v>
      </c>
      <c r="C36" s="3206">
        <f t="shared" si="8"/>
        <v>40</v>
      </c>
      <c r="D36" s="3206" t="s">
        <v>3561</v>
      </c>
      <c r="E36" s="3206">
        <v>40</v>
      </c>
      <c r="F36" s="3206">
        <f t="shared" si="9"/>
        <v>0</v>
      </c>
      <c r="G36" s="3206" t="s">
        <v>3561</v>
      </c>
      <c r="H36" s="3206" t="s">
        <v>3561</v>
      </c>
      <c r="I36" s="3206" t="s">
        <v>3561</v>
      </c>
      <c r="J36" s="3206" t="s">
        <v>3561</v>
      </c>
    </row>
    <row r="37" spans="1:10" ht="17.25" thickBot="1">
      <c r="A37" s="3405" t="s">
        <v>3570</v>
      </c>
      <c r="B37" s="3206">
        <f t="shared" si="7"/>
        <v>40</v>
      </c>
      <c r="C37" s="3206">
        <f t="shared" si="8"/>
        <v>40</v>
      </c>
      <c r="D37" s="3206" t="s">
        <v>3561</v>
      </c>
      <c r="E37" s="3206">
        <v>40</v>
      </c>
      <c r="F37" s="3206">
        <f t="shared" si="9"/>
        <v>0</v>
      </c>
      <c r="G37" s="3206" t="s">
        <v>3561</v>
      </c>
      <c r="H37" s="3206" t="s">
        <v>3561</v>
      </c>
      <c r="I37" s="3206" t="s">
        <v>3561</v>
      </c>
      <c r="J37" s="3206" t="s">
        <v>3561</v>
      </c>
    </row>
    <row r="38" spans="1:10" ht="17.25" thickBot="1">
      <c r="A38" s="3405" t="s">
        <v>3571</v>
      </c>
      <c r="B38" s="3206">
        <f t="shared" si="7"/>
        <v>40</v>
      </c>
      <c r="C38" s="3206">
        <f t="shared" si="8"/>
        <v>40</v>
      </c>
      <c r="D38" s="3206" t="s">
        <v>3561</v>
      </c>
      <c r="E38" s="3206">
        <v>40</v>
      </c>
      <c r="F38" s="3206">
        <f t="shared" si="9"/>
        <v>0</v>
      </c>
      <c r="G38" s="3206" t="s">
        <v>3561</v>
      </c>
      <c r="H38" s="3206" t="s">
        <v>3561</v>
      </c>
      <c r="I38" s="3206" t="s">
        <v>3561</v>
      </c>
      <c r="J38" s="3206" t="s">
        <v>3561</v>
      </c>
    </row>
    <row r="39" spans="1:10" ht="17.25" thickBot="1">
      <c r="A39" s="3405" t="s">
        <v>3572</v>
      </c>
      <c r="B39" s="3206">
        <f t="shared" si="7"/>
        <v>12511.97</v>
      </c>
      <c r="C39" s="3206">
        <f t="shared" si="8"/>
        <v>0</v>
      </c>
      <c r="D39" s="3206" t="s">
        <v>3561</v>
      </c>
      <c r="E39" s="3206" t="s">
        <v>3561</v>
      </c>
      <c r="F39" s="3206">
        <f t="shared" si="9"/>
        <v>12511.97</v>
      </c>
      <c r="G39" s="3206">
        <v>11891.97</v>
      </c>
      <c r="H39" s="3206">
        <v>620</v>
      </c>
      <c r="I39" s="3206" t="s">
        <v>3561</v>
      </c>
      <c r="J39" s="3206" t="s">
        <v>3561</v>
      </c>
    </row>
    <row r="40" spans="1:10" ht="22.5" customHeight="1" thickBot="1">
      <c r="A40" s="3405" t="s">
        <v>3573</v>
      </c>
      <c r="B40" s="3206">
        <f t="shared" si="7"/>
        <v>65.45</v>
      </c>
      <c r="C40" s="3206">
        <f t="shared" si="8"/>
        <v>65.45</v>
      </c>
      <c r="D40" s="3206" t="s">
        <v>3561</v>
      </c>
      <c r="E40" s="3206">
        <v>65.45</v>
      </c>
      <c r="F40" s="3206">
        <f t="shared" si="9"/>
        <v>0</v>
      </c>
      <c r="G40" s="3206" t="s">
        <v>3561</v>
      </c>
      <c r="H40" s="3206" t="s">
        <v>3561</v>
      </c>
      <c r="I40" s="3206" t="s">
        <v>3561</v>
      </c>
      <c r="J40" s="3206" t="s">
        <v>3561</v>
      </c>
    </row>
    <row r="41" spans="1:10" ht="21.75" customHeight="1" thickBot="1">
      <c r="A41" s="3405" t="s">
        <v>3574</v>
      </c>
      <c r="B41" s="3206">
        <f t="shared" si="7"/>
        <v>65.45</v>
      </c>
      <c r="C41" s="3206">
        <f t="shared" si="8"/>
        <v>65.45</v>
      </c>
      <c r="D41" s="3206" t="s">
        <v>3561</v>
      </c>
      <c r="E41" s="3206">
        <v>65.45</v>
      </c>
      <c r="F41" s="3206">
        <f t="shared" si="9"/>
        <v>0</v>
      </c>
      <c r="G41" s="3206" t="s">
        <v>3561</v>
      </c>
      <c r="H41" s="3206" t="s">
        <v>3561</v>
      </c>
      <c r="I41" s="3206" t="s">
        <v>3561</v>
      </c>
      <c r="J41" s="3206" t="s">
        <v>3561</v>
      </c>
    </row>
    <row r="42" spans="1:10" ht="29.25" thickBot="1">
      <c r="A42" s="3405" t="s">
        <v>3575</v>
      </c>
      <c r="B42" s="3206">
        <f t="shared" si="7"/>
        <v>34.950000000000003</v>
      </c>
      <c r="C42" s="3206">
        <f t="shared" si="8"/>
        <v>34.950000000000003</v>
      </c>
      <c r="D42" s="3206" t="s">
        <v>3561</v>
      </c>
      <c r="E42" s="3206">
        <v>34.950000000000003</v>
      </c>
      <c r="F42" s="3206">
        <f t="shared" si="9"/>
        <v>0</v>
      </c>
      <c r="G42" s="3206" t="s">
        <v>3561</v>
      </c>
      <c r="H42" s="3206" t="s">
        <v>3561</v>
      </c>
      <c r="I42" s="3206" t="s">
        <v>3561</v>
      </c>
      <c r="J42" s="3206" t="s">
        <v>3561</v>
      </c>
    </row>
    <row r="43" spans="1:10" ht="17.25" thickBot="1">
      <c r="A43" s="3403" t="s">
        <v>3459</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G26:J26"/>
    <mergeCell ref="A25:J25"/>
    <mergeCell ref="A26:A27"/>
    <mergeCell ref="B26:B27"/>
    <mergeCell ref="C26:C27"/>
    <mergeCell ref="D26:E26"/>
    <mergeCell ref="F26:F27"/>
    <mergeCell ref="N2:O2"/>
    <mergeCell ref="D2:F2"/>
    <mergeCell ref="A2:A3"/>
    <mergeCell ref="B2:B3"/>
    <mergeCell ref="C2:C3"/>
    <mergeCell ref="G2:G3"/>
    <mergeCell ref="H2:M2"/>
  </mergeCells>
  <phoneticPr fontId="140"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458" t="str">
        <f>项目基本情况!B1</f>
        <v>北京市房地产市场价值预评估</v>
      </c>
      <c r="C37" s="3458"/>
      <c r="D37" s="3458"/>
      <c r="E37" s="3458"/>
      <c r="F37" s="3458"/>
      <c r="G37" s="3458"/>
      <c r="H37" s="3458"/>
      <c r="I37" s="3458"/>
    </row>
    <row r="38" spans="1:9">
      <c r="A38" s="950"/>
      <c r="B38" s="950"/>
    </row>
    <row r="39" spans="1:9">
      <c r="A39" s="948" t="s">
        <v>818</v>
      </c>
      <c r="B39" s="948" t="s">
        <v>820</v>
      </c>
    </row>
    <row r="40" spans="1:9">
      <c r="A40" s="948"/>
      <c r="B40" s="1624" t="str">
        <f>项目基本情况!B5</f>
        <v>北京市保障房中心</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ht="12.75">
      <c r="B46" s="1624" t="str">
        <f ca="1">项目基本情况!K4</f>
        <v>陈颖（注册号：0)、叶凌（注册号：1119970111)</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H1:K12"/>
  <sheetViews>
    <sheetView tabSelected="1" workbookViewId="0">
      <selection activeCell="G22" sqref="G22"/>
    </sheetView>
  </sheetViews>
  <sheetFormatPr defaultRowHeight="13.5"/>
  <cols>
    <col min="7" max="7" width="10.875" customWidth="1"/>
    <col min="8" max="8" width="15.75" style="3355" customWidth="1"/>
    <col min="9" max="9" width="17.125" style="3355" customWidth="1"/>
    <col min="10" max="10" width="16.375" style="3355" customWidth="1"/>
    <col min="11" max="11" width="17.375" style="3355" customWidth="1"/>
  </cols>
  <sheetData>
    <row r="1" spans="8:11">
      <c r="H1" s="3356"/>
      <c r="I1" s="3357" t="s">
        <v>3438</v>
      </c>
      <c r="J1" s="3357" t="s">
        <v>3441</v>
      </c>
      <c r="K1" s="3357" t="s">
        <v>3439</v>
      </c>
    </row>
    <row r="2" spans="8:11">
      <c r="H2" s="3357" t="s">
        <v>3440</v>
      </c>
      <c r="I2" s="3356">
        <f>面积表!D19</f>
        <v>47461.850000000006</v>
      </c>
      <c r="J2" s="3356">
        <f ca="1">成本法!B3</f>
        <v>14224</v>
      </c>
      <c r="K2" s="3356">
        <f ca="1">ROUND(I2*J2/100000000,4)</f>
        <v>6.7510000000000003</v>
      </c>
    </row>
    <row r="3" spans="8:11">
      <c r="H3" s="3357" t="s">
        <v>3436</v>
      </c>
      <c r="I3" s="3356">
        <f>面积表!H19</f>
        <v>11780.21</v>
      </c>
      <c r="J3" s="3356">
        <f ca="1">'[4]结果表-车位'!$G$20</f>
        <v>6040</v>
      </c>
      <c r="K3" s="3356">
        <f ca="1">ROUND(I3*J3/100000000,4)</f>
        <v>0.71150000000000002</v>
      </c>
    </row>
    <row r="4" spans="8:11">
      <c r="H4" s="3357" t="s">
        <v>3437</v>
      </c>
      <c r="I4" s="3356">
        <f>面积表!J19</f>
        <v>9034.9699999999993</v>
      </c>
      <c r="J4" s="3356">
        <f ca="1">'[4]结果表-仓储'!$G$20</f>
        <v>7786</v>
      </c>
      <c r="K4" s="3356">
        <f ca="1">ROUND(I4*J4/100000000,4)</f>
        <v>0.70350000000000001</v>
      </c>
    </row>
    <row r="5" spans="8:11">
      <c r="H5" s="3357" t="s">
        <v>3151</v>
      </c>
      <c r="I5" s="3356"/>
      <c r="J5" s="3356"/>
      <c r="K5" s="3356">
        <f ca="1">SUM(K2:K4)</f>
        <v>8.1660000000000004</v>
      </c>
    </row>
    <row r="6" spans="8:11">
      <c r="K6" s="3355">
        <v>81081</v>
      </c>
    </row>
    <row r="7" spans="8:11">
      <c r="I7" s="3355">
        <f>I3+I4</f>
        <v>20815.18</v>
      </c>
      <c r="J7" s="3355">
        <f>ROUND(I7*200000/100000000,4)</f>
        <v>41.630400000000002</v>
      </c>
    </row>
    <row r="11" spans="8:11">
      <c r="H11" s="3356">
        <v>272</v>
      </c>
      <c r="I11" s="3355">
        <f>I3/H11</f>
        <v>43.30959558823529</v>
      </c>
      <c r="J11" s="3355">
        <f ca="1">ROUND(I11*J3/10000,4)</f>
        <v>26.158999999999999</v>
      </c>
    </row>
    <row r="12" spans="8:11">
      <c r="H12" s="3356">
        <v>470</v>
      </c>
      <c r="I12" s="3355">
        <f>I4/H12</f>
        <v>19.223340425531912</v>
      </c>
      <c r="J12" s="3355">
        <f ca="1">ROUND(I12*J4/10000,2)</f>
        <v>14.97</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Normal="70" zoomScaleSheetLayoutView="100" workbookViewId="0">
      <selection activeCell="G37" sqref="G3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9" t="s">
        <v>3130</v>
      </c>
      <c r="C1" s="202"/>
      <c r="D1" s="202"/>
      <c r="E1" s="202"/>
      <c r="F1" s="202"/>
      <c r="G1" s="1255">
        <f>MATCH(B1,'数据-取费表'!A6:A16,0)+5</f>
        <v>6</v>
      </c>
    </row>
    <row r="2" spans="1:9" s="204" customFormat="1" ht="18" customHeight="1">
      <c r="A2" s="205" t="s">
        <v>2088</v>
      </c>
      <c r="B2" s="206">
        <f ca="1">IF(D2="——",C52,C52-E2)</f>
        <v>67511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14224</v>
      </c>
      <c r="C3" s="203" t="s">
        <v>2091</v>
      </c>
      <c r="D3" s="203"/>
      <c r="E3" s="203"/>
      <c r="F3" s="203"/>
      <c r="G3" s="203"/>
    </row>
    <row r="4" spans="1:9" s="212" customFormat="1" ht="15.75">
      <c r="A4" s="209" t="s">
        <v>2092</v>
      </c>
      <c r="B4" s="210"/>
      <c r="C4" s="210"/>
      <c r="D4" s="3392"/>
      <c r="E4" s="210"/>
      <c r="F4" s="210"/>
      <c r="G4" s="211"/>
    </row>
    <row r="5" spans="1:9" s="218" customFormat="1" ht="13.5" customHeight="1">
      <c r="A5" s="259" t="s">
        <v>2093</v>
      </c>
      <c r="B5" s="3320" t="s">
        <v>2094</v>
      </c>
      <c r="C5" s="3321">
        <f ca="1">C6+C7+C8</f>
        <v>25671.674834500001</v>
      </c>
      <c r="D5" s="3321" t="s">
        <v>2095</v>
      </c>
      <c r="E5" s="3322" t="s">
        <v>2096</v>
      </c>
      <c r="F5" s="3322" t="s">
        <v>2097</v>
      </c>
      <c r="G5" s="217"/>
    </row>
    <row r="6" spans="1:9" s="218" customFormat="1" ht="13.5" customHeight="1">
      <c r="A6" s="883" t="s">
        <v>2098</v>
      </c>
      <c r="B6" s="3305" t="s">
        <v>2099</v>
      </c>
      <c r="C6" s="3388">
        <f>基准地价修正!N31*面积表!F1/10000</f>
        <v>23858.674834500001</v>
      </c>
      <c r="D6" s="3315"/>
      <c r="E6" s="3393">
        <f ca="1">ROUND(C5*10000/D9,0)</f>
        <v>5409</v>
      </c>
      <c r="F6" s="3316"/>
      <c r="G6" s="223"/>
    </row>
    <row r="7" spans="1:9" s="218" customFormat="1" ht="13.5" customHeight="1">
      <c r="A7" s="3406" t="s">
        <v>2100</v>
      </c>
      <c r="B7" s="3407" t="s">
        <v>2101</v>
      </c>
      <c r="C7" s="3408">
        <f>ROUND(C6*F7,0)</f>
        <v>728</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1085</v>
      </c>
      <c r="D8" s="3319"/>
      <c r="E8" s="3317"/>
      <c r="F8" s="3318"/>
      <c r="G8" s="2007" t="s">
        <v>3187</v>
      </c>
    </row>
    <row r="9" spans="1:9" s="218" customFormat="1" ht="13.5" customHeight="1">
      <c r="A9" s="884" t="s">
        <v>800</v>
      </c>
      <c r="B9" s="228" t="s">
        <v>2104</v>
      </c>
      <c r="C9" s="229">
        <f ca="1">ROUND(D9*E9/10000,0)</f>
        <v>759</v>
      </c>
      <c r="D9" s="951">
        <f ca="1">IF(B1="",'数据-汇总表'!E5,IF(INDIRECT("'数据-取费表'!c"&amp;$G$1)="住宅",INDIRECT("'数据-取费表'!k"&amp;$G$1),0))</f>
        <v>47461.850000000006</v>
      </c>
      <c r="E9" s="229">
        <f>'数据-取费表'!B27</f>
        <v>160</v>
      </c>
      <c r="F9" s="225"/>
      <c r="G9" s="2008" t="s">
        <v>3189</v>
      </c>
      <c r="H9" s="1266"/>
      <c r="I9" s="2009" t="s">
        <v>2105</v>
      </c>
    </row>
    <row r="10" spans="1:9" s="218" customFormat="1" ht="13.5" customHeight="1">
      <c r="A10" s="884" t="s">
        <v>801</v>
      </c>
      <c r="B10" s="228" t="s">
        <v>2106</v>
      </c>
      <c r="C10" s="229">
        <f ca="1">ROUND(D10*E10/10000,0)</f>
        <v>326</v>
      </c>
      <c r="D10" s="951">
        <f ca="1">IF(B1="",'数据-汇总表'!E6,IF(INDIRECT("'数据-取费表'!c"&amp;$G$1)="住宅",INDIRECT("'数据-取费表'!s"&amp;$G$1),INDIRECT("'数据-取费表'!k"&amp;$G$1)+INDIRECT("'数据-取费表'!s"&amp;$G$1)))</f>
        <v>16299.17</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63761.020000000004</v>
      </c>
      <c r="E19" s="3321">
        <f>'数据-取费表'!B31</f>
        <v>200</v>
      </c>
      <c r="F19" s="3324"/>
      <c r="G19" s="2007" t="s">
        <v>3188</v>
      </c>
      <c r="H19" s="3390"/>
    </row>
    <row r="20" spans="1:8" s="218" customFormat="1" ht="13.5" customHeight="1">
      <c r="A20" s="259" t="s">
        <v>2119</v>
      </c>
      <c r="B20" s="3320" t="s">
        <v>2120</v>
      </c>
      <c r="C20" s="3325">
        <f ca="1">ROUND((C5+C19)*F20,0)</f>
        <v>513</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2521</v>
      </c>
      <c r="D22" s="3327">
        <f>C26</f>
        <v>0</v>
      </c>
      <c r="E22" s="3328" t="s">
        <v>2124</v>
      </c>
      <c r="F22" s="3348">
        <f>'数据-取费表'!B40</f>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2497</v>
      </c>
      <c r="D23" s="242"/>
      <c r="E23" s="242"/>
      <c r="F23" s="243"/>
      <c r="G23" s="244" t="s">
        <v>2130</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24</v>
      </c>
      <c r="D25" s="242"/>
      <c r="E25" s="245"/>
      <c r="F25" s="243"/>
      <c r="G25" s="246" t="s">
        <v>2136</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4.75">
      <c r="A27" s="259" t="s">
        <v>2138</v>
      </c>
      <c r="B27" s="3329" t="s">
        <v>2139</v>
      </c>
      <c r="C27" s="3330">
        <f ca="1">C28</f>
        <v>0</v>
      </c>
      <c r="D27" s="3327">
        <f ca="1">C29</f>
        <v>0</v>
      </c>
      <c r="E27" s="3328" t="s">
        <v>2140</v>
      </c>
      <c r="F27" s="3350">
        <f ca="1">IF(B1="",'数据-取费表'!Q16,INDIRECT("'数据-取费表'!q"&amp;$G$1))</f>
        <v>0</v>
      </c>
      <c r="G27" s="251" t="s">
        <v>2141</v>
      </c>
    </row>
    <row r="28" spans="1:8" s="218" customFormat="1" ht="13.5" customHeight="1">
      <c r="A28" s="885" t="s">
        <v>791</v>
      </c>
      <c r="B28" s="252" t="s">
        <v>2142</v>
      </c>
      <c r="C28" s="253">
        <f ca="1">ROUND((C5+C19+C20)*F27*'数据-取费表'!B21/'数据-取费表'!B20,0)</f>
        <v>0</v>
      </c>
      <c r="D28" s="239"/>
      <c r="E28" s="240"/>
      <c r="F28" s="250"/>
      <c r="G28" s="251"/>
    </row>
    <row r="29" spans="1:8" s="218" customFormat="1" ht="13.5" customHeight="1">
      <c r="A29" s="885" t="s">
        <v>792</v>
      </c>
      <c r="B29" s="252" t="s">
        <v>2143</v>
      </c>
      <c r="C29" s="242">
        <f ca="1">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28706</v>
      </c>
      <c r="D31" s="3339">
        <f ca="1">ROUND(C31*10000/'数据-汇总表'!E19,0)</f>
        <v>6048</v>
      </c>
      <c r="E31" s="3310"/>
      <c r="F31" s="3340"/>
      <c r="G31" s="238" t="s">
        <v>2148</v>
      </c>
    </row>
    <row r="32" spans="1:8" s="212" customFormat="1" ht="15.75">
      <c r="A32" s="256" t="s">
        <v>2149</v>
      </c>
      <c r="B32" s="257"/>
      <c r="C32" s="257"/>
      <c r="D32" s="257"/>
      <c r="E32" s="257"/>
      <c r="F32" s="257"/>
      <c r="G32" s="258"/>
    </row>
    <row r="33" spans="1:7" s="218" customFormat="1" ht="13.5" customHeight="1">
      <c r="A33" s="259" t="s">
        <v>782</v>
      </c>
      <c r="B33" s="3311" t="s">
        <v>2150</v>
      </c>
      <c r="C33" s="3312">
        <f ca="1">SUM(C34:C38)</f>
        <v>36320</v>
      </c>
      <c r="D33" s="218">
        <f>面积表!D19</f>
        <v>47461.850000000006</v>
      </c>
      <c r="E33" s="3391">
        <f ca="1">ROUND(C33*10000/D33,0)</f>
        <v>7652</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28487</v>
      </c>
      <c r="D34" s="3332"/>
      <c r="E34" s="3331"/>
      <c r="F34" s="3333">
        <f ca="1">IF('数据-取费表'!B24=0,1,IF(B1="",'数据-取费表'!N16,INDIRECT("'数据-取费表'!n"&amp;$G$1)))</f>
        <v>1</v>
      </c>
      <c r="G34" s="223" t="s">
        <v>2152</v>
      </c>
    </row>
    <row r="35" spans="1:7" ht="13.5" customHeight="1">
      <c r="A35" s="885" t="s">
        <v>796</v>
      </c>
      <c r="B35" s="3306" t="s">
        <v>2153</v>
      </c>
      <c r="C35" s="3331">
        <f ca="1">ROUND(C34*F35,0)</f>
        <v>2849</v>
      </c>
      <c r="D35" s="3331"/>
      <c r="E35" s="3331"/>
      <c r="F35" s="3345">
        <f>'数据-取费表'!B33</f>
        <v>0.1</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1139</v>
      </c>
      <c r="D36" s="3331"/>
      <c r="E36" s="3331"/>
      <c r="F36" s="3345">
        <f>'数据-取费表'!B34</f>
        <v>0.05</v>
      </c>
      <c r="G36" s="264" t="s">
        <v>2156</v>
      </c>
    </row>
    <row r="37" spans="1:7" s="262" customFormat="1" ht="13.5" customHeight="1">
      <c r="A37" s="885" t="s">
        <v>798</v>
      </c>
      <c r="B37" s="3306" t="s">
        <v>2157</v>
      </c>
      <c r="C37" s="3307">
        <f ca="1">ROUND(C34*12%,0)</f>
        <v>3418</v>
      </c>
      <c r="D37" s="221">
        <f ca="1">D19</f>
        <v>63761.020000000004</v>
      </c>
      <c r="E37" s="253">
        <f>'数据-取费表'!B35</f>
        <v>200</v>
      </c>
      <c r="F37" s="263"/>
      <c r="G37" s="265" t="s">
        <v>2158</v>
      </c>
    </row>
    <row r="38" spans="1:7" ht="13.5" customHeight="1">
      <c r="A38" s="3409" t="s">
        <v>799</v>
      </c>
      <c r="B38" s="3407" t="s">
        <v>2159</v>
      </c>
      <c r="C38" s="3408">
        <f ca="1">ROUND(C34*F38,0)</f>
        <v>427</v>
      </c>
      <c r="D38" s="3331"/>
      <c r="E38" s="3331"/>
      <c r="F38" s="3334">
        <f>'数据-取费表'!B36</f>
        <v>1.4999999999999999E-2</v>
      </c>
      <c r="G38" s="223" t="s">
        <v>2154</v>
      </c>
    </row>
    <row r="39" spans="1:7" s="218" customFormat="1" ht="13.5" customHeight="1">
      <c r="A39" s="259" t="s">
        <v>2160</v>
      </c>
      <c r="B39" s="3311" t="s">
        <v>2161</v>
      </c>
      <c r="C39" s="3313">
        <f ca="1">ROUND((C33)*F20,0)</f>
        <v>726</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1759</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1725</v>
      </c>
      <c r="D42" s="242"/>
      <c r="E42" s="242"/>
      <c r="F42" s="263"/>
      <c r="G42" s="3619" t="s">
        <v>2170</v>
      </c>
    </row>
    <row r="43" spans="1:7" ht="13.5" customHeight="1">
      <c r="A43" s="885" t="s">
        <v>792</v>
      </c>
      <c r="B43" s="219" t="s">
        <v>2171</v>
      </c>
      <c r="C43" s="242">
        <f ca="1">ROUND(IF('数据-取费表'!B22&lt;=1,C39*F22*'数据-取费表'!B21/2,C39*(POWER((1+F22),'数据-取费表'!B21/2)-1)),0)</f>
        <v>34</v>
      </c>
      <c r="D43" s="242"/>
      <c r="E43" s="242"/>
      <c r="F43" s="263"/>
      <c r="G43" s="3620"/>
    </row>
    <row r="44" spans="1:7" ht="13.5" customHeight="1">
      <c r="A44" s="885" t="s">
        <v>793</v>
      </c>
      <c r="B44" s="219" t="s">
        <v>2172</v>
      </c>
      <c r="C44" s="242">
        <f>ROUND(IF('数据-取费表'!B22&lt;=1,C40*F22*'数据-取费表'!B21/2,C40*(POWER((1+F22),'数据-取费表'!B21/2)-1)),4)</f>
        <v>0</v>
      </c>
      <c r="D44" s="242"/>
      <c r="E44" s="242"/>
      <c r="F44" s="263"/>
      <c r="G44" s="3621"/>
    </row>
    <row r="45" spans="1:7" s="218" customFormat="1" ht="13.5" customHeight="1">
      <c r="A45" s="259" t="s">
        <v>2173</v>
      </c>
      <c r="B45" s="3337" t="s">
        <v>2139</v>
      </c>
      <c r="C45" s="3338">
        <f ca="1">C46</f>
        <v>0</v>
      </c>
      <c r="D45" s="3335">
        <f ca="1">C47</f>
        <v>0</v>
      </c>
      <c r="E45" s="3336" t="s">
        <v>2165</v>
      </c>
      <c r="F45" s="3349">
        <f ca="1">F27</f>
        <v>0</v>
      </c>
      <c r="G45" s="251" t="s">
        <v>2174</v>
      </c>
    </row>
    <row r="46" spans="1:7" s="218" customFormat="1" ht="13.5" customHeight="1">
      <c r="A46" s="885" t="s">
        <v>791</v>
      </c>
      <c r="B46" s="252" t="s">
        <v>2175</v>
      </c>
      <c r="C46" s="253">
        <f ca="1">ROUND((C33+C39)*F27,0)</f>
        <v>0</v>
      </c>
      <c r="D46" s="267"/>
      <c r="E46" s="240"/>
      <c r="F46" s="263"/>
      <c r="G46" s="251"/>
    </row>
    <row r="47" spans="1:7" s="218" customFormat="1" ht="13.5" customHeight="1">
      <c r="A47" s="885" t="s">
        <v>792</v>
      </c>
      <c r="B47" s="252" t="s">
        <v>2176</v>
      </c>
      <c r="C47" s="242">
        <f ca="1">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38805</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38805</v>
      </c>
      <c r="D51" s="3344">
        <f ca="1">ROUND(C51*10000/'数据-汇总表'!E19,0)</f>
        <v>8176</v>
      </c>
      <c r="E51" s="3341">
        <f ca="1">C51*10000/'数据-汇总表'!E3</f>
        <v>6086.0067796907897</v>
      </c>
      <c r="F51" s="3341"/>
      <c r="G51" s="238" t="s">
        <v>2186</v>
      </c>
    </row>
    <row r="52" spans="1:7" s="212" customFormat="1" ht="16.5" thickBot="1">
      <c r="A52" s="269" t="s">
        <v>2187</v>
      </c>
      <c r="B52" s="270"/>
      <c r="C52" s="271">
        <f ca="1">C31+C51</f>
        <v>67511</v>
      </c>
      <c r="D52" s="270"/>
      <c r="E52" s="270"/>
      <c r="F52" s="270"/>
      <c r="G52" s="272"/>
    </row>
    <row r="53" spans="1:7">
      <c r="D53" s="3352">
        <f ca="1">D51+D31</f>
        <v>14224</v>
      </c>
    </row>
    <row r="54" spans="1:7">
      <c r="C54" s="3389">
        <f ca="1">C5+C33</f>
        <v>61991.674834500001</v>
      </c>
      <c r="D54" s="276">
        <f ca="1">C54*10000/'数据-汇总表'!E19</f>
        <v>13061.369254359026</v>
      </c>
    </row>
    <row r="55" spans="1:7" ht="15">
      <c r="B55" s="274" t="s">
        <v>2188</v>
      </c>
      <c r="C55" s="275"/>
      <c r="E55" s="276">
        <f ca="1">E6+E33</f>
        <v>13061</v>
      </c>
    </row>
    <row r="56" spans="1:7">
      <c r="B56" s="277" t="s">
        <v>1418</v>
      </c>
      <c r="C56" s="279">
        <f ca="1">1-C57</f>
        <v>0.42500000000000004</v>
      </c>
    </row>
    <row r="57" spans="1:7">
      <c r="B57" s="277" t="s">
        <v>1419</v>
      </c>
      <c r="C57" s="278">
        <f ca="1">ROUND(C51/C52,3)</f>
        <v>0.57499999999999996</v>
      </c>
    </row>
  </sheetData>
  <sheetProtection formatCells="0"/>
  <mergeCells count="1">
    <mergeCell ref="G42:G44"/>
  </mergeCells>
  <phoneticPr fontId="16"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37787</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7962</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10857852</v>
      </c>
      <c r="D5" s="215" t="s">
        <v>2095</v>
      </c>
      <c r="E5" s="216" t="s">
        <v>2096</v>
      </c>
      <c r="F5" s="216" t="s">
        <v>2097</v>
      </c>
      <c r="G5" s="217"/>
    </row>
    <row r="6" spans="1:8" s="218" customFormat="1" ht="13.5" customHeight="1">
      <c r="A6" s="883" t="s">
        <v>2098</v>
      </c>
      <c r="B6" s="219" t="s">
        <v>2099</v>
      </c>
      <c r="C6" s="220">
        <v>4000</v>
      </c>
      <c r="D6" s="221"/>
      <c r="E6" s="222"/>
      <c r="F6" s="222"/>
      <c r="G6" s="223"/>
    </row>
    <row r="7" spans="1:8" s="218" customFormat="1" ht="13.5" customHeight="1">
      <c r="A7" s="883" t="s">
        <v>2100</v>
      </c>
      <c r="B7" s="219" t="s">
        <v>2101</v>
      </c>
      <c r="C7" s="224">
        <f>ROUND(C6*F7,0)</f>
        <v>122</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10853730</v>
      </c>
      <c r="D8" s="226"/>
      <c r="E8" s="224"/>
      <c r="F8" s="225"/>
      <c r="G8" s="2007" t="s">
        <v>3187</v>
      </c>
    </row>
    <row r="9" spans="1:8" s="218" customFormat="1" ht="13.5" customHeight="1">
      <c r="A9" s="884" t="s">
        <v>800</v>
      </c>
      <c r="B9" s="228" t="s">
        <v>2104</v>
      </c>
      <c r="C9" s="229">
        <f ca="1">ROUND(D9*E9,0)</f>
        <v>7593896</v>
      </c>
      <c r="D9" s="951">
        <f ca="1">IF(B1="",'数据-汇总表'!E5,IF(INDIRECT("'数据-取费表'!c"&amp;$G$1)="住宅",INDIRECT("'数据-取费表'!k"&amp;$G$1),0))</f>
        <v>47461.850000000006</v>
      </c>
      <c r="E9" s="229">
        <f>'数据-取费表'!B27</f>
        <v>160</v>
      </c>
      <c r="F9" s="225"/>
      <c r="G9" s="230"/>
    </row>
    <row r="10" spans="1:8" s="218" customFormat="1" ht="13.5" customHeight="1">
      <c r="A10" s="884" t="s">
        <v>801</v>
      </c>
      <c r="B10" s="228" t="s">
        <v>2106</v>
      </c>
      <c r="C10" s="229">
        <f ca="1">ROUND(D10*E10,0)</f>
        <v>3259834</v>
      </c>
      <c r="D10" s="951">
        <f ca="1">IF(B1="",'数据-汇总表'!E6,IF(INDIRECT("'数据-取费表'!c"&amp;$G$1)="住宅",INDIRECT("'数据-取费表'!s"&amp;$G$1),INDIRECT("'数据-取费表'!k"&amp;$G$1)+INDIRECT("'数据-取费表'!s"&amp;$G$1)))</f>
        <v>16299.17</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63761.020000000004</v>
      </c>
      <c r="E19" s="215">
        <f>'数据-取费表'!B31</f>
        <v>200</v>
      </c>
      <c r="F19" s="235"/>
      <c r="G19" s="2007" t="s">
        <v>3188</v>
      </c>
    </row>
    <row r="20" spans="1:7" s="218" customFormat="1" ht="13.5" customHeight="1">
      <c r="A20" s="259" t="s">
        <v>2200</v>
      </c>
      <c r="B20" s="214" t="s">
        <v>2201</v>
      </c>
      <c r="C20" s="236">
        <f ca="1">ROUND((C5+C19)*F20,0)</f>
        <v>217157</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1637557</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1621902</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15655</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v>
      </c>
      <c r="G27" s="251" t="s">
        <v>2141</v>
      </c>
    </row>
    <row r="28" spans="1:7" s="218" customFormat="1" ht="13.5" customHeight="1">
      <c r="A28" s="885" t="s">
        <v>791</v>
      </c>
      <c r="B28" s="252" t="s">
        <v>2142</v>
      </c>
      <c r="C28" s="253">
        <f ca="1">ROUND((C5+C19+C20)*F27,0)</f>
        <v>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12712566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341766381</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284863975</v>
      </c>
      <c r="D34" s="221"/>
      <c r="E34" s="224"/>
      <c r="F34" s="261"/>
      <c r="G34" s="223"/>
    </row>
    <row r="35" spans="1:7" ht="13.5" customHeight="1">
      <c r="A35" s="885" t="s">
        <v>796</v>
      </c>
      <c r="B35" s="219" t="s">
        <v>2153</v>
      </c>
      <c r="C35" s="224">
        <f ca="1">ROUND(C34*F35,0)</f>
        <v>28486398</v>
      </c>
      <c r="D35" s="224"/>
      <c r="E35" s="224"/>
      <c r="F35" s="263">
        <f>'数据-取费表'!B33</f>
        <v>0.1</v>
      </c>
      <c r="G35" s="223" t="s">
        <v>2154</v>
      </c>
    </row>
    <row r="36" spans="1:7" ht="24">
      <c r="A36" s="885" t="s">
        <v>797</v>
      </c>
      <c r="B36" s="219" t="s">
        <v>2155</v>
      </c>
      <c r="C36" s="224">
        <f ca="1">ROUND(IF(B1="",SUM('数据-取费表'!AP6:AP13)*F36,IF(INDIRECT("'数据-取费表'!c"&amp;$G$1)="住宅",INDIRECT("'数据-取费表'!k"&amp;$G$1)*INDIRECT("'数据-取费表'!l"&amp;$G$1)*F36,0)),0)</f>
        <v>11390844</v>
      </c>
      <c r="D36" s="224"/>
      <c r="E36" s="224"/>
      <c r="F36" s="263">
        <f>'数据-取费表'!B34</f>
        <v>0.05</v>
      </c>
      <c r="G36" s="264" t="s">
        <v>2156</v>
      </c>
    </row>
    <row r="37" spans="1:7" s="262" customFormat="1" ht="13.5" customHeight="1">
      <c r="A37" s="885" t="s">
        <v>798</v>
      </c>
      <c r="B37" s="219" t="s">
        <v>2157</v>
      </c>
      <c r="C37" s="253">
        <f ca="1">ROUND(E37*D37,0)</f>
        <v>12752204</v>
      </c>
      <c r="D37" s="221">
        <f ca="1">D19</f>
        <v>63761.020000000004</v>
      </c>
      <c r="E37" s="253">
        <f>'数据-取费表'!B35</f>
        <v>200</v>
      </c>
      <c r="F37" s="263"/>
      <c r="G37" s="265"/>
    </row>
    <row r="38" spans="1:7" ht="13.5" customHeight="1">
      <c r="A38" s="885" t="s">
        <v>799</v>
      </c>
      <c r="B38" s="219" t="s">
        <v>2159</v>
      </c>
      <c r="C38" s="224">
        <f ca="1">ROUND(C34*F38,0)</f>
        <v>4272960</v>
      </c>
      <c r="D38" s="224"/>
      <c r="E38" s="224"/>
      <c r="F38" s="263">
        <f>'数据-取费表'!B36</f>
        <v>1.4999999999999999E-2</v>
      </c>
      <c r="G38" s="223" t="s">
        <v>2154</v>
      </c>
    </row>
    <row r="39" spans="1:7" s="218" customFormat="1" ht="13.5" customHeight="1">
      <c r="A39" s="259" t="s">
        <v>2160</v>
      </c>
      <c r="B39" s="214" t="s">
        <v>2161</v>
      </c>
      <c r="C39" s="236">
        <f ca="1">ROUND(C33*F20,0)</f>
        <v>6835328</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16558581</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16233903</v>
      </c>
      <c r="D42" s="242"/>
      <c r="E42" s="242"/>
      <c r="F42" s="243"/>
      <c r="G42" s="3619" t="s">
        <v>2217</v>
      </c>
    </row>
    <row r="43" spans="1:7" ht="13.5" customHeight="1">
      <c r="A43" s="885" t="s">
        <v>792</v>
      </c>
      <c r="B43" s="219" t="s">
        <v>2171</v>
      </c>
      <c r="C43" s="242">
        <f ca="1">ROUND(IF('数据-取费表'!B22&lt;=1,C39*F22*'数据-取费表'!B20/2,C39*(POWER((1+F22),'数据-取费表'!B20/2)-1)),0)</f>
        <v>324678</v>
      </c>
      <c r="D43" s="242"/>
      <c r="E43" s="242"/>
      <c r="F43" s="243"/>
      <c r="G43" s="3620"/>
    </row>
    <row r="44" spans="1:7" ht="13.5" customHeight="1">
      <c r="A44" s="885" t="s">
        <v>793</v>
      </c>
      <c r="B44" s="219" t="s">
        <v>2172</v>
      </c>
      <c r="C44" s="242">
        <f>ROUND(IF('数据-取费表'!B22&lt;=1,C40*F22*'数据-取费表'!B20/2,C40*(POWER((1+F22),'数据-取费表'!B20/2)-1)),4)</f>
        <v>0</v>
      </c>
      <c r="D44" s="242"/>
      <c r="E44" s="242"/>
      <c r="F44" s="243"/>
      <c r="G44" s="3621"/>
    </row>
    <row r="45" spans="1:7" s="218" customFormat="1" ht="13.5" customHeight="1">
      <c r="A45" s="259" t="s">
        <v>2173</v>
      </c>
      <c r="B45" s="248" t="s">
        <v>2139</v>
      </c>
      <c r="C45" s="249">
        <f ca="1">C46</f>
        <v>0</v>
      </c>
      <c r="D45" s="239">
        <f ca="1">C47</f>
        <v>0</v>
      </c>
      <c r="E45" s="240" t="s">
        <v>2165</v>
      </c>
      <c r="F45" s="2501">
        <f ca="1">F27</f>
        <v>0</v>
      </c>
      <c r="G45" s="251" t="s">
        <v>2174</v>
      </c>
    </row>
    <row r="46" spans="1:7" s="218" customFormat="1" ht="13.5" customHeight="1">
      <c r="A46" s="885" t="s">
        <v>791</v>
      </c>
      <c r="B46" s="252" t="s">
        <v>2175</v>
      </c>
      <c r="C46" s="253">
        <f ca="1">ROUND((C33+C39)*F27,0)</f>
        <v>0</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365160290</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365160290</v>
      </c>
      <c r="D51" s="236"/>
      <c r="E51" s="236"/>
      <c r="F51" s="268"/>
      <c r="G51" s="238" t="s">
        <v>2186</v>
      </c>
    </row>
    <row r="52" spans="1:7" s="212" customFormat="1" ht="16.5" thickBot="1">
      <c r="A52" s="269" t="s">
        <v>2187</v>
      </c>
      <c r="B52" s="270"/>
      <c r="C52" s="271">
        <f ca="1">C31+C51</f>
        <v>377872856</v>
      </c>
      <c r="D52" s="270"/>
      <c r="E52" s="270"/>
      <c r="F52" s="270"/>
      <c r="G52" s="272"/>
    </row>
    <row r="55" spans="1:7" ht="15">
      <c r="B55" s="274" t="s">
        <v>2188</v>
      </c>
      <c r="C55" s="275"/>
    </row>
    <row r="56" spans="1:7">
      <c r="B56" s="277" t="s">
        <v>1418</v>
      </c>
      <c r="C56" s="279">
        <f ca="1">1-C57</f>
        <v>3.400000000000003E-2</v>
      </c>
    </row>
    <row r="57" spans="1:7">
      <c r="B57" s="277" t="s">
        <v>1419</v>
      </c>
      <c r="C57" s="278">
        <f ca="1">ROUND(C51/C52,3)</f>
        <v>0.96599999999999997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2220</v>
      </c>
      <c r="B1" s="1320"/>
      <c r="C1" s="1321"/>
      <c r="D1" s="1319"/>
      <c r="E1" s="3000"/>
      <c r="F1" s="3000"/>
      <c r="G1" s="2863"/>
      <c r="H1" s="3000"/>
      <c r="I1" s="3000"/>
      <c r="J1" s="3000"/>
      <c r="K1" s="3001">
        <f>MATCH(C1,'数据-取费表'!A6:A16,0)+5</f>
        <v>11</v>
      </c>
    </row>
    <row r="2" spans="1:33" ht="18" customHeight="1">
      <c r="A2" s="205" t="s">
        <v>2088</v>
      </c>
      <c r="B2" s="208" t="e">
        <f ca="1">C32</f>
        <v>#DIV/0!</v>
      </c>
      <c r="C2" s="280" t="s">
        <v>2221</v>
      </c>
      <c r="D2" s="280"/>
      <c r="E2" s="3000"/>
      <c r="F2" s="3000"/>
      <c r="G2" s="3000"/>
      <c r="H2" s="3000"/>
      <c r="I2" s="3000"/>
      <c r="J2" s="3000"/>
      <c r="K2" s="3000"/>
    </row>
    <row r="3" spans="1:33" ht="18" customHeight="1" thickBot="1">
      <c r="A3" s="207" t="s">
        <v>2090</v>
      </c>
      <c r="B3" s="208" t="e">
        <f ca="1">ROUND(B2*10000/IF(C1="",'数据-汇总表'!E3,INDIRECT("'数据-取费表'!K"&amp;$K$1)),0)</f>
        <v>#DIV/0!</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4.75">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0.1</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0.05</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63761.02</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63761.02</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925</v>
      </c>
      <c r="D18" s="952"/>
      <c r="E18" s="24"/>
      <c r="F18" s="910"/>
      <c r="G18" s="2013"/>
      <c r="H18" s="1316"/>
      <c r="I18" s="2014" t="s">
        <v>2254</v>
      </c>
      <c r="J18" s="913"/>
      <c r="K18" s="914"/>
    </row>
    <row r="19" spans="1:33" s="909" customFormat="1" ht="13.5" customHeight="1">
      <c r="A19" s="905" t="s">
        <v>805</v>
      </c>
      <c r="B19" s="906" t="s">
        <v>2255</v>
      </c>
      <c r="C19" s="24">
        <f ca="1">ROUND(D19*E19/10000,0)</f>
        <v>759</v>
      </c>
      <c r="D19" s="952">
        <f ca="1">IF(C1="",'数据-汇总表'!E5,IF(INDIRECT("'数据-取费表'!c"&amp;$K$1)="住宅",INDIRECT("'数据-取费表'!k"&amp;$K$1),0))</f>
        <v>47461.850000000006</v>
      </c>
      <c r="E19" s="24">
        <f>'数据-取费表'!B27</f>
        <v>160</v>
      </c>
      <c r="F19" s="910"/>
      <c r="G19" s="15"/>
      <c r="H19" s="1318"/>
      <c r="I19" s="915"/>
      <c r="J19" s="915"/>
      <c r="K19" s="916"/>
    </row>
    <row r="20" spans="1:33" s="909" customFormat="1" ht="13.5" customHeight="1">
      <c r="A20" s="905" t="s">
        <v>806</v>
      </c>
      <c r="B20" s="906" t="s">
        <v>2256</v>
      </c>
      <c r="C20" s="24">
        <f ca="1">ROUND(D20*E20/10000,0)</f>
        <v>326</v>
      </c>
      <c r="D20" s="952">
        <f ca="1">IF(C1="",'数据-汇总表'!E6,IF(INDIRECT("'数据-取费表'!c"&amp;$K$1)="住宅",INDIRECT("'数据-取费表'!s"&amp;$K$1),INDIRECT("'数据-取费表'!k"&amp;$K$1)+INDIRECT("'数据-取费表'!s"&amp;$K$1)))</f>
        <v>16299.169999999991</v>
      </c>
      <c r="E20" s="24">
        <f>'数据-取费表'!B28</f>
        <v>200</v>
      </c>
      <c r="F20" s="910"/>
      <c r="G20" s="15"/>
      <c r="H20" s="915"/>
      <c r="I20" s="915"/>
      <c r="J20" s="915"/>
      <c r="K20" s="916"/>
    </row>
    <row r="21" spans="1:33" s="909" customFormat="1" ht="13.5" customHeight="1">
      <c r="A21" s="895" t="s">
        <v>802</v>
      </c>
      <c r="B21" s="919" t="s">
        <v>2257</v>
      </c>
      <c r="C21" s="920">
        <f ca="1">C16+C17+C18</f>
        <v>925</v>
      </c>
      <c r="D21" s="921"/>
      <c r="E21" s="285"/>
      <c r="F21" s="285"/>
      <c r="G21" s="134" t="s">
        <v>2258</v>
      </c>
      <c r="H21" s="913"/>
      <c r="I21" s="913"/>
      <c r="J21" s="913"/>
      <c r="K21" s="914"/>
    </row>
    <row r="22" spans="1:33" s="909" customFormat="1" ht="13.5" customHeight="1">
      <c r="A22" s="895" t="s">
        <v>2230</v>
      </c>
      <c r="B22" s="919" t="s">
        <v>2259</v>
      </c>
      <c r="C22" s="920">
        <f ca="1">ROUND(C21*F22,0)</f>
        <v>19</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t="e">
        <f ca="1">C30</f>
        <v>#DIV/0!</v>
      </c>
      <c r="D28" s="284" t="e">
        <f ca="1">C29</f>
        <v>#DIV/0!</v>
      </c>
      <c r="E28" s="286" t="s">
        <v>15</v>
      </c>
      <c r="F28" s="292" t="e">
        <f ca="1">IF(C1="",'数据-取费表'!Q16,INDIRECT("'数据-取费表'!q"&amp;$K$1))</f>
        <v>#DIV/0!</v>
      </c>
      <c r="G28" s="923"/>
      <c r="H28" s="924"/>
      <c r="I28" s="924"/>
      <c r="J28" s="924"/>
      <c r="K28" s="925"/>
    </row>
    <row r="29" spans="1:33" s="295" customFormat="1" ht="13.5" customHeight="1">
      <c r="A29" s="905" t="s">
        <v>803</v>
      </c>
      <c r="B29" s="928" t="s">
        <v>2272</v>
      </c>
      <c r="C29" s="288" t="e">
        <f ca="1">ROUND((1+C24)*F28*'数据-取费表'!B24/'数据-取费表'!B20,4)</f>
        <v>#DIV/0!</v>
      </c>
      <c r="D29" s="288"/>
      <c r="E29" s="289"/>
      <c r="F29" s="294"/>
      <c r="G29" s="134" t="s">
        <v>2273</v>
      </c>
      <c r="H29" s="913"/>
      <c r="I29" s="913"/>
      <c r="J29" s="913"/>
      <c r="K29" s="914"/>
    </row>
    <row r="30" spans="1:33" s="295" customFormat="1" ht="13.5" customHeight="1">
      <c r="A30" s="905" t="s">
        <v>804</v>
      </c>
      <c r="B30" s="928" t="s">
        <v>2274</v>
      </c>
      <c r="C30" s="296" t="e">
        <f ca="1">ROUND((C21+C22+C23)*F28,0)</f>
        <v>#DIV/0!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t="e">
        <f ca="1">ROUND((C4-C21-C22-C23-C25-C28-C31)/(1+C24+D25+D28),0)</f>
        <v>#DIV/0!</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t="e">
        <f ca="1">C40+J29+L46</f>
        <v>#DIV/0!</v>
      </c>
      <c r="C2" s="1536" t="s">
        <v>1421</v>
      </c>
      <c r="D2" s="1536"/>
      <c r="E2" s="1537"/>
      <c r="F2" s="1538"/>
      <c r="G2" s="2898"/>
      <c r="H2" s="2887"/>
      <c r="I2" s="2887"/>
      <c r="J2" s="2887"/>
      <c r="K2" s="2888"/>
      <c r="L2" s="2887"/>
      <c r="M2" s="2887"/>
    </row>
    <row r="3" spans="1:37" ht="18" customHeight="1" thickBot="1">
      <c r="A3" s="1539" t="s">
        <v>1422</v>
      </c>
      <c r="B3" s="1540">
        <f ca="1">IF(ISERROR(B2*10000/F43),0,ROUND(B2*10000/F43,0))</f>
        <v>0</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0</v>
      </c>
      <c r="D5" s="1513" t="s">
        <v>1307</v>
      </c>
      <c r="E5" s="1199"/>
      <c r="F5" s="1200"/>
      <c r="G5" s="1533"/>
      <c r="H5" s="303">
        <v>1</v>
      </c>
      <c r="I5" s="304" t="s">
        <v>1306</v>
      </c>
      <c r="J5" s="1198">
        <f ca="1">J6+J10+J12</f>
        <v>0</v>
      </c>
      <c r="K5" s="1513" t="s">
        <v>1307</v>
      </c>
      <c r="L5" s="1199"/>
      <c r="M5" s="1200"/>
    </row>
    <row r="6" spans="1:37" ht="18" customHeight="1">
      <c r="A6" s="1197" t="s">
        <v>1003</v>
      </c>
      <c r="B6" s="3624" t="s">
        <v>1308</v>
      </c>
      <c r="C6" s="1202">
        <f ca="1">ROUND(F6*F8*F7*(1-F9)/10000,0)</f>
        <v>0</v>
      </c>
      <c r="D6" s="158" t="s">
        <v>2788</v>
      </c>
      <c r="E6" s="306" t="s">
        <v>1310</v>
      </c>
      <c r="F6" s="307">
        <f ca="1">INDIRECT("'数据-取费表'!u"&amp;$G$1)</f>
        <v>0</v>
      </c>
      <c r="G6" s="1533"/>
      <c r="H6" s="1197" t="s">
        <v>1003</v>
      </c>
      <c r="I6" s="3624" t="s">
        <v>1308</v>
      </c>
      <c r="J6" s="305">
        <f ca="1">ROUND(M6*M8*M7*(1-M9)/10000,0)</f>
        <v>0</v>
      </c>
      <c r="K6" s="158" t="s">
        <v>2787</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2796</v>
      </c>
      <c r="E10" s="317" t="s">
        <v>1315</v>
      </c>
      <c r="F10" s="1243"/>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INDIRECT("'数据-取费表'!m"&amp;$G$1)+INDIRECT("'数据-取费表'!t"&amp;$G$1)</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ROUND(F17*(F43+INDIRECT("'数据-取费表'!S"&amp;$G$1))/10000,0)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IF(K19="按租金收入计税",ROUND(J6*M19/(1+'数据-取费表'!C42),2),ROUND(C29*M19*0.7,2))</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ROUND(M20*M21/10000,2)</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ROUND(C29*F36,1)</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ROUND(C13*F37,1)</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ROUND(C40*10000/F43,0)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5" thickBot="1">
      <c r="A46" s="1553" t="s">
        <v>1425</v>
      </c>
      <c r="C46" s="1554" t="e">
        <f ca="1">C68-C40</f>
        <v>#DIV/0!</v>
      </c>
      <c r="D46" s="1555" t="str">
        <f>C2</f>
        <v>万元</v>
      </c>
      <c r="E46" s="1549"/>
      <c r="F46" s="1549"/>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244"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ROUND(F49*F51*F50*(1-F52)/10000,0)</f>
        <v>0</v>
      </c>
      <c r="D49" s="1182" t="s">
        <v>2789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245"/>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24.75"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282"/>
      <c r="B54" s="1516" t="s">
        <v>1293</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t="s">
        <v>1458</v>
      </c>
      <c r="O55" s="1560" t="s">
        <v>1427</v>
      </c>
      <c r="P55" s="1561" t="s">
        <v>1428</v>
      </c>
      <c r="Q55" s="1562" t="s">
        <v>1429</v>
      </c>
      <c r="R55" s="1562" t="s">
        <v>1430</v>
      </c>
    </row>
    <row r="56" spans="1:18" s="1533" customFormat="1" ht="25.5" thickTop="1" thickBot="1">
      <c r="A56" s="1085">
        <v>2</v>
      </c>
      <c r="B56" s="1086" t="s">
        <v>1319</v>
      </c>
      <c r="C56" s="236">
        <f ca="1">C13</f>
        <v>0</v>
      </c>
      <c r="D56" s="1596"/>
      <c r="E56" s="1597"/>
      <c r="F56" s="1589"/>
      <c r="I56" s="1598" t="s">
        <v>1459</v>
      </c>
      <c r="J56" s="1599"/>
      <c r="K56" s="1570" t="s">
        <v>1460</v>
      </c>
      <c r="L56" s="1573">
        <f ca="1">IF(L48&lt;J51,"——",L48-J53)</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1462</v>
      </c>
      <c r="L57" s="1573">
        <f ca="1">IF(L48&lt;J51,"——",IF(L55="比较法",L49,IF(L55="基准地价",L50,L51)))</f>
        <v>0</v>
      </c>
      <c r="O57" s="1567" t="s">
        <v>1009</v>
      </c>
      <c r="P57" s="1568" t="s">
        <v>1463</v>
      </c>
      <c r="Q57" s="1569" t="e">
        <f ca="1">L60</f>
        <v>#DIV/0!</v>
      </c>
      <c r="R57" s="1569" t="s">
        <v>1464</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IF(项目基本情况!B11="自然人","——",IF(D61="按租金收入计税",ROUND(C49*F61/(1+'数据-取费表'!C42),2),IF(D61="按房产原值计税",ROUND(C57*F61*0.7,2),INDIRECT("'数据-取费表'!Aj"&amp;$G$1))))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IF(项目基本情况!B11="自然人","——",ROUND(F62*F63/10000,2))</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ROUND(C57*F64,1)</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ROUND(C56*F65,1)</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ROUND(C48*F66,1)</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c r="O70" s="1577" t="s">
        <v>1017</v>
      </c>
      <c r="P70" s="1616" t="s">
        <v>1490</v>
      </c>
      <c r="Q70" s="1569">
        <f ca="1">C13</f>
        <v>0</v>
      </c>
      <c r="R70" s="1569" t="s">
        <v>1434</v>
      </c>
    </row>
    <row r="71" spans="1:18" s="1533" customFormat="1" ht="13.5" thickBot="1">
      <c r="A71" s="1099" t="s">
        <v>1001</v>
      </c>
      <c r="B71" s="1100" t="s">
        <v>1392</v>
      </c>
      <c r="C71" s="340" t="e">
        <f ca="1">ROUND(C68*10000/F71,0)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624" t="s">
        <v>1308</v>
      </c>
      <c r="C6" s="1202">
        <f ca="1">ROUND(F6*F8*F7*(1-F9),0)</f>
        <v>0</v>
      </c>
      <c r="D6" s="158" t="s">
        <v>2785</v>
      </c>
      <c r="E6" s="306" t="s">
        <v>1310</v>
      </c>
      <c r="F6" s="307">
        <f ca="1">INDIRECT("'数据-取费表'!u"&amp;$G$1)</f>
        <v>0</v>
      </c>
      <c r="G6" s="1533"/>
      <c r="H6" s="1197" t="s">
        <v>1003</v>
      </c>
      <c r="I6" s="3624" t="s">
        <v>1308</v>
      </c>
      <c r="J6" s="305">
        <f ca="1">ROUND(M6*M8*M7*(1-M9),0)</f>
        <v>0</v>
      </c>
      <c r="K6" s="1525" t="s">
        <v>2786</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IF(项目基本情况!B11="自然人","——",ROUND(F62*F63,0))</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f ca="1">F42</f>
        <v>0</v>
      </c>
      <c r="O70" s="1577" t="s">
        <v>1017</v>
      </c>
      <c r="P70" s="1616" t="s">
        <v>1490</v>
      </c>
      <c r="Q70" s="1569">
        <f ca="1">C13</f>
        <v>0</v>
      </c>
      <c r="R70" s="1569" t="s">
        <v>1434</v>
      </c>
    </row>
    <row r="71" spans="1:18" s="1533" customFormat="1" ht="13.5"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4" t="s">
        <v>3004</v>
      </c>
      <c r="B2" s="3037" t="e">
        <f>C40</f>
        <v>#DIV/0!</v>
      </c>
      <c r="C2" s="3038" t="s">
        <v>3005</v>
      </c>
      <c r="D2" s="3038"/>
      <c r="E2" s="3039"/>
      <c r="F2" s="3040"/>
      <c r="G2" s="3041"/>
      <c r="H2" s="3042"/>
      <c r="I2" s="3043"/>
      <c r="J2" s="3633" t="s">
        <v>3006</v>
      </c>
      <c r="K2" s="3634"/>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3015</v>
      </c>
      <c r="D3" s="3038"/>
      <c r="E3" s="3039"/>
      <c r="F3" s="3040"/>
      <c r="G3" s="3041"/>
      <c r="H3" s="3042"/>
      <c r="I3" s="3043"/>
      <c r="J3" s="3635" t="s">
        <v>3016</v>
      </c>
      <c r="K3" s="3636"/>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635" t="s">
        <v>3018</v>
      </c>
      <c r="K4" s="3636"/>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41" t="s">
        <v>3022</v>
      </c>
      <c r="B6" s="3642"/>
      <c r="C6" s="3643"/>
      <c r="D6" s="3064"/>
      <c r="E6" s="3065"/>
      <c r="F6" s="3066"/>
      <c r="G6" s="3067"/>
      <c r="H6" s="3042"/>
      <c r="I6" s="3043"/>
      <c r="J6" s="3627">
        <v>1</v>
      </c>
      <c r="K6" s="3628"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627"/>
      <c r="K7" s="3629"/>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44" t="s">
        <v>3036</v>
      </c>
      <c r="C8" s="3645"/>
      <c r="D8" s="3083" t="s">
        <v>3037</v>
      </c>
      <c r="E8" s="3084" t="s">
        <v>3038</v>
      </c>
      <c r="F8" s="3085" t="s">
        <v>3039</v>
      </c>
      <c r="G8" s="3086"/>
      <c r="H8" s="3042"/>
      <c r="I8" s="3043"/>
      <c r="J8" s="3627"/>
      <c r="K8" s="3629"/>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44" t="s">
        <v>3042</v>
      </c>
      <c r="C9" s="3645"/>
      <c r="D9" s="3083">
        <f>ROUND(D6*E9,0)</f>
        <v>0</v>
      </c>
      <c r="E9" s="3087"/>
      <c r="F9" s="3088" t="s">
        <v>3043</v>
      </c>
      <c r="G9" s="3067"/>
      <c r="H9" s="3042"/>
      <c r="I9" s="3043"/>
      <c r="J9" s="3627"/>
      <c r="K9" s="3629"/>
      <c r="L9" s="3077" t="s">
        <v>3044</v>
      </c>
      <c r="M9" s="3078"/>
      <c r="N9" s="3054"/>
      <c r="O9" s="3079"/>
      <c r="P9" s="3079"/>
      <c r="Q9" s="3080">
        <v>365</v>
      </c>
      <c r="R9" s="3081">
        <f t="shared" si="0"/>
        <v>0</v>
      </c>
      <c r="S9" s="3035"/>
      <c r="T9" s="3035"/>
      <c r="U9" s="3035"/>
      <c r="V9" s="3043"/>
    </row>
    <row r="10" spans="1:22" s="3047" customFormat="1" ht="13.15" customHeight="1">
      <c r="A10" s="3082">
        <v>2</v>
      </c>
      <c r="B10" s="3644" t="s">
        <v>3045</v>
      </c>
      <c r="C10" s="3645"/>
      <c r="D10" s="3083">
        <f>ROUND(D6*E10,0)</f>
        <v>0</v>
      </c>
      <c r="E10" s="3087"/>
      <c r="F10" s="3088" t="s">
        <v>3046</v>
      </c>
      <c r="G10" s="3067"/>
      <c r="H10" s="3042"/>
      <c r="I10" s="3043"/>
      <c r="J10" s="3627"/>
      <c r="K10" s="3629"/>
      <c r="L10" s="3077" t="s">
        <v>3047</v>
      </c>
      <c r="M10" s="3078"/>
      <c r="N10" s="3054"/>
      <c r="O10" s="3079"/>
      <c r="P10" s="3079"/>
      <c r="Q10" s="3080">
        <v>365</v>
      </c>
      <c r="R10" s="3081">
        <f t="shared" si="0"/>
        <v>0</v>
      </c>
      <c r="S10" s="3035"/>
      <c r="T10" s="3035"/>
      <c r="U10" s="3035"/>
      <c r="V10" s="3043"/>
    </row>
    <row r="11" spans="1:22" s="3047" customFormat="1" ht="13.15" customHeight="1">
      <c r="A11" s="3082">
        <v>3</v>
      </c>
      <c r="B11" s="3644" t="s">
        <v>3048</v>
      </c>
      <c r="C11" s="3645"/>
      <c r="D11" s="3083">
        <f>D12+D14+D15+D16</f>
        <v>0</v>
      </c>
      <c r="E11" s="3089" t="e">
        <f>D11/D6</f>
        <v>#DIV/0!</v>
      </c>
      <c r="F11" s="3085"/>
      <c r="G11" s="3086"/>
      <c r="H11" s="3042"/>
      <c r="I11" s="3043"/>
      <c r="J11" s="3627"/>
      <c r="K11" s="3629"/>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37" t="s">
        <v>3051</v>
      </c>
      <c r="C12" s="3638"/>
      <c r="D12" s="3091">
        <f>ROUND(D13*1.2%*(1-30%),0)</f>
        <v>0</v>
      </c>
      <c r="E12" s="3092">
        <v>1.2E-2</v>
      </c>
      <c r="F12" s="3085" t="s">
        <v>3052</v>
      </c>
      <c r="G12" s="3086"/>
      <c r="H12" s="3042"/>
      <c r="I12" s="3043"/>
      <c r="J12" s="3627"/>
      <c r="K12" s="3629"/>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c r="E13" s="3096"/>
      <c r="F13" s="3085"/>
      <c r="G13" s="3086"/>
      <c r="H13" s="3042"/>
      <c r="I13" s="3043"/>
      <c r="J13" s="3627"/>
      <c r="K13" s="3629"/>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37" t="s">
        <v>3057</v>
      </c>
      <c r="C14" s="3638"/>
      <c r="D14" s="3091">
        <f>ROUND(E14*B5/10000,0)</f>
        <v>0</v>
      </c>
      <c r="E14" s="3080"/>
      <c r="F14" s="3085" t="s">
        <v>3058</v>
      </c>
      <c r="G14" s="3086"/>
      <c r="H14" s="3042"/>
      <c r="I14" s="3043"/>
      <c r="J14" s="3627"/>
      <c r="K14" s="3630"/>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637" t="s">
        <v>3061</v>
      </c>
      <c r="C15" s="3638"/>
      <c r="D15" s="3091">
        <f>ROUND(D6*E15,0)</f>
        <v>0</v>
      </c>
      <c r="E15" s="3092">
        <v>5.5E-2</v>
      </c>
      <c r="F15" s="3085" t="s">
        <v>3062</v>
      </c>
      <c r="G15" s="3067"/>
      <c r="H15" s="3042"/>
      <c r="I15" s="3043"/>
      <c r="J15" s="3627">
        <v>2</v>
      </c>
      <c r="K15" s="3628"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637" t="s">
        <v>3070</v>
      </c>
      <c r="C16" s="3638"/>
      <c r="D16" s="3102">
        <f>D6*E16</f>
        <v>0</v>
      </c>
      <c r="E16" s="3103"/>
      <c r="F16" s="3088" t="s">
        <v>3071</v>
      </c>
      <c r="G16" s="3067"/>
      <c r="H16" s="3042"/>
      <c r="I16" s="3043"/>
      <c r="J16" s="3627"/>
      <c r="K16" s="3629"/>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39" t="s">
        <v>3073</v>
      </c>
      <c r="C17" s="3640"/>
      <c r="D17" s="3105">
        <f>ROUND(D6*E17,0)</f>
        <v>0</v>
      </c>
      <c r="E17" s="3106"/>
      <c r="F17" s="3107" t="s">
        <v>3074</v>
      </c>
      <c r="G17" s="3067"/>
      <c r="H17" s="3042"/>
      <c r="I17" s="3043"/>
      <c r="J17" s="3627"/>
      <c r="K17" s="3629"/>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627"/>
      <c r="K18" s="3629"/>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27"/>
      <c r="K19" s="3630"/>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627">
        <v>3</v>
      </c>
      <c r="K20" s="3628"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627"/>
      <c r="K21" s="3629"/>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27"/>
      <c r="K22" s="3629"/>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627"/>
      <c r="K23" s="3629"/>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627"/>
      <c r="K24" s="3630"/>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631">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632"/>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633" t="s">
        <v>3006</v>
      </c>
      <c r="K32" s="3634"/>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635" t="s">
        <v>3016</v>
      </c>
      <c r="K33" s="3636"/>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635" t="s">
        <v>3018</v>
      </c>
      <c r="K34" s="3636"/>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627">
        <v>1</v>
      </c>
      <c r="K36" s="3628"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27"/>
      <c r="K37" s="3629"/>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627"/>
      <c r="K38" s="3629"/>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627"/>
      <c r="K39" s="3629"/>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627"/>
      <c r="K40" s="3630"/>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31">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32"/>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899"/>
      <c r="G1" s="1639"/>
      <c r="H1" s="1639"/>
      <c r="I1" s="1639"/>
      <c r="J1" s="1639"/>
      <c r="K1" s="1639"/>
      <c r="L1" s="1639"/>
      <c r="M1" s="1639"/>
      <c r="N1" s="1639"/>
      <c r="O1" s="1639"/>
      <c r="P1" s="1639"/>
      <c r="Q1" s="1639"/>
      <c r="R1" s="1639"/>
      <c r="S1" s="1639"/>
    </row>
    <row r="2" spans="1:22" ht="15.75">
      <c r="A2" s="2021" t="s">
        <v>2088</v>
      </c>
      <c r="B2" s="2022">
        <f ca="1">SUMIF(B6:B13,"&lt;&gt;#ref!",B6:B13)</f>
        <v>0</v>
      </c>
      <c r="C2" s="2023" t="s">
        <v>2280</v>
      </c>
      <c r="D2" s="2024" t="s">
        <v>2281</v>
      </c>
      <c r="E2" s="2796">
        <f>SUM(E6:E13)</f>
        <v>0</v>
      </c>
      <c r="F2" s="2899"/>
      <c r="G2" s="1639"/>
      <c r="H2" s="1639"/>
      <c r="I2" s="1639"/>
      <c r="J2" s="1639"/>
      <c r="K2" s="1639"/>
      <c r="L2" s="1639"/>
      <c r="M2" s="1639"/>
      <c r="N2" s="1639"/>
      <c r="O2" s="1639"/>
      <c r="P2" s="1639"/>
      <c r="Q2" s="1639"/>
      <c r="R2" s="1639"/>
      <c r="S2" s="1639"/>
    </row>
    <row r="3" spans="1:22" ht="15.75">
      <c r="A3" s="2021" t="s">
        <v>1300</v>
      </c>
      <c r="B3" s="2790" t="e">
        <f ca="1">ROUND(B2*10000/E2,0)</f>
        <v>#DIV/0!</v>
      </c>
      <c r="C3" s="2023" t="s">
        <v>2288</v>
      </c>
      <c r="D3" s="2901"/>
      <c r="E3" s="2903"/>
      <c r="F3" s="2899"/>
      <c r="G3" s="1639"/>
      <c r="H3" s="1639"/>
      <c r="I3" s="1639"/>
      <c r="J3" s="1639"/>
      <c r="K3" s="1639"/>
      <c r="L3" s="1639"/>
      <c r="M3" s="1639"/>
      <c r="N3" s="1639"/>
      <c r="O3" s="1639"/>
      <c r="P3" s="1639"/>
      <c r="Q3" s="1639"/>
      <c r="R3" s="1639"/>
      <c r="S3" s="1639"/>
    </row>
    <row r="4" spans="1:22" ht="15.75">
      <c r="A4" s="2904"/>
      <c r="B4" s="2901"/>
      <c r="C4" s="2901"/>
      <c r="D4" s="2901"/>
      <c r="E4" s="2903"/>
      <c r="F4" s="2899"/>
      <c r="G4" s="1639"/>
      <c r="H4" s="1639"/>
      <c r="I4" s="1639"/>
      <c r="J4" s="1639"/>
      <c r="K4" s="1639"/>
      <c r="L4" s="1639"/>
      <c r="M4" s="1639"/>
      <c r="N4" s="1639"/>
      <c r="O4" s="1639"/>
      <c r="P4" s="1639"/>
      <c r="Q4" s="1639"/>
      <c r="R4" s="1639"/>
      <c r="S4" s="1639"/>
    </row>
    <row r="5" spans="1:22" ht="15">
      <c r="A5" s="2792" t="s">
        <v>2282</v>
      </c>
      <c r="B5" s="3646" t="s">
        <v>2283</v>
      </c>
      <c r="C5" s="3647"/>
      <c r="D5" s="2900"/>
      <c r="E5" s="2025" t="s">
        <v>2284</v>
      </c>
      <c r="F5" s="2026" t="s">
        <v>2285</v>
      </c>
      <c r="G5" s="1639"/>
      <c r="H5" s="1639"/>
      <c r="I5" s="1639"/>
      <c r="J5" s="1639"/>
      <c r="K5" s="1639"/>
      <c r="L5" s="1639"/>
      <c r="M5" s="1639"/>
      <c r="N5" s="1639"/>
      <c r="O5" s="1639"/>
      <c r="P5" s="1639"/>
      <c r="Q5" s="1639"/>
      <c r="R5" s="1639"/>
      <c r="S5" s="1639"/>
    </row>
    <row r="6" spans="1:22">
      <c r="A6" s="2793">
        <f>'数据-取费表'!AN6</f>
        <v>0</v>
      </c>
      <c r="B6" s="2791" t="e">
        <f ca="1">IF(F6="是",'数据-取费表'!AO6,0)</f>
        <v>#REF!</v>
      </c>
      <c r="C6" s="2023" t="s">
        <v>2280</v>
      </c>
      <c r="D6" s="2901"/>
      <c r="E6" s="2795">
        <f>IF(OR(A6=0,F6="否"),0,'数据-取费表'!K6+'数据-取费表'!S6)</f>
        <v>0</v>
      </c>
      <c r="F6" s="2027" t="s">
        <v>2286</v>
      </c>
      <c r="G6" s="1639"/>
      <c r="H6" s="1639"/>
      <c r="I6" s="1639"/>
      <c r="J6" s="1639"/>
      <c r="K6" s="1639"/>
      <c r="L6" s="1639"/>
      <c r="M6" s="1639"/>
      <c r="N6" s="1639"/>
      <c r="O6" s="1639"/>
      <c r="P6" s="1639"/>
      <c r="Q6" s="1639"/>
      <c r="R6" s="1639"/>
      <c r="S6" s="1639"/>
    </row>
    <row r="7" spans="1:22">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63761.02</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5">
      <c r="A4" s="359" t="s">
        <v>2296</v>
      </c>
      <c r="B4" s="360"/>
      <c r="C4" s="3667" t="s">
        <v>2297</v>
      </c>
      <c r="D4" s="3668"/>
      <c r="E4" s="3669" t="s">
        <v>2298</v>
      </c>
      <c r="F4" s="3670"/>
      <c r="G4" s="3667" t="s">
        <v>2299</v>
      </c>
      <c r="H4" s="3668"/>
      <c r="I4" s="3667" t="s">
        <v>2300</v>
      </c>
      <c r="J4" s="3668"/>
      <c r="K4" s="2040" t="s">
        <v>2301</v>
      </c>
      <c r="L4" s="2907"/>
      <c r="M4" s="2908"/>
      <c r="N4" s="2908"/>
      <c r="O4" s="2908"/>
      <c r="P4" s="3671" t="s">
        <v>2302</v>
      </c>
      <c r="Q4" s="3672"/>
      <c r="R4" s="3677" t="s">
        <v>2298</v>
      </c>
      <c r="S4" s="3678"/>
      <c r="T4" s="3677" t="s">
        <v>2299</v>
      </c>
      <c r="U4" s="3678"/>
      <c r="V4" s="3683" t="s">
        <v>2300</v>
      </c>
      <c r="W4" s="3683"/>
      <c r="X4" s="1504"/>
      <c r="Y4" s="3677" t="s">
        <v>2302</v>
      </c>
      <c r="Z4" s="3678"/>
      <c r="AA4" s="3664" t="s">
        <v>2298</v>
      </c>
      <c r="AB4" s="3664" t="s">
        <v>2299</v>
      </c>
      <c r="AC4" s="3664" t="s">
        <v>2300</v>
      </c>
    </row>
    <row r="5" spans="1:29" ht="15">
      <c r="A5" s="362"/>
      <c r="B5" s="363"/>
      <c r="C5" s="3686" t="s">
        <v>2303</v>
      </c>
      <c r="D5" s="3687"/>
      <c r="E5" s="3693" t="s">
        <v>2304</v>
      </c>
      <c r="F5" s="3694"/>
      <c r="G5" s="3686" t="s">
        <v>2305</v>
      </c>
      <c r="H5" s="3687"/>
      <c r="I5" s="3686" t="s">
        <v>2306</v>
      </c>
      <c r="J5" s="3687"/>
      <c r="K5" s="2041"/>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2041"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688" t="s">
        <v>2310</v>
      </c>
      <c r="Q7" s="3690"/>
      <c r="R7" s="707" t="s">
        <v>23</v>
      </c>
      <c r="S7" s="708">
        <f t="shared" ref="S7:S15" si="0">F7</f>
        <v>0</v>
      </c>
      <c r="T7" s="707" t="s">
        <v>23</v>
      </c>
      <c r="U7" s="708">
        <f t="shared" ref="U7:U15" si="1">H7</f>
        <v>0</v>
      </c>
      <c r="V7" s="707" t="s">
        <v>23</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688" t="s">
        <v>2313</v>
      </c>
      <c r="Q8" s="3689"/>
      <c r="R8" s="707" t="s">
        <v>23</v>
      </c>
      <c r="S8" s="708">
        <f t="shared" si="0"/>
        <v>0</v>
      </c>
      <c r="T8" s="707" t="s">
        <v>23</v>
      </c>
      <c r="U8" s="708">
        <f t="shared" si="1"/>
        <v>0</v>
      </c>
      <c r="V8" s="707" t="s">
        <v>23</v>
      </c>
      <c r="W8" s="708">
        <f t="shared" si="2"/>
        <v>0</v>
      </c>
      <c r="X8" s="709"/>
      <c r="Y8" s="3688" t="s">
        <v>2313</v>
      </c>
      <c r="Z8" s="3689"/>
      <c r="AA8" s="710" t="e">
        <f t="shared" ref="AA8:AA19" si="3">D8/F8</f>
        <v>#DIV/0!</v>
      </c>
      <c r="AB8" s="710" t="e">
        <f t="shared" ref="AB8:AB19" si="4">D8/H8</f>
        <v>#DIV/0!</v>
      </c>
      <c r="AC8" s="710" t="e">
        <f t="shared" ref="AC8:AC19" si="5">D8/J8</f>
        <v>#DIV/0!</v>
      </c>
    </row>
    <row r="9" spans="1:29" s="111"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662"/>
      <c r="Q11" s="1492" t="str">
        <f t="shared" si="6"/>
        <v>容积率</v>
      </c>
      <c r="R11" s="707" t="s">
        <v>21</v>
      </c>
      <c r="S11" s="708" t="e">
        <f t="shared" si="0"/>
        <v>#N/A</v>
      </c>
      <c r="T11" s="707" t="s">
        <v>21</v>
      </c>
      <c r="U11" s="708" t="e">
        <f t="shared" si="1"/>
        <v>#N/A</v>
      </c>
      <c r="V11" s="707" t="s">
        <v>21</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662"/>
      <c r="Q12" s="1492">
        <f t="shared" si="6"/>
        <v>111</v>
      </c>
      <c r="R12" s="707" t="s">
        <v>21</v>
      </c>
      <c r="S12" s="708">
        <f t="shared" si="0"/>
        <v>100</v>
      </c>
      <c r="T12" s="707" t="s">
        <v>21</v>
      </c>
      <c r="U12" s="708">
        <f t="shared" si="1"/>
        <v>100</v>
      </c>
      <c r="V12" s="707" t="s">
        <v>21</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662"/>
      <c r="Q13" s="1492">
        <f t="shared" si="6"/>
        <v>111</v>
      </c>
      <c r="R13" s="707" t="s">
        <v>21</v>
      </c>
      <c r="S13" s="708">
        <f t="shared" si="0"/>
        <v>100</v>
      </c>
      <c r="T13" s="707" t="s">
        <v>21</v>
      </c>
      <c r="U13" s="708">
        <f t="shared" si="1"/>
        <v>100</v>
      </c>
      <c r="V13" s="707" t="s">
        <v>21</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662"/>
      <c r="Q14" s="1492">
        <f t="shared" si="6"/>
        <v>111</v>
      </c>
      <c r="R14" s="707" t="s">
        <v>21</v>
      </c>
      <c r="S14" s="708">
        <f t="shared" si="0"/>
        <v>100</v>
      </c>
      <c r="T14" s="707" t="s">
        <v>21</v>
      </c>
      <c r="U14" s="708">
        <f t="shared" si="1"/>
        <v>100</v>
      </c>
      <c r="V14" s="707" t="s">
        <v>21</v>
      </c>
      <c r="W14" s="708">
        <f t="shared" si="2"/>
        <v>100</v>
      </c>
      <c r="X14" s="709"/>
      <c r="Y14" s="3663"/>
      <c r="Z14" s="55">
        <f t="shared" si="7"/>
        <v>111</v>
      </c>
      <c r="AA14" s="710">
        <f t="shared" si="3"/>
        <v>1</v>
      </c>
      <c r="AB14" s="710">
        <f t="shared" si="4"/>
        <v>1</v>
      </c>
      <c r="AC14" s="710">
        <f t="shared" si="5"/>
        <v>1</v>
      </c>
    </row>
    <row r="15" spans="1:29" ht="99.75">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660" t="s">
        <v>2321</v>
      </c>
      <c r="Q15" s="1501" t="str">
        <f t="shared" si="6"/>
        <v>居住社区成熟度</v>
      </c>
      <c r="R15" s="711" t="s">
        <v>21</v>
      </c>
      <c r="S15" s="712">
        <f t="shared" si="0"/>
        <v>100</v>
      </c>
      <c r="T15" s="711" t="s">
        <v>21</v>
      </c>
      <c r="U15" s="712">
        <f t="shared" si="1"/>
        <v>100</v>
      </c>
      <c r="V15" s="711" t="s">
        <v>21</v>
      </c>
      <c r="W15" s="712">
        <f t="shared" si="2"/>
        <v>100</v>
      </c>
      <c r="X15" s="1504"/>
      <c r="Y15" s="3653"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661"/>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661"/>
      <c r="Q17" s="1501" t="str">
        <f>B17</f>
        <v>交通便捷度</v>
      </c>
      <c r="R17" s="711" t="s">
        <v>21</v>
      </c>
      <c r="S17" s="712">
        <f>F17</f>
        <v>100</v>
      </c>
      <c r="T17" s="711" t="s">
        <v>21</v>
      </c>
      <c r="U17" s="712">
        <f>H17</f>
        <v>100</v>
      </c>
      <c r="V17" s="711" t="s">
        <v>21</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661"/>
      <c r="Q18" s="1501"/>
      <c r="R18" s="711"/>
      <c r="S18" s="712"/>
      <c r="T18" s="711"/>
      <c r="U18" s="712"/>
      <c r="V18" s="711"/>
      <c r="W18" s="712"/>
      <c r="X18" s="1504"/>
      <c r="Y18" s="3654"/>
      <c r="Z18" s="1505"/>
      <c r="AA18" s="1502">
        <v>1</v>
      </c>
      <c r="AB18" s="1502">
        <v>1</v>
      </c>
      <c r="AC18" s="1502">
        <v>1</v>
      </c>
    </row>
    <row r="19" spans="1:29" ht="42.75">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661"/>
      <c r="Q19" s="1501" t="str">
        <f>B19</f>
        <v>公共配套设施</v>
      </c>
      <c r="R19" s="711" t="s">
        <v>21</v>
      </c>
      <c r="S19" s="712">
        <f>F19</f>
        <v>100</v>
      </c>
      <c r="T19" s="711" t="s">
        <v>21</v>
      </c>
      <c r="U19" s="712">
        <f>H19</f>
        <v>100</v>
      </c>
      <c r="V19" s="711" t="s">
        <v>21</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661"/>
      <c r="Q20" s="1501"/>
      <c r="R20" s="711"/>
      <c r="S20" s="712"/>
      <c r="T20" s="711"/>
      <c r="U20" s="712"/>
      <c r="V20" s="711"/>
      <c r="W20" s="712"/>
      <c r="X20" s="1504"/>
      <c r="Y20" s="3654"/>
      <c r="Z20" s="1505"/>
      <c r="AA20" s="1502">
        <v>1</v>
      </c>
      <c r="AB20" s="1502">
        <v>1</v>
      </c>
      <c r="AC20" s="1502">
        <v>1</v>
      </c>
    </row>
    <row r="21" spans="1:29" ht="28.5">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661"/>
      <c r="Q22" s="1501"/>
      <c r="R22" s="711"/>
      <c r="S22" s="712"/>
      <c r="T22" s="711"/>
      <c r="U22" s="712"/>
      <c r="V22" s="711"/>
      <c r="W22" s="712"/>
      <c r="X22" s="1504"/>
      <c r="Y22" s="3654"/>
      <c r="Z22" s="1505"/>
      <c r="AA22" s="1502">
        <v>1</v>
      </c>
      <c r="AB22" s="1502">
        <v>1</v>
      </c>
      <c r="AC22" s="1502">
        <v>1</v>
      </c>
    </row>
    <row r="23" spans="1:29" ht="57">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661"/>
      <c r="Q23" s="1501" t="str">
        <f>B23</f>
        <v>自然及人文环境</v>
      </c>
      <c r="R23" s="711" t="s">
        <v>21</v>
      </c>
      <c r="S23" s="712">
        <f>F23</f>
        <v>100</v>
      </c>
      <c r="T23" s="711" t="s">
        <v>21</v>
      </c>
      <c r="U23" s="712">
        <f>H23</f>
        <v>100</v>
      </c>
      <c r="V23" s="711" t="s">
        <v>21</v>
      </c>
      <c r="W23" s="712">
        <f>J23</f>
        <v>100</v>
      </c>
      <c r="X23" s="1504"/>
      <c r="Y23" s="3654"/>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661"/>
      <c r="Q24" s="1501"/>
      <c r="R24" s="711"/>
      <c r="S24" s="712"/>
      <c r="T24" s="711"/>
      <c r="U24" s="712"/>
      <c r="V24" s="711"/>
      <c r="W24" s="712"/>
      <c r="X24" s="1504"/>
      <c r="Y24" s="3654"/>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661"/>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654"/>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661"/>
      <c r="Q26" s="1501" t="str">
        <f t="shared" si="11"/>
        <v>朝向</v>
      </c>
      <c r="R26" s="711" t="s">
        <v>21</v>
      </c>
      <c r="S26" s="712">
        <f t="shared" si="12"/>
        <v>100</v>
      </c>
      <c r="T26" s="711" t="s">
        <v>21</v>
      </c>
      <c r="U26" s="712">
        <f t="shared" si="13"/>
        <v>100</v>
      </c>
      <c r="V26" s="711" t="s">
        <v>21</v>
      </c>
      <c r="W26" s="712">
        <f t="shared" si="14"/>
        <v>100</v>
      </c>
      <c r="X26" s="1504"/>
      <c r="Y26" s="3654"/>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661"/>
      <c r="Q27" s="1492">
        <f t="shared" si="11"/>
        <v>111</v>
      </c>
      <c r="R27" s="707" t="s">
        <v>21</v>
      </c>
      <c r="S27" s="708">
        <f t="shared" si="12"/>
        <v>100</v>
      </c>
      <c r="T27" s="707" t="s">
        <v>21</v>
      </c>
      <c r="U27" s="708">
        <f t="shared" si="13"/>
        <v>100</v>
      </c>
      <c r="V27" s="707" t="s">
        <v>21</v>
      </c>
      <c r="W27" s="708">
        <f t="shared" si="14"/>
        <v>100</v>
      </c>
      <c r="X27" s="709"/>
      <c r="Y27" s="3654"/>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661"/>
      <c r="Q28" s="1501">
        <f t="shared" si="11"/>
        <v>111</v>
      </c>
      <c r="R28" s="711" t="s">
        <v>21</v>
      </c>
      <c r="S28" s="712">
        <f t="shared" si="12"/>
        <v>100</v>
      </c>
      <c r="T28" s="711" t="s">
        <v>21</v>
      </c>
      <c r="U28" s="712">
        <f t="shared" si="13"/>
        <v>100</v>
      </c>
      <c r="V28" s="711" t="s">
        <v>21</v>
      </c>
      <c r="W28" s="712">
        <f t="shared" si="14"/>
        <v>100</v>
      </c>
      <c r="X28" s="1504"/>
      <c r="Y28" s="3654"/>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661"/>
      <c r="Q29" s="1501">
        <f t="shared" si="11"/>
        <v>111</v>
      </c>
      <c r="R29" s="711" t="s">
        <v>21</v>
      </c>
      <c r="S29" s="712">
        <f t="shared" si="12"/>
        <v>100</v>
      </c>
      <c r="T29" s="711" t="s">
        <v>21</v>
      </c>
      <c r="U29" s="712">
        <f t="shared" si="13"/>
        <v>100</v>
      </c>
      <c r="V29" s="711" t="s">
        <v>21</v>
      </c>
      <c r="W29" s="712">
        <f t="shared" si="14"/>
        <v>100</v>
      </c>
      <c r="X29" s="1504"/>
      <c r="Y29" s="3654"/>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661"/>
      <c r="Q30" s="1501">
        <f t="shared" si="11"/>
        <v>111</v>
      </c>
      <c r="R30" s="711" t="s">
        <v>21</v>
      </c>
      <c r="S30" s="712">
        <f t="shared" si="12"/>
        <v>100</v>
      </c>
      <c r="T30" s="711" t="s">
        <v>21</v>
      </c>
      <c r="U30" s="712">
        <f t="shared" si="13"/>
        <v>100</v>
      </c>
      <c r="V30" s="711" t="s">
        <v>21</v>
      </c>
      <c r="W30" s="712">
        <f t="shared" si="14"/>
        <v>100</v>
      </c>
      <c r="X30" s="1504"/>
      <c r="Y30" s="3654"/>
      <c r="Z30" s="1505">
        <f t="shared" si="18"/>
        <v>111</v>
      </c>
      <c r="AA30" s="1502">
        <f t="shared" si="15"/>
        <v>1</v>
      </c>
      <c r="AB30" s="1502">
        <f t="shared" si="16"/>
        <v>1</v>
      </c>
      <c r="AC30" s="1502">
        <f t="shared" si="17"/>
        <v>1</v>
      </c>
    </row>
    <row r="31" spans="1:29" ht="15.75"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661"/>
      <c r="Q31" s="1501">
        <f t="shared" si="11"/>
        <v>111</v>
      </c>
      <c r="R31" s="711" t="s">
        <v>21</v>
      </c>
      <c r="S31" s="712">
        <f t="shared" si="12"/>
        <v>100</v>
      </c>
      <c r="T31" s="711" t="s">
        <v>21</v>
      </c>
      <c r="U31" s="712">
        <f t="shared" si="13"/>
        <v>100</v>
      </c>
      <c r="V31" s="711" t="s">
        <v>21</v>
      </c>
      <c r="W31" s="712">
        <f t="shared" si="14"/>
        <v>100</v>
      </c>
      <c r="X31" s="1504"/>
      <c r="Y31" s="3654"/>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655" t="s">
        <v>2326</v>
      </c>
      <c r="Q32" s="1501" t="str">
        <f t="shared" si="11"/>
        <v>建筑类型</v>
      </c>
      <c r="R32" s="711" t="s">
        <v>21</v>
      </c>
      <c r="S32" s="712">
        <f t="shared" si="12"/>
        <v>100</v>
      </c>
      <c r="T32" s="711" t="s">
        <v>21</v>
      </c>
      <c r="U32" s="712">
        <f t="shared" si="13"/>
        <v>100</v>
      </c>
      <c r="V32" s="711" t="s">
        <v>21</v>
      </c>
      <c r="W32" s="712">
        <f t="shared" si="14"/>
        <v>100</v>
      </c>
      <c r="X32" s="1504"/>
      <c r="Y32" s="3658"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656"/>
      <c r="Q33" s="713" t="str">
        <f t="shared" si="11"/>
        <v>项目建筑规模</v>
      </c>
      <c r="R33" s="714" t="s">
        <v>21</v>
      </c>
      <c r="S33" s="715" t="e">
        <f t="shared" si="12"/>
        <v>#N/A</v>
      </c>
      <c r="T33" s="714" t="s">
        <v>21</v>
      </c>
      <c r="U33" s="715" t="e">
        <f t="shared" si="13"/>
        <v>#N/A</v>
      </c>
      <c r="V33" s="714" t="s">
        <v>21</v>
      </c>
      <c r="W33" s="715" t="e">
        <f t="shared" si="14"/>
        <v>#N/A</v>
      </c>
      <c r="X33" s="716"/>
      <c r="Y33" s="3658"/>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656"/>
      <c r="Q34" s="1501" t="str">
        <f t="shared" si="11"/>
        <v>建筑结构</v>
      </c>
      <c r="R34" s="711" t="s">
        <v>21</v>
      </c>
      <c r="S34" s="712">
        <f t="shared" si="12"/>
        <v>100</v>
      </c>
      <c r="T34" s="711" t="s">
        <v>21</v>
      </c>
      <c r="U34" s="712">
        <f t="shared" si="13"/>
        <v>100</v>
      </c>
      <c r="V34" s="711" t="s">
        <v>21</v>
      </c>
      <c r="W34" s="712">
        <f t="shared" si="14"/>
        <v>100</v>
      </c>
      <c r="X34" s="1504"/>
      <c r="Y34" s="3658"/>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656"/>
      <c r="Q35" s="1501" t="str">
        <f t="shared" si="11"/>
        <v>建筑品质</v>
      </c>
      <c r="R35" s="711" t="s">
        <v>21</v>
      </c>
      <c r="S35" s="712">
        <f t="shared" si="12"/>
        <v>100</v>
      </c>
      <c r="T35" s="711" t="s">
        <v>21</v>
      </c>
      <c r="U35" s="712">
        <f t="shared" si="13"/>
        <v>100</v>
      </c>
      <c r="V35" s="711" t="s">
        <v>21</v>
      </c>
      <c r="W35" s="712">
        <f t="shared" si="14"/>
        <v>100</v>
      </c>
      <c r="X35" s="1504"/>
      <c r="Y35" s="3658"/>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656"/>
      <c r="Q36" s="1501" t="str">
        <f t="shared" si="11"/>
        <v>公共部分装修</v>
      </c>
      <c r="R36" s="711" t="s">
        <v>21</v>
      </c>
      <c r="S36" s="712">
        <f t="shared" si="12"/>
        <v>100</v>
      </c>
      <c r="T36" s="711" t="s">
        <v>21</v>
      </c>
      <c r="U36" s="712">
        <f t="shared" si="13"/>
        <v>100</v>
      </c>
      <c r="V36" s="711" t="s">
        <v>21</v>
      </c>
      <c r="W36" s="712">
        <f t="shared" si="14"/>
        <v>100</v>
      </c>
      <c r="X36" s="1504"/>
      <c r="Y36" s="3658"/>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656"/>
      <c r="Q37" s="1492" t="str">
        <f t="shared" si="11"/>
        <v>成新度</v>
      </c>
      <c r="R37" s="707" t="s">
        <v>21</v>
      </c>
      <c r="S37" s="708" t="e">
        <f t="shared" si="12"/>
        <v>#N/A</v>
      </c>
      <c r="T37" s="707" t="s">
        <v>21</v>
      </c>
      <c r="U37" s="708" t="e">
        <f t="shared" si="13"/>
        <v>#N/A</v>
      </c>
      <c r="V37" s="707" t="s">
        <v>21</v>
      </c>
      <c r="W37" s="708" t="e">
        <f t="shared" si="14"/>
        <v>#N/A</v>
      </c>
      <c r="X37" s="709"/>
      <c r="Y37" s="3658"/>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656" t="s">
        <v>2326</v>
      </c>
      <c r="Q38" s="1501" t="str">
        <f t="shared" si="11"/>
        <v>物业管理</v>
      </c>
      <c r="R38" s="711" t="s">
        <v>21</v>
      </c>
      <c r="S38" s="712">
        <f t="shared" si="12"/>
        <v>100</v>
      </c>
      <c r="T38" s="711" t="s">
        <v>21</v>
      </c>
      <c r="U38" s="712">
        <f t="shared" si="13"/>
        <v>100</v>
      </c>
      <c r="V38" s="711" t="s">
        <v>21</v>
      </c>
      <c r="W38" s="712">
        <f t="shared" si="14"/>
        <v>100</v>
      </c>
      <c r="X38" s="1504"/>
      <c r="Y38" s="3658"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656"/>
      <c r="Q39" s="1501" t="str">
        <f t="shared" si="11"/>
        <v>市政基础设施</v>
      </c>
      <c r="R39" s="711" t="s">
        <v>21</v>
      </c>
      <c r="S39" s="712">
        <f t="shared" si="12"/>
        <v>100</v>
      </c>
      <c r="T39" s="711" t="s">
        <v>21</v>
      </c>
      <c r="U39" s="712">
        <f t="shared" si="13"/>
        <v>100</v>
      </c>
      <c r="V39" s="711" t="s">
        <v>21</v>
      </c>
      <c r="W39" s="712">
        <f t="shared" si="14"/>
        <v>100</v>
      </c>
      <c r="X39" s="1504"/>
      <c r="Y39" s="3658"/>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656"/>
      <c r="Q40" s="1501" t="str">
        <f t="shared" si="11"/>
        <v>房型</v>
      </c>
      <c r="R40" s="711" t="s">
        <v>21</v>
      </c>
      <c r="S40" s="712">
        <f t="shared" si="12"/>
        <v>100</v>
      </c>
      <c r="T40" s="711" t="s">
        <v>21</v>
      </c>
      <c r="U40" s="712">
        <f t="shared" si="13"/>
        <v>100</v>
      </c>
      <c r="V40" s="711" t="s">
        <v>21</v>
      </c>
      <c r="W40" s="712">
        <f t="shared" si="14"/>
        <v>100</v>
      </c>
      <c r="X40" s="1504"/>
      <c r="Y40" s="3658"/>
      <c r="Z40" s="1505" t="str">
        <f t="shared" si="18"/>
        <v>房型</v>
      </c>
      <c r="AA40" s="1502">
        <f t="shared" si="15"/>
        <v>1</v>
      </c>
      <c r="AB40" s="1502">
        <f t="shared" si="16"/>
        <v>1</v>
      </c>
      <c r="AC40" s="1502">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656"/>
      <c r="Q41" s="713" t="str">
        <f t="shared" si="11"/>
        <v>单套/主力户型建筑面积</v>
      </c>
      <c r="R41" s="714" t="s">
        <v>21</v>
      </c>
      <c r="S41" s="715">
        <f t="shared" si="12"/>
        <v>100</v>
      </c>
      <c r="T41" s="714" t="s">
        <v>21</v>
      </c>
      <c r="U41" s="715">
        <f t="shared" si="13"/>
        <v>100</v>
      </c>
      <c r="V41" s="714" t="s">
        <v>21</v>
      </c>
      <c r="W41" s="715">
        <f t="shared" si="14"/>
        <v>100</v>
      </c>
      <c r="X41" s="716"/>
      <c r="Y41" s="3658"/>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656"/>
      <c r="Q42" s="1501" t="str">
        <f t="shared" si="11"/>
        <v>内部装修</v>
      </c>
      <c r="R42" s="711" t="s">
        <v>21</v>
      </c>
      <c r="S42" s="712">
        <f t="shared" si="12"/>
        <v>100</v>
      </c>
      <c r="T42" s="711" t="s">
        <v>21</v>
      </c>
      <c r="U42" s="712">
        <f t="shared" si="13"/>
        <v>100</v>
      </c>
      <c r="V42" s="711" t="s">
        <v>21</v>
      </c>
      <c r="W42" s="712">
        <f t="shared" si="14"/>
        <v>100</v>
      </c>
      <c r="X42" s="1504"/>
      <c r="Y42" s="3658"/>
      <c r="Z42" s="1505" t="str">
        <f t="shared" si="18"/>
        <v>内部装修</v>
      </c>
      <c r="AA42" s="1502">
        <f t="shared" si="15"/>
        <v>1</v>
      </c>
      <c r="AB42" s="1502">
        <f t="shared" si="16"/>
        <v>1</v>
      </c>
      <c r="AC42" s="1502">
        <f t="shared" si="17"/>
        <v>1</v>
      </c>
    </row>
    <row r="43" spans="1:29" ht="15">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656"/>
      <c r="Q43" s="1501" t="str">
        <f t="shared" si="11"/>
        <v>内部装修维护情况</v>
      </c>
      <c r="R43" s="711" t="s">
        <v>21</v>
      </c>
      <c r="S43" s="712">
        <f t="shared" si="12"/>
        <v>100</v>
      </c>
      <c r="T43" s="711" t="s">
        <v>21</v>
      </c>
      <c r="U43" s="712">
        <f t="shared" si="13"/>
        <v>100</v>
      </c>
      <c r="V43" s="711" t="s">
        <v>21</v>
      </c>
      <c r="W43" s="712">
        <f t="shared" si="14"/>
        <v>100</v>
      </c>
      <c r="X43" s="1504"/>
      <c r="Y43" s="3658"/>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656"/>
      <c r="Q44" s="1492">
        <f t="shared" si="11"/>
        <v>111</v>
      </c>
      <c r="R44" s="707" t="s">
        <v>21</v>
      </c>
      <c r="S44" s="708">
        <f t="shared" si="12"/>
        <v>100</v>
      </c>
      <c r="T44" s="707" t="s">
        <v>21</v>
      </c>
      <c r="U44" s="708">
        <f t="shared" si="13"/>
        <v>100</v>
      </c>
      <c r="V44" s="707" t="s">
        <v>21</v>
      </c>
      <c r="W44" s="708">
        <f t="shared" si="14"/>
        <v>100</v>
      </c>
      <c r="X44" s="709"/>
      <c r="Y44" s="3658"/>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656"/>
      <c r="Q45" s="1501">
        <f t="shared" si="11"/>
        <v>111</v>
      </c>
      <c r="R45" s="711" t="s">
        <v>21</v>
      </c>
      <c r="S45" s="712">
        <f t="shared" si="12"/>
        <v>100</v>
      </c>
      <c r="T45" s="711" t="s">
        <v>21</v>
      </c>
      <c r="U45" s="712">
        <f t="shared" si="13"/>
        <v>100</v>
      </c>
      <c r="V45" s="711" t="s">
        <v>21</v>
      </c>
      <c r="W45" s="712">
        <f t="shared" si="14"/>
        <v>100</v>
      </c>
      <c r="X45" s="1504"/>
      <c r="Y45" s="3658"/>
      <c r="Z45" s="1505">
        <f t="shared" si="18"/>
        <v>111</v>
      </c>
      <c r="AA45" s="1502">
        <f t="shared" si="15"/>
        <v>1</v>
      </c>
      <c r="AB45" s="1502">
        <f t="shared" si="16"/>
        <v>1</v>
      </c>
      <c r="AC45" s="1502">
        <f t="shared" si="17"/>
        <v>1</v>
      </c>
    </row>
    <row r="46" spans="1:29" ht="15.75"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657"/>
      <c r="Q46" s="1501">
        <f t="shared" si="11"/>
        <v>111</v>
      </c>
      <c r="R46" s="711" t="s">
        <v>20</v>
      </c>
      <c r="S46" s="712">
        <f t="shared" si="12"/>
        <v>100</v>
      </c>
      <c r="T46" s="711" t="s">
        <v>20</v>
      </c>
      <c r="U46" s="712">
        <f t="shared" si="13"/>
        <v>100</v>
      </c>
      <c r="V46" s="711" t="s">
        <v>20</v>
      </c>
      <c r="W46" s="712">
        <f t="shared" si="14"/>
        <v>100</v>
      </c>
      <c r="X46" s="1504"/>
      <c r="Y46" s="3659"/>
      <c r="Z46" s="1505">
        <f t="shared" si="18"/>
        <v>111</v>
      </c>
      <c r="AA46" s="1502">
        <f t="shared" si="15"/>
        <v>1</v>
      </c>
      <c r="AB46" s="1502">
        <f t="shared" si="16"/>
        <v>1</v>
      </c>
      <c r="AC46" s="1502">
        <f t="shared" si="17"/>
        <v>1</v>
      </c>
    </row>
    <row r="47" spans="1:29" ht="15">
      <c r="A47" s="436" t="s">
        <v>2338</v>
      </c>
      <c r="B47" s="437"/>
      <c r="C47" s="1283" t="s">
        <v>19</v>
      </c>
      <c r="D47" s="1284"/>
      <c r="E47" s="1285"/>
      <c r="F47" s="1286"/>
      <c r="G47" s="1287"/>
      <c r="H47" s="1288"/>
      <c r="I47" s="1285"/>
      <c r="J47" s="1288"/>
      <c r="K47" s="2065"/>
      <c r="L47" s="2916"/>
      <c r="M47" s="2917"/>
      <c r="N47" s="2908"/>
      <c r="O47" s="2917"/>
      <c r="P47" s="3651" t="str">
        <f>A47</f>
        <v>成交单价（元/平方米）</v>
      </c>
      <c r="Q47" s="3651"/>
      <c r="R47" s="3652">
        <f>E47</f>
        <v>0</v>
      </c>
      <c r="S47" s="3652"/>
      <c r="T47" s="3652">
        <f>G47</f>
        <v>0</v>
      </c>
      <c r="U47" s="3652"/>
      <c r="V47" s="3652">
        <f>I47</f>
        <v>0</v>
      </c>
      <c r="W47" s="3652"/>
      <c r="X47" s="696"/>
      <c r="Y47" s="718"/>
      <c r="Z47" s="696"/>
      <c r="AA47" s="696"/>
      <c r="AB47" s="696"/>
      <c r="AC47" s="696"/>
    </row>
    <row r="48" spans="1:29" ht="15.7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6"/>
      <c r="Y48" s="696"/>
      <c r="Z48" s="696"/>
      <c r="AA48" s="696"/>
      <c r="AB48" s="696"/>
      <c r="AC48" s="696"/>
    </row>
    <row r="49" spans="1:29" ht="15.75" thickBot="1">
      <c r="A49" s="447" t="s">
        <v>2340</v>
      </c>
      <c r="B49" s="448"/>
      <c r="C49" s="1291" t="e">
        <f>R49</f>
        <v>#DIV/0!</v>
      </c>
      <c r="D49" s="1292"/>
      <c r="E49" s="1292"/>
      <c r="F49" s="1292"/>
      <c r="G49" s="1292"/>
      <c r="H49" s="1292"/>
      <c r="I49" s="1292"/>
      <c r="J49" s="1292"/>
      <c r="K49" s="2066"/>
      <c r="L49" s="2916"/>
      <c r="M49" s="2917"/>
      <c r="N49" s="2917"/>
      <c r="O49" s="2917"/>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1.75" thickBot="1">
      <c r="A57" s="700" t="s">
        <v>2344</v>
      </c>
      <c r="B57" s="696"/>
      <c r="C57" s="701"/>
      <c r="D57" s="701"/>
      <c r="E57" s="701"/>
      <c r="F57" s="702"/>
      <c r="G57" s="702"/>
      <c r="H57" s="701"/>
      <c r="I57" s="701"/>
      <c r="J57" s="701"/>
      <c r="K57" s="1069"/>
      <c r="L57" s="1070"/>
      <c r="M57" s="1068"/>
      <c r="N57" s="1068"/>
      <c r="O57" s="1068"/>
      <c r="P57" s="2069"/>
      <c r="Q57" s="459"/>
    </row>
    <row r="58" spans="1:29" s="463" customFormat="1" ht="15">
      <c r="A58" s="460" t="s">
        <v>2345</v>
      </c>
      <c r="B58" s="461"/>
      <c r="C58" s="1315" t="str">
        <f>YEAR(C7)&amp;"-"&amp;MONTH(C7)</f>
        <v>2022-2</v>
      </c>
      <c r="D58" s="1314">
        <f>EDATE(C58,-1)</f>
        <v>44562</v>
      </c>
      <c r="E58" s="1314">
        <f>EDATE(D58,-1)</f>
        <v>44531</v>
      </c>
      <c r="F58" s="1314">
        <f t="shared" ref="F58:O58" si="19">EDATE(E58,-1)</f>
        <v>44501</v>
      </c>
      <c r="G58" s="1314">
        <f t="shared" si="19"/>
        <v>44470</v>
      </c>
      <c r="H58" s="1314">
        <f t="shared" si="19"/>
        <v>44440</v>
      </c>
      <c r="I58" s="1314">
        <f t="shared" si="19"/>
        <v>44409</v>
      </c>
      <c r="J58" s="1314">
        <f t="shared" si="19"/>
        <v>44378</v>
      </c>
      <c r="K58" s="1314">
        <f t="shared" si="19"/>
        <v>44348</v>
      </c>
      <c r="L58" s="1314">
        <f t="shared" si="19"/>
        <v>44317</v>
      </c>
      <c r="M58" s="1314">
        <f t="shared" si="19"/>
        <v>44287</v>
      </c>
      <c r="N58" s="1314">
        <f t="shared" si="19"/>
        <v>44256</v>
      </c>
      <c r="O58" s="1314">
        <f t="shared" si="19"/>
        <v>44228</v>
      </c>
      <c r="P58" s="1310"/>
    </row>
    <row r="59" spans="1:29" s="111" customFormat="1" ht="15">
      <c r="A59" s="464"/>
      <c r="B59" s="2070"/>
      <c r="C59" s="1312">
        <v>100</v>
      </c>
      <c r="D59" s="466"/>
      <c r="E59" s="467"/>
      <c r="F59" s="467"/>
      <c r="G59" s="467"/>
      <c r="H59" s="467"/>
      <c r="I59" s="467"/>
      <c r="J59" s="467"/>
      <c r="K59" s="467"/>
      <c r="L59" s="467"/>
      <c r="M59" s="468"/>
      <c r="N59" s="467"/>
      <c r="O59" s="468"/>
      <c r="P59" s="2071"/>
    </row>
    <row r="60" spans="1:29" s="111" customFormat="1" ht="15.75" thickBot="1">
      <c r="A60" s="470" t="s">
        <v>2346</v>
      </c>
      <c r="B60" s="471"/>
      <c r="C60" s="472"/>
      <c r="D60" s="473"/>
      <c r="E60" s="473"/>
      <c r="F60" s="473"/>
      <c r="G60" s="473"/>
      <c r="H60" s="473"/>
      <c r="I60" s="473"/>
      <c r="J60" s="473"/>
      <c r="K60" s="473"/>
      <c r="L60" s="473"/>
      <c r="M60" s="474"/>
      <c r="N60" s="473"/>
      <c r="O60" s="474"/>
      <c r="P60" s="2071"/>
      <c r="Q60" s="459"/>
    </row>
    <row r="61" spans="1:29" s="111" customFormat="1" ht="15">
      <c r="A61" s="476" t="s">
        <v>2347</v>
      </c>
      <c r="B61" s="465"/>
      <c r="C61" s="477" t="s">
        <v>2348</v>
      </c>
      <c r="D61" s="478"/>
      <c r="E61" s="478"/>
      <c r="F61" s="478"/>
      <c r="G61" s="478"/>
      <c r="H61" s="478"/>
      <c r="I61" s="478"/>
      <c r="J61" s="478"/>
      <c r="K61" s="478"/>
      <c r="L61" s="479"/>
      <c r="M61" s="480"/>
      <c r="N61" s="1060"/>
      <c r="O61" s="1060"/>
      <c r="P61" s="2072"/>
      <c r="Q61" s="459"/>
    </row>
    <row r="62" spans="1:29" s="111" customFormat="1" ht="15.75" thickBot="1">
      <c r="A62" s="476"/>
      <c r="B62" s="465"/>
      <c r="C62" s="466">
        <v>100</v>
      </c>
      <c r="D62" s="467"/>
      <c r="E62" s="467"/>
      <c r="F62" s="467"/>
      <c r="G62" s="467"/>
      <c r="H62" s="467"/>
      <c r="I62" s="467"/>
      <c r="J62" s="467"/>
      <c r="K62" s="467"/>
      <c r="L62" s="467"/>
      <c r="M62" s="469"/>
      <c r="N62" s="1060"/>
      <c r="O62" s="1060"/>
      <c r="P62" s="2071"/>
      <c r="Q62" s="459"/>
    </row>
    <row r="63" spans="1:29">
      <c r="A63" s="482" t="s">
        <v>2349</v>
      </c>
      <c r="B63" s="483" t="s">
        <v>2315</v>
      </c>
      <c r="C63" s="484">
        <f>C9</f>
        <v>0</v>
      </c>
      <c r="D63" s="485"/>
      <c r="E63" s="485"/>
      <c r="F63" s="485"/>
      <c r="G63" s="485"/>
      <c r="H63" s="485"/>
      <c r="I63" s="485"/>
      <c r="J63" s="485"/>
      <c r="K63" s="486"/>
      <c r="L63" s="487"/>
      <c r="M63" s="488"/>
      <c r="N63" s="1061"/>
      <c r="O63" s="1061"/>
      <c r="P63" s="2073"/>
      <c r="Q63" s="459"/>
    </row>
    <row r="64" spans="1:29" ht="15.75" thickBot="1">
      <c r="A64" s="489"/>
      <c r="B64" s="490"/>
      <c r="C64" s="491">
        <v>100</v>
      </c>
      <c r="D64" s="491"/>
      <c r="E64" s="491"/>
      <c r="F64" s="491"/>
      <c r="G64" s="491"/>
      <c r="H64" s="491"/>
      <c r="I64" s="491"/>
      <c r="J64" s="491"/>
      <c r="K64" s="491"/>
      <c r="L64" s="491"/>
      <c r="M64" s="492"/>
      <c r="N64" s="1062"/>
      <c r="O64" s="1062"/>
      <c r="P64" s="2073"/>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ht="15">
      <c r="A68" s="489"/>
      <c r="B68" s="503"/>
      <c r="C68" s="504"/>
      <c r="D68" s="504"/>
      <c r="E68" s="504"/>
      <c r="F68" s="504"/>
      <c r="G68" s="504"/>
      <c r="H68" s="504"/>
      <c r="I68" s="504"/>
      <c r="J68" s="504"/>
      <c r="K68" s="505"/>
      <c r="L68" s="506"/>
      <c r="M68" s="507"/>
      <c r="N68" s="1061"/>
      <c r="O68" s="1061"/>
      <c r="P68" s="2073"/>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5.75" thickTop="1">
      <c r="A70" s="508"/>
      <c r="B70" s="493">
        <f>B12</f>
        <v>111</v>
      </c>
      <c r="C70" s="509"/>
      <c r="D70" s="509"/>
      <c r="E70" s="509"/>
      <c r="F70" s="509"/>
      <c r="G70" s="509"/>
      <c r="H70" s="510"/>
      <c r="I70" s="510"/>
      <c r="J70" s="510"/>
      <c r="K70" s="510"/>
      <c r="L70" s="511"/>
      <c r="M70" s="512"/>
      <c r="N70" s="1063"/>
      <c r="O70" s="1063"/>
      <c r="P70" s="2074"/>
      <c r="Q70" s="514"/>
    </row>
    <row r="71" spans="1:17" s="428" customFormat="1" ht="15.75" thickBot="1">
      <c r="A71" s="508"/>
      <c r="B71" s="498"/>
      <c r="C71" s="515"/>
      <c r="D71" s="491"/>
      <c r="E71" s="491"/>
      <c r="F71" s="491"/>
      <c r="G71" s="491"/>
      <c r="H71" s="491"/>
      <c r="I71" s="491"/>
      <c r="J71" s="491"/>
      <c r="K71" s="491"/>
      <c r="L71" s="491"/>
      <c r="M71" s="492"/>
      <c r="N71" s="1062"/>
      <c r="O71" s="1062"/>
      <c r="P71" s="2074"/>
      <c r="Q71" s="514"/>
    </row>
    <row r="72" spans="1:17" s="428" customFormat="1" ht="15.75" thickTop="1">
      <c r="A72" s="508"/>
      <c r="B72" s="493">
        <f>B13</f>
        <v>111</v>
      </c>
      <c r="C72" s="509"/>
      <c r="D72" s="509"/>
      <c r="E72" s="509"/>
      <c r="F72" s="509"/>
      <c r="G72" s="509"/>
      <c r="H72" s="510"/>
      <c r="I72" s="510"/>
      <c r="J72" s="510"/>
      <c r="K72" s="510"/>
      <c r="L72" s="511"/>
      <c r="M72" s="512"/>
      <c r="N72" s="1063"/>
      <c r="O72" s="1063"/>
      <c r="P72" s="2075"/>
      <c r="Q72" s="516"/>
    </row>
    <row r="73" spans="1:17" s="428" customFormat="1" ht="15.75" thickBot="1">
      <c r="A73" s="508"/>
      <c r="B73" s="498"/>
      <c r="C73" s="515"/>
      <c r="D73" s="515"/>
      <c r="E73" s="515"/>
      <c r="F73" s="515"/>
      <c r="G73" s="515"/>
      <c r="H73" s="517"/>
      <c r="I73" s="517"/>
      <c r="J73" s="517"/>
      <c r="K73" s="517"/>
      <c r="L73" s="517"/>
      <c r="M73" s="518"/>
      <c r="N73" s="1063"/>
      <c r="O73" s="1063"/>
      <c r="P73" s="2074"/>
      <c r="Q73" s="514"/>
    </row>
    <row r="74" spans="1:17" s="428" customFormat="1" ht="15.75" thickTop="1">
      <c r="A74" s="508"/>
      <c r="B74" s="501">
        <f>B14</f>
        <v>111</v>
      </c>
      <c r="C74" s="509"/>
      <c r="D74" s="509"/>
      <c r="E74" s="509"/>
      <c r="F74" s="509"/>
      <c r="G74" s="478"/>
      <c r="H74" s="519"/>
      <c r="I74" s="519"/>
      <c r="J74" s="519"/>
      <c r="K74" s="519"/>
      <c r="L74" s="520"/>
      <c r="M74" s="521"/>
      <c r="N74" s="1063"/>
      <c r="O74" s="1063"/>
      <c r="P74" s="2076"/>
      <c r="Q74" s="514"/>
    </row>
    <row r="75" spans="1:17" s="428" customFormat="1" ht="15.75" thickBot="1">
      <c r="A75" s="523"/>
      <c r="B75" s="524"/>
      <c r="C75" s="525"/>
      <c r="D75" s="525"/>
      <c r="E75" s="525"/>
      <c r="F75" s="525"/>
      <c r="G75" s="525"/>
      <c r="H75" s="526"/>
      <c r="I75" s="526"/>
      <c r="J75" s="526"/>
      <c r="K75" s="526"/>
      <c r="L75" s="526"/>
      <c r="M75" s="527"/>
      <c r="N75" s="1063"/>
      <c r="O75" s="1063"/>
      <c r="P75" s="2074"/>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7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75" thickTop="1">
      <c r="A86" s="534"/>
      <c r="B86" s="493" t="s">
        <v>2371</v>
      </c>
      <c r="C86" s="509"/>
      <c r="D86" s="509"/>
      <c r="E86" s="509"/>
      <c r="F86" s="509"/>
      <c r="G86" s="509"/>
      <c r="H86" s="509"/>
      <c r="I86" s="509"/>
      <c r="J86" s="509"/>
      <c r="K86" s="509"/>
      <c r="L86" s="535"/>
      <c r="M86" s="536"/>
      <c r="N86" s="1060"/>
      <c r="O86" s="1060"/>
      <c r="P86" s="2073"/>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75" thickTop="1">
      <c r="A88" s="534"/>
      <c r="B88" s="493" t="s">
        <v>2372</v>
      </c>
      <c r="C88" s="509"/>
      <c r="D88" s="509"/>
      <c r="E88" s="509"/>
      <c r="F88" s="2078"/>
      <c r="G88" s="509"/>
      <c r="H88" s="509"/>
      <c r="I88" s="509"/>
      <c r="J88" s="509"/>
      <c r="K88" s="509"/>
      <c r="L88" s="509"/>
      <c r="M88" s="536"/>
      <c r="N88" s="1060"/>
      <c r="O88" s="1060"/>
      <c r="P88" s="2073"/>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5.75" thickTop="1">
      <c r="A90" s="508"/>
      <c r="B90" s="493">
        <f>B27</f>
        <v>111</v>
      </c>
      <c r="C90" s="509"/>
      <c r="D90" s="509"/>
      <c r="E90" s="509"/>
      <c r="F90" s="509"/>
      <c r="G90" s="509"/>
      <c r="H90" s="510"/>
      <c r="I90" s="510"/>
      <c r="J90" s="510"/>
      <c r="K90" s="510"/>
      <c r="L90" s="511"/>
      <c r="M90" s="512"/>
      <c r="N90" s="1063"/>
      <c r="O90" s="1063"/>
      <c r="P90" s="2074"/>
      <c r="Q90" s="514"/>
    </row>
    <row r="91" spans="1:17" s="428" customFormat="1" ht="15.75" thickBot="1">
      <c r="A91" s="508"/>
      <c r="B91" s="498"/>
      <c r="C91" s="515"/>
      <c r="D91" s="515"/>
      <c r="E91" s="515"/>
      <c r="F91" s="515"/>
      <c r="G91" s="515"/>
      <c r="H91" s="517"/>
      <c r="I91" s="517"/>
      <c r="J91" s="517"/>
      <c r="K91" s="517"/>
      <c r="L91" s="517"/>
      <c r="M91" s="518"/>
      <c r="N91" s="1063"/>
      <c r="O91" s="1063"/>
      <c r="P91" s="2074"/>
      <c r="Q91" s="514"/>
    </row>
    <row r="92" spans="1:17" ht="15.75" thickTop="1">
      <c r="A92" s="489"/>
      <c r="B92" s="493">
        <f>B28</f>
        <v>111</v>
      </c>
      <c r="C92" s="509"/>
      <c r="D92" s="509"/>
      <c r="E92" s="509"/>
      <c r="F92" s="509"/>
      <c r="G92" s="538"/>
      <c r="H92" s="538"/>
      <c r="I92" s="538"/>
      <c r="J92" s="538"/>
      <c r="K92" s="539"/>
      <c r="L92" s="540"/>
      <c r="M92" s="541"/>
      <c r="N92" s="1061"/>
      <c r="O92" s="1061"/>
      <c r="P92" s="2073"/>
      <c r="Q92" s="459"/>
    </row>
    <row r="93" spans="1:17" ht="15.75" thickBot="1">
      <c r="A93" s="489"/>
      <c r="B93" s="498"/>
      <c r="C93" s="515"/>
      <c r="D93" s="491"/>
      <c r="E93" s="491"/>
      <c r="F93" s="491"/>
      <c r="G93" s="491"/>
      <c r="H93" s="491"/>
      <c r="I93" s="491"/>
      <c r="J93" s="491"/>
      <c r="K93" s="491"/>
      <c r="L93" s="491"/>
      <c r="M93" s="492"/>
      <c r="N93" s="1062"/>
      <c r="O93" s="1062"/>
      <c r="P93" s="2073"/>
      <c r="Q93" s="459"/>
    </row>
    <row r="94" spans="1:17" ht="15.75" thickTop="1">
      <c r="A94" s="489"/>
      <c r="B94" s="493">
        <f>B29</f>
        <v>111</v>
      </c>
      <c r="C94" s="509"/>
      <c r="D94" s="509"/>
      <c r="E94" s="509"/>
      <c r="F94" s="509"/>
      <c r="G94" s="538"/>
      <c r="H94" s="538"/>
      <c r="I94" s="538"/>
      <c r="J94" s="538"/>
      <c r="K94" s="539"/>
      <c r="L94" s="540"/>
      <c r="M94" s="541"/>
      <c r="N94" s="1061"/>
      <c r="O94" s="1061"/>
      <c r="P94" s="2073"/>
      <c r="Q94" s="459"/>
    </row>
    <row r="95" spans="1:17" ht="15.75" thickBot="1">
      <c r="A95" s="489"/>
      <c r="B95" s="498"/>
      <c r="C95" s="515"/>
      <c r="D95" s="515"/>
      <c r="E95" s="515"/>
      <c r="F95" s="515"/>
      <c r="G95" s="491"/>
      <c r="H95" s="491"/>
      <c r="I95" s="491"/>
      <c r="J95" s="491"/>
      <c r="K95" s="491"/>
      <c r="L95" s="491"/>
      <c r="M95" s="492"/>
      <c r="N95" s="1062"/>
      <c r="O95" s="1062"/>
      <c r="P95" s="2073"/>
      <c r="Q95" s="459"/>
    </row>
    <row r="96" spans="1:17" ht="15.75" thickTop="1">
      <c r="A96" s="489"/>
      <c r="B96" s="493">
        <f>B30</f>
        <v>111</v>
      </c>
      <c r="C96" s="509"/>
      <c r="D96" s="509"/>
      <c r="E96" s="509"/>
      <c r="F96" s="509"/>
      <c r="G96" s="538"/>
      <c r="H96" s="538"/>
      <c r="I96" s="538"/>
      <c r="J96" s="538"/>
      <c r="K96" s="539"/>
      <c r="L96" s="540"/>
      <c r="M96" s="541"/>
      <c r="N96" s="1061"/>
      <c r="O96" s="1061"/>
      <c r="P96" s="2073"/>
      <c r="Q96" s="459"/>
    </row>
    <row r="97" spans="1:17" ht="15.75" thickBot="1">
      <c r="A97" s="489"/>
      <c r="B97" s="498"/>
      <c r="C97" s="525"/>
      <c r="D97" s="525"/>
      <c r="E97" s="525"/>
      <c r="F97" s="525"/>
      <c r="G97" s="491"/>
      <c r="H97" s="491"/>
      <c r="I97" s="491"/>
      <c r="J97" s="491"/>
      <c r="K97" s="491"/>
      <c r="L97" s="491"/>
      <c r="M97" s="492"/>
      <c r="N97" s="1062"/>
      <c r="O97" s="1062"/>
      <c r="P97" s="2073"/>
      <c r="Q97" s="459"/>
    </row>
    <row r="98" spans="1:17" ht="15.75" thickTop="1">
      <c r="A98" s="489"/>
      <c r="B98" s="501">
        <f>B31</f>
        <v>111</v>
      </c>
      <c r="C98" s="542"/>
      <c r="D98" s="542"/>
      <c r="E98" s="542"/>
      <c r="F98" s="542"/>
      <c r="G98" s="542"/>
      <c r="H98" s="542"/>
      <c r="I98" s="542"/>
      <c r="J98" s="542"/>
      <c r="K98" s="543"/>
      <c r="L98" s="544"/>
      <c r="M98" s="545"/>
      <c r="N98" s="1061"/>
      <c r="O98" s="1061"/>
      <c r="P98" s="2073"/>
      <c r="Q98" s="459"/>
    </row>
    <row r="99" spans="1:17" ht="15.75" thickBot="1">
      <c r="A99" s="2079"/>
      <c r="B99" s="524"/>
      <c r="C99" s="546"/>
      <c r="D99" s="546"/>
      <c r="E99" s="546"/>
      <c r="F99" s="546"/>
      <c r="G99" s="546"/>
      <c r="H99" s="546"/>
      <c r="I99" s="546"/>
      <c r="J99" s="546"/>
      <c r="K99" s="546"/>
      <c r="L99" s="546"/>
      <c r="M99" s="547"/>
      <c r="N99" s="1062"/>
      <c r="O99" s="1062"/>
      <c r="P99" s="2073"/>
      <c r="Q99" s="459"/>
    </row>
    <row r="100" spans="1:17">
      <c r="A100" s="482" t="s">
        <v>2324</v>
      </c>
      <c r="B100" s="483" t="s">
        <v>2373</v>
      </c>
      <c r="C100" s="485"/>
      <c r="D100" s="485"/>
      <c r="E100" s="485"/>
      <c r="F100" s="485"/>
      <c r="G100" s="485"/>
      <c r="H100" s="485"/>
      <c r="I100" s="485"/>
      <c r="J100" s="485"/>
      <c r="K100" s="486"/>
      <c r="L100" s="487"/>
      <c r="M100" s="488"/>
      <c r="N100" s="1061"/>
      <c r="O100" s="1061"/>
      <c r="P100" s="2073"/>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5.75"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8.5"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5.75"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5.75" thickBot="1">
      <c r="A127" s="508"/>
      <c r="B127" s="498"/>
      <c r="C127" s="515"/>
      <c r="D127" s="491"/>
      <c r="E127" s="491"/>
      <c r="F127" s="491"/>
      <c r="G127" s="515"/>
      <c r="H127" s="517"/>
      <c r="I127" s="517"/>
      <c r="J127" s="517"/>
      <c r="K127" s="517"/>
      <c r="L127" s="517"/>
      <c r="M127" s="518"/>
      <c r="N127" s="1063"/>
      <c r="O127" s="1063"/>
      <c r="P127" s="2074"/>
      <c r="Q127" s="514"/>
    </row>
    <row r="128" spans="1:17" ht="15" thickTop="1">
      <c r="A128" s="554"/>
      <c r="B128" s="493">
        <f>B45</f>
        <v>111</v>
      </c>
      <c r="C128" s="509"/>
      <c r="D128" s="509"/>
      <c r="E128" s="509"/>
      <c r="F128" s="509"/>
      <c r="G128" s="538"/>
      <c r="H128" s="538"/>
      <c r="I128" s="538"/>
      <c r="J128" s="538"/>
      <c r="K128" s="539"/>
      <c r="L128" s="540"/>
      <c r="M128" s="541"/>
      <c r="N128" s="1061"/>
      <c r="O128" s="1061"/>
      <c r="P128" s="2073"/>
      <c r="Q128" s="459"/>
    </row>
    <row r="129" spans="1:17" ht="15.75" thickBot="1">
      <c r="A129" s="489"/>
      <c r="B129" s="498"/>
      <c r="C129" s="515"/>
      <c r="D129" s="515"/>
      <c r="E129" s="515"/>
      <c r="F129" s="515"/>
      <c r="G129" s="491"/>
      <c r="H129" s="491"/>
      <c r="I129" s="491"/>
      <c r="J129" s="491"/>
      <c r="K129" s="491"/>
      <c r="L129" s="491"/>
      <c r="M129" s="492"/>
      <c r="N129" s="1062"/>
      <c r="O129" s="1062"/>
      <c r="P129" s="2073"/>
      <c r="Q129" s="459"/>
    </row>
    <row r="130" spans="1:17" ht="15" thickTop="1">
      <c r="A130" s="554"/>
      <c r="B130" s="501">
        <f>B46</f>
        <v>111</v>
      </c>
      <c r="C130" s="509"/>
      <c r="D130" s="509"/>
      <c r="E130" s="509"/>
      <c r="F130" s="509"/>
      <c r="G130" s="542"/>
      <c r="H130" s="542"/>
      <c r="I130" s="542"/>
      <c r="J130" s="542"/>
      <c r="K130" s="478"/>
      <c r="L130" s="479"/>
      <c r="M130" s="545"/>
      <c r="N130" s="1061"/>
      <c r="O130" s="1061"/>
      <c r="P130" s="2073"/>
      <c r="Q130" s="459"/>
    </row>
    <row r="131" spans="1:17" ht="15.75"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5.75"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c r="B147" s="2080" t="s">
        <v>2401</v>
      </c>
    </row>
    <row r="148" spans="2:11">
      <c r="B148" s="2080"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83"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83"/>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83"/>
      <c r="AC6" s="3666"/>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566"/>
      <c r="L7" s="2909"/>
      <c r="M7" s="2910"/>
      <c r="N7" s="2910"/>
      <c r="O7" s="2910"/>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46" si="3">D8/F8</f>
        <v>#DIV/0!</v>
      </c>
      <c r="AB8" s="710" t="e">
        <f t="shared" ref="AB8:AB46" si="4">D8/H8</f>
        <v>#DIV/0!</v>
      </c>
      <c r="AC8" s="710" t="e">
        <f t="shared" ref="AC8:AC46" si="5">D8/J8</f>
        <v>#DIV/0!</v>
      </c>
    </row>
    <row r="9" spans="1:29" s="111"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662"/>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662"/>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662"/>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662"/>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71.25">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660" t="s">
        <v>2321</v>
      </c>
      <c r="Q15" s="1501" t="str">
        <f t="shared" si="6"/>
        <v>商业繁华度</v>
      </c>
      <c r="R15" s="711" t="s">
        <v>17</v>
      </c>
      <c r="S15" s="712">
        <f t="shared" si="0"/>
        <v>100</v>
      </c>
      <c r="T15" s="711" t="s">
        <v>17</v>
      </c>
      <c r="U15" s="712">
        <f t="shared" si="1"/>
        <v>100</v>
      </c>
      <c r="V15" s="711" t="s">
        <v>17</v>
      </c>
      <c r="W15" s="712">
        <f t="shared" si="2"/>
        <v>100</v>
      </c>
      <c r="X15" s="1504"/>
      <c r="Y15" s="3653"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661"/>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661"/>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661"/>
      <c r="Q18" s="1501"/>
      <c r="R18" s="711"/>
      <c r="S18" s="712"/>
      <c r="T18" s="711"/>
      <c r="U18" s="712"/>
      <c r="V18" s="711"/>
      <c r="W18" s="712"/>
      <c r="X18" s="1504"/>
      <c r="Y18" s="3654"/>
      <c r="Z18" s="1505"/>
      <c r="AA18" s="1502">
        <v>1</v>
      </c>
      <c r="AB18" s="1502">
        <v>1</v>
      </c>
      <c r="AC18" s="1502">
        <v>1</v>
      </c>
    </row>
    <row r="19" spans="1:29" ht="42.75">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661"/>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661"/>
      <c r="Q20" s="1501"/>
      <c r="R20" s="711"/>
      <c r="S20" s="712"/>
      <c r="T20" s="711"/>
      <c r="U20" s="712"/>
      <c r="V20" s="711"/>
      <c r="W20" s="712"/>
      <c r="X20" s="1504"/>
      <c r="Y20" s="3654"/>
      <c r="Z20" s="1505"/>
      <c r="AA20" s="1502">
        <v>1</v>
      </c>
      <c r="AB20" s="1502">
        <v>1</v>
      </c>
      <c r="AC20" s="1502">
        <v>1</v>
      </c>
    </row>
    <row r="21" spans="1:29" ht="28.5">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661"/>
      <c r="Q22" s="1501"/>
      <c r="R22" s="711"/>
      <c r="S22" s="712"/>
      <c r="T22" s="711"/>
      <c r="U22" s="712"/>
      <c r="V22" s="711"/>
      <c r="W22" s="712"/>
      <c r="X22" s="1504"/>
      <c r="Y22" s="3654"/>
      <c r="Z22" s="1505"/>
      <c r="AA22" s="1502">
        <v>1</v>
      </c>
      <c r="AB22" s="1502">
        <v>1</v>
      </c>
      <c r="AC22" s="1502">
        <v>1</v>
      </c>
    </row>
    <row r="23" spans="1:29" ht="57">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661"/>
      <c r="Q23" s="1501" t="str">
        <f>B23</f>
        <v>自然及人文环境</v>
      </c>
      <c r="R23" s="711" t="s">
        <v>17</v>
      </c>
      <c r="S23" s="712">
        <f>F23</f>
        <v>100</v>
      </c>
      <c r="T23" s="711" t="s">
        <v>17</v>
      </c>
      <c r="U23" s="712">
        <f>H23</f>
        <v>100</v>
      </c>
      <c r="V23" s="711" t="s">
        <v>17</v>
      </c>
      <c r="W23" s="712">
        <f>J23</f>
        <v>100</v>
      </c>
      <c r="X23" s="1504"/>
      <c r="Y23" s="3654"/>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661"/>
      <c r="Q24" s="1501"/>
      <c r="R24" s="711"/>
      <c r="S24" s="712"/>
      <c r="T24" s="711"/>
      <c r="U24" s="712"/>
      <c r="V24" s="711"/>
      <c r="W24" s="712"/>
      <c r="X24" s="1504"/>
      <c r="Y24" s="3654"/>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661"/>
      <c r="Q25" s="1501" t="str">
        <f t="shared" ref="Q25:Q46" si="11">B25</f>
        <v>临街状况</v>
      </c>
      <c r="R25" s="711" t="s">
        <v>17</v>
      </c>
      <c r="S25" s="712">
        <f>F25</f>
        <v>100</v>
      </c>
      <c r="T25" s="711" t="s">
        <v>17</v>
      </c>
      <c r="U25" s="712">
        <f>H25</f>
        <v>100</v>
      </c>
      <c r="V25" s="711" t="s">
        <v>17</v>
      </c>
      <c r="W25" s="712">
        <f>J25</f>
        <v>100</v>
      </c>
      <c r="X25" s="1504"/>
      <c r="Y25" s="3654"/>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661"/>
      <c r="Q26" s="1501" t="str">
        <f t="shared" si="11"/>
        <v>平面位置/可视性</v>
      </c>
      <c r="R26" s="711" t="s">
        <v>17</v>
      </c>
      <c r="S26" s="712">
        <f>F26</f>
        <v>100</v>
      </c>
      <c r="T26" s="711" t="s">
        <v>17</v>
      </c>
      <c r="U26" s="712">
        <f>H26</f>
        <v>100</v>
      </c>
      <c r="V26" s="711" t="s">
        <v>17</v>
      </c>
      <c r="W26" s="712">
        <f>J26</f>
        <v>100</v>
      </c>
      <c r="X26" s="1504"/>
      <c r="Y26" s="3654"/>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661"/>
      <c r="Q27" s="1492" t="str">
        <f t="shared" si="11"/>
        <v>人流量</v>
      </c>
      <c r="R27" s="707" t="s">
        <v>17</v>
      </c>
      <c r="S27" s="708">
        <f>F27</f>
        <v>100</v>
      </c>
      <c r="T27" s="707" t="s">
        <v>17</v>
      </c>
      <c r="U27" s="708">
        <f>H27</f>
        <v>100</v>
      </c>
      <c r="V27" s="707" t="s">
        <v>17</v>
      </c>
      <c r="W27" s="708">
        <f>J27</f>
        <v>100</v>
      </c>
      <c r="X27" s="709"/>
      <c r="Y27" s="3654"/>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661"/>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654"/>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661"/>
      <c r="Q29" s="1501">
        <f t="shared" si="11"/>
        <v>111</v>
      </c>
      <c r="R29" s="711" t="s">
        <v>17</v>
      </c>
      <c r="S29" s="712">
        <f t="shared" si="12"/>
        <v>100</v>
      </c>
      <c r="T29" s="711" t="s">
        <v>17</v>
      </c>
      <c r="U29" s="712">
        <f t="shared" si="13"/>
        <v>100</v>
      </c>
      <c r="V29" s="711" t="s">
        <v>17</v>
      </c>
      <c r="W29" s="712">
        <f t="shared" si="14"/>
        <v>100</v>
      </c>
      <c r="X29" s="1504"/>
      <c r="Y29" s="3654"/>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661"/>
      <c r="Q30" s="1501">
        <f t="shared" si="11"/>
        <v>111</v>
      </c>
      <c r="R30" s="711" t="s">
        <v>17</v>
      </c>
      <c r="S30" s="712">
        <f t="shared" si="12"/>
        <v>100</v>
      </c>
      <c r="T30" s="711" t="s">
        <v>17</v>
      </c>
      <c r="U30" s="712">
        <f t="shared" si="13"/>
        <v>100</v>
      </c>
      <c r="V30" s="711" t="s">
        <v>17</v>
      </c>
      <c r="W30" s="712">
        <f t="shared" si="14"/>
        <v>100</v>
      </c>
      <c r="X30" s="1504"/>
      <c r="Y30" s="3654"/>
      <c r="Z30" s="1505">
        <f t="shared" si="15"/>
        <v>111</v>
      </c>
      <c r="AA30" s="1502">
        <f t="shared" si="3"/>
        <v>1</v>
      </c>
      <c r="AB30" s="1502">
        <f t="shared" si="4"/>
        <v>1</v>
      </c>
      <c r="AC30" s="1502">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661"/>
      <c r="Q31" s="1501">
        <f t="shared" si="11"/>
        <v>111</v>
      </c>
      <c r="R31" s="711" t="s">
        <v>17</v>
      </c>
      <c r="S31" s="712">
        <f t="shared" si="12"/>
        <v>100</v>
      </c>
      <c r="T31" s="711" t="s">
        <v>17</v>
      </c>
      <c r="U31" s="712">
        <f t="shared" si="13"/>
        <v>100</v>
      </c>
      <c r="V31" s="711" t="s">
        <v>17</v>
      </c>
      <c r="W31" s="712">
        <f t="shared" si="14"/>
        <v>100</v>
      </c>
      <c r="X31" s="1504"/>
      <c r="Y31" s="3654"/>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655" t="s">
        <v>2326</v>
      </c>
      <c r="Q32" s="1501" t="str">
        <f t="shared" si="11"/>
        <v>商业类型</v>
      </c>
      <c r="R32" s="711" t="s">
        <v>17</v>
      </c>
      <c r="S32" s="712">
        <f t="shared" si="12"/>
        <v>100</v>
      </c>
      <c r="T32" s="711" t="s">
        <v>17</v>
      </c>
      <c r="U32" s="712">
        <f t="shared" si="13"/>
        <v>100</v>
      </c>
      <c r="V32" s="711" t="s">
        <v>17</v>
      </c>
      <c r="W32" s="712">
        <f t="shared" si="14"/>
        <v>100</v>
      </c>
      <c r="X32" s="1504"/>
      <c r="Y32" s="3658"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656"/>
      <c r="Q33" s="713" t="str">
        <f t="shared" si="11"/>
        <v>项目建筑规模</v>
      </c>
      <c r="R33" s="714" t="s">
        <v>17</v>
      </c>
      <c r="S33" s="715" t="e">
        <f t="shared" si="12"/>
        <v>#N/A</v>
      </c>
      <c r="T33" s="714" t="s">
        <v>17</v>
      </c>
      <c r="U33" s="715" t="e">
        <f t="shared" si="13"/>
        <v>#N/A</v>
      </c>
      <c r="V33" s="714" t="s">
        <v>17</v>
      </c>
      <c r="W33" s="715" t="e">
        <f t="shared" si="14"/>
        <v>#N/A</v>
      </c>
      <c r="X33" s="716"/>
      <c r="Y33" s="3658"/>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656"/>
      <c r="Q34" s="1501" t="str">
        <f t="shared" si="11"/>
        <v>建筑结构</v>
      </c>
      <c r="R34" s="711" t="s">
        <v>17</v>
      </c>
      <c r="S34" s="712">
        <f t="shared" si="12"/>
        <v>100</v>
      </c>
      <c r="T34" s="711" t="s">
        <v>17</v>
      </c>
      <c r="U34" s="712">
        <f t="shared" si="13"/>
        <v>100</v>
      </c>
      <c r="V34" s="711" t="s">
        <v>17</v>
      </c>
      <c r="W34" s="712">
        <f t="shared" si="14"/>
        <v>100</v>
      </c>
      <c r="X34" s="1504"/>
      <c r="Y34" s="3658"/>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656"/>
      <c r="Q35" s="1501" t="str">
        <f t="shared" si="11"/>
        <v>公共部分装修</v>
      </c>
      <c r="R35" s="711" t="s">
        <v>17</v>
      </c>
      <c r="S35" s="712">
        <f t="shared" si="12"/>
        <v>100</v>
      </c>
      <c r="T35" s="711" t="s">
        <v>17</v>
      </c>
      <c r="U35" s="712">
        <f t="shared" si="13"/>
        <v>100</v>
      </c>
      <c r="V35" s="711" t="s">
        <v>17</v>
      </c>
      <c r="W35" s="712">
        <f t="shared" si="14"/>
        <v>100</v>
      </c>
      <c r="X35" s="1504"/>
      <c r="Y35" s="3658"/>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656"/>
      <c r="Q36" s="1501" t="str">
        <f t="shared" si="11"/>
        <v>成新度</v>
      </c>
      <c r="R36" s="711" t="s">
        <v>17</v>
      </c>
      <c r="S36" s="712" t="e">
        <f t="shared" si="12"/>
        <v>#N/A</v>
      </c>
      <c r="T36" s="711" t="s">
        <v>17</v>
      </c>
      <c r="U36" s="712" t="e">
        <f t="shared" si="13"/>
        <v>#N/A</v>
      </c>
      <c r="V36" s="711" t="s">
        <v>17</v>
      </c>
      <c r="W36" s="712" t="e">
        <f t="shared" si="14"/>
        <v>#N/A</v>
      </c>
      <c r="X36" s="1504"/>
      <c r="Y36" s="3658"/>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656"/>
      <c r="Q37" s="1492" t="str">
        <f t="shared" si="11"/>
        <v>市政基础设施</v>
      </c>
      <c r="R37" s="707" t="s">
        <v>17</v>
      </c>
      <c r="S37" s="708">
        <f t="shared" si="12"/>
        <v>100</v>
      </c>
      <c r="T37" s="707" t="s">
        <v>17</v>
      </c>
      <c r="U37" s="708">
        <f t="shared" si="13"/>
        <v>100</v>
      </c>
      <c r="V37" s="707" t="s">
        <v>17</v>
      </c>
      <c r="W37" s="708">
        <f t="shared" si="14"/>
        <v>100</v>
      </c>
      <c r="X37" s="709"/>
      <c r="Y37" s="3658"/>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656" t="s">
        <v>2326</v>
      </c>
      <c r="Q38" s="1501" t="str">
        <f t="shared" si="11"/>
        <v>业态</v>
      </c>
      <c r="R38" s="711" t="s">
        <v>17</v>
      </c>
      <c r="S38" s="712">
        <f t="shared" si="12"/>
        <v>100</v>
      </c>
      <c r="T38" s="711" t="s">
        <v>17</v>
      </c>
      <c r="U38" s="712">
        <f t="shared" si="13"/>
        <v>100</v>
      </c>
      <c r="V38" s="711" t="s">
        <v>17</v>
      </c>
      <c r="W38" s="712">
        <f t="shared" si="14"/>
        <v>100</v>
      </c>
      <c r="X38" s="1504"/>
      <c r="Y38" s="3658"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656"/>
      <c r="Q39" s="1501" t="str">
        <f t="shared" si="11"/>
        <v>层高</v>
      </c>
      <c r="R39" s="711" t="s">
        <v>17</v>
      </c>
      <c r="S39" s="712">
        <f t="shared" si="12"/>
        <v>100</v>
      </c>
      <c r="T39" s="711" t="s">
        <v>17</v>
      </c>
      <c r="U39" s="712">
        <f t="shared" si="13"/>
        <v>100</v>
      </c>
      <c r="V39" s="711" t="s">
        <v>17</v>
      </c>
      <c r="W39" s="712">
        <f t="shared" si="14"/>
        <v>100</v>
      </c>
      <c r="X39" s="1504"/>
      <c r="Y39" s="3658"/>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656"/>
      <c r="Q40" s="1501" t="str">
        <f t="shared" si="11"/>
        <v>单套建筑面积</v>
      </c>
      <c r="R40" s="711" t="s">
        <v>17</v>
      </c>
      <c r="S40" s="712">
        <f t="shared" si="12"/>
        <v>100</v>
      </c>
      <c r="T40" s="711" t="s">
        <v>17</v>
      </c>
      <c r="U40" s="712">
        <f t="shared" si="13"/>
        <v>100</v>
      </c>
      <c r="V40" s="711" t="s">
        <v>17</v>
      </c>
      <c r="W40" s="712">
        <f t="shared" si="14"/>
        <v>100</v>
      </c>
      <c r="X40" s="1504"/>
      <c r="Y40" s="3658"/>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656"/>
      <c r="Q41" s="713" t="str">
        <f t="shared" si="11"/>
        <v>进深比</v>
      </c>
      <c r="R41" s="714" t="s">
        <v>17</v>
      </c>
      <c r="S41" s="715">
        <f t="shared" si="12"/>
        <v>100</v>
      </c>
      <c r="T41" s="714" t="s">
        <v>17</v>
      </c>
      <c r="U41" s="715">
        <f t="shared" si="13"/>
        <v>100</v>
      </c>
      <c r="V41" s="714" t="s">
        <v>17</v>
      </c>
      <c r="W41" s="715">
        <f t="shared" si="14"/>
        <v>100</v>
      </c>
      <c r="X41" s="716"/>
      <c r="Y41" s="3658"/>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656"/>
      <c r="Q42" s="1501" t="str">
        <f t="shared" si="11"/>
        <v>内部装修</v>
      </c>
      <c r="R42" s="711" t="s">
        <v>17</v>
      </c>
      <c r="S42" s="712">
        <f t="shared" si="12"/>
        <v>100</v>
      </c>
      <c r="T42" s="711" t="s">
        <v>17</v>
      </c>
      <c r="U42" s="712">
        <f t="shared" si="13"/>
        <v>100</v>
      </c>
      <c r="V42" s="711" t="s">
        <v>17</v>
      </c>
      <c r="W42" s="712">
        <f t="shared" si="14"/>
        <v>100</v>
      </c>
      <c r="X42" s="1504"/>
      <c r="Y42" s="3658"/>
      <c r="Z42" s="1505" t="str">
        <f t="shared" si="15"/>
        <v>内部装修</v>
      </c>
      <c r="AA42" s="1502">
        <f t="shared" si="3"/>
        <v>1</v>
      </c>
      <c r="AB42" s="1502">
        <f t="shared" si="4"/>
        <v>1</v>
      </c>
      <c r="AC42" s="1502">
        <f t="shared" si="5"/>
        <v>1</v>
      </c>
    </row>
    <row r="43" spans="1:29" ht="15">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656"/>
      <c r="Q43" s="1501" t="str">
        <f t="shared" si="11"/>
        <v>内部装修维护情况</v>
      </c>
      <c r="R43" s="711" t="s">
        <v>17</v>
      </c>
      <c r="S43" s="712">
        <f t="shared" si="12"/>
        <v>100</v>
      </c>
      <c r="T43" s="711" t="s">
        <v>17</v>
      </c>
      <c r="U43" s="712">
        <f t="shared" si="13"/>
        <v>100</v>
      </c>
      <c r="V43" s="711" t="s">
        <v>17</v>
      </c>
      <c r="W43" s="712">
        <f t="shared" si="14"/>
        <v>100</v>
      </c>
      <c r="X43" s="1504"/>
      <c r="Y43" s="3658"/>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656"/>
      <c r="Q44" s="1492">
        <f t="shared" si="11"/>
        <v>111</v>
      </c>
      <c r="R44" s="707" t="s">
        <v>17</v>
      </c>
      <c r="S44" s="708">
        <f t="shared" si="12"/>
        <v>100</v>
      </c>
      <c r="T44" s="707" t="s">
        <v>17</v>
      </c>
      <c r="U44" s="708">
        <f t="shared" si="13"/>
        <v>100</v>
      </c>
      <c r="V44" s="707" t="s">
        <v>17</v>
      </c>
      <c r="W44" s="708">
        <f t="shared" si="14"/>
        <v>100</v>
      </c>
      <c r="X44" s="709"/>
      <c r="Y44" s="3658"/>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656"/>
      <c r="Q45" s="1501">
        <f t="shared" si="11"/>
        <v>111</v>
      </c>
      <c r="R45" s="711" t="s">
        <v>17</v>
      </c>
      <c r="S45" s="712">
        <f t="shared" si="12"/>
        <v>100</v>
      </c>
      <c r="T45" s="711" t="s">
        <v>17</v>
      </c>
      <c r="U45" s="712">
        <f t="shared" si="13"/>
        <v>100</v>
      </c>
      <c r="V45" s="711" t="s">
        <v>17</v>
      </c>
      <c r="W45" s="712">
        <f t="shared" si="14"/>
        <v>100</v>
      </c>
      <c r="X45" s="1504"/>
      <c r="Y45" s="3658"/>
      <c r="Z45" s="1505">
        <f t="shared" si="15"/>
        <v>111</v>
      </c>
      <c r="AA45" s="1502">
        <f t="shared" si="3"/>
        <v>1</v>
      </c>
      <c r="AB45" s="1502">
        <f t="shared" si="4"/>
        <v>1</v>
      </c>
      <c r="AC45" s="1502">
        <f t="shared" si="5"/>
        <v>1</v>
      </c>
    </row>
    <row r="46" spans="1:29" ht="15.75"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657"/>
      <c r="Q46" s="1501">
        <f t="shared" si="11"/>
        <v>111</v>
      </c>
      <c r="R46" s="711" t="s">
        <v>17</v>
      </c>
      <c r="S46" s="712">
        <f t="shared" si="12"/>
        <v>100</v>
      </c>
      <c r="T46" s="711" t="s">
        <v>17</v>
      </c>
      <c r="U46" s="712">
        <f t="shared" si="13"/>
        <v>100</v>
      </c>
      <c r="V46" s="711" t="s">
        <v>17</v>
      </c>
      <c r="W46" s="712">
        <f t="shared" si="14"/>
        <v>100</v>
      </c>
      <c r="X46" s="1504"/>
      <c r="Y46" s="3659"/>
      <c r="Z46" s="1505">
        <f t="shared" si="15"/>
        <v>111</v>
      </c>
      <c r="AA46" s="1502">
        <f t="shared" si="3"/>
        <v>1</v>
      </c>
      <c r="AB46" s="1502">
        <f t="shared" si="4"/>
        <v>1</v>
      </c>
      <c r="AC46" s="1502">
        <f t="shared" si="5"/>
        <v>1</v>
      </c>
    </row>
    <row r="47" spans="1:29" ht="15">
      <c r="A47" s="436" t="s">
        <v>2338</v>
      </c>
      <c r="B47" s="437"/>
      <c r="C47" s="1283" t="s">
        <v>1</v>
      </c>
      <c r="D47" s="1284"/>
      <c r="E47" s="1285"/>
      <c r="F47" s="1286"/>
      <c r="G47" s="1287"/>
      <c r="H47" s="1288"/>
      <c r="I47" s="1285"/>
      <c r="J47" s="1288"/>
      <c r="K47" s="720"/>
      <c r="L47" s="2916"/>
      <c r="M47" s="2917"/>
      <c r="N47" s="2908"/>
      <c r="O47" s="2917"/>
      <c r="P47" s="3651" t="str">
        <f>A47</f>
        <v>成交单价（元/平方米）</v>
      </c>
      <c r="Q47" s="3651"/>
      <c r="R47" s="3683">
        <f>E47</f>
        <v>0</v>
      </c>
      <c r="S47" s="3683"/>
      <c r="T47" s="3683">
        <f>G47</f>
        <v>0</v>
      </c>
      <c r="U47" s="3683"/>
      <c r="V47" s="3683">
        <f>I47</f>
        <v>0</v>
      </c>
      <c r="W47" s="3683"/>
      <c r="X47" s="696"/>
      <c r="Y47" s="718"/>
      <c r="Z47" s="696"/>
      <c r="AA47" s="696"/>
      <c r="AB47" s="696"/>
      <c r="AC47" s="696"/>
    </row>
    <row r="48" spans="1:29" ht="15.7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6"/>
      <c r="Y48" s="696"/>
      <c r="Z48" s="696"/>
      <c r="AA48" s="696"/>
      <c r="AB48" s="696"/>
      <c r="AC48" s="696"/>
    </row>
    <row r="49" spans="1:29" ht="15.75" thickBot="1">
      <c r="A49" s="447" t="s">
        <v>2431</v>
      </c>
      <c r="B49" s="448"/>
      <c r="C49" s="1292" t="e">
        <f>R49</f>
        <v>#DIV/0!</v>
      </c>
      <c r="D49" s="1292"/>
      <c r="E49" s="1292"/>
      <c r="F49" s="1292"/>
      <c r="G49" s="1292"/>
      <c r="H49" s="1292"/>
      <c r="I49" s="1292"/>
      <c r="J49" s="1292"/>
      <c r="K49" s="721"/>
      <c r="L49" s="2916"/>
      <c r="M49" s="2917"/>
      <c r="N49" s="2908"/>
      <c r="O49" s="2917"/>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5">
      <c r="A58" s="460" t="s">
        <v>2309</v>
      </c>
      <c r="B58" s="461"/>
      <c r="C58" s="1313" t="str">
        <f>YEAR(C7)&amp;"-"&amp;MONTH(C7)</f>
        <v>2022-2</v>
      </c>
      <c r="D58" s="1314">
        <f>EDATE(C58,-1)</f>
        <v>44562</v>
      </c>
      <c r="E58" s="1314">
        <f t="shared" ref="E58:N58" si="16">EDATE(D58,-1)</f>
        <v>44531</v>
      </c>
      <c r="F58" s="1314">
        <f t="shared" si="16"/>
        <v>44501</v>
      </c>
      <c r="G58" s="1314">
        <f t="shared" si="16"/>
        <v>44470</v>
      </c>
      <c r="H58" s="1314">
        <f t="shared" si="16"/>
        <v>44440</v>
      </c>
      <c r="I58" s="1314">
        <f t="shared" si="16"/>
        <v>44409</v>
      </c>
      <c r="J58" s="1314">
        <f t="shared" si="16"/>
        <v>44378</v>
      </c>
      <c r="K58" s="1314">
        <f t="shared" si="16"/>
        <v>44348</v>
      </c>
      <c r="L58" s="1314">
        <f t="shared" si="16"/>
        <v>44317</v>
      </c>
      <c r="M58" s="1314">
        <f t="shared" si="16"/>
        <v>44287</v>
      </c>
      <c r="N58" s="1314">
        <f t="shared" si="16"/>
        <v>44256</v>
      </c>
      <c r="O58" s="1314">
        <f>EDATE(N58,-1)</f>
        <v>44228</v>
      </c>
      <c r="P58" s="2932"/>
      <c r="Q58" s="2933"/>
      <c r="R58" s="2933"/>
      <c r="S58" s="2933"/>
      <c r="T58" s="2933"/>
      <c r="U58" s="2933"/>
      <c r="V58" s="2933"/>
      <c r="W58" s="2933"/>
      <c r="X58" s="2933"/>
      <c r="Y58" s="2933"/>
      <c r="Z58" s="2933"/>
      <c r="AA58" s="2933"/>
      <c r="AB58" s="2933"/>
      <c r="AC58" s="2933"/>
    </row>
    <row r="59" spans="1:29" s="111" customFormat="1" ht="15">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7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5">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7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5.75"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北京市保障房中心：</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1633" t="s">
        <v>1521</v>
      </c>
    </row>
    <row r="12" spans="1:1" ht="18.75">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8.75">
      <c r="A14" s="1635" t="s">
        <v>1523</v>
      </c>
    </row>
    <row r="15" spans="1:1" ht="18">
      <c r="A15" s="1636" t="str">
        <f>TEXT(项目基本情况!D3,"yyyy年m月d日;;")&amp;IF(项目基本情况!D3=项目基本情况!B3,"（评估专业人员实地查勘之日）","")</f>
        <v>2022年2月25日（评估专业人员实地查勘之日）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本次评估采用的主估价方法为基准地价系数修正法和基准地价系数修正法。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701" t="s">
        <v>2412</v>
      </c>
      <c r="Q4" s="3702"/>
      <c r="R4" s="3705" t="s">
        <v>2408</v>
      </c>
      <c r="S4" s="3706"/>
      <c r="T4" s="3705" t="s">
        <v>2409</v>
      </c>
      <c r="U4" s="3706"/>
      <c r="V4" s="3707" t="s">
        <v>2410</v>
      </c>
      <c r="W4" s="3707"/>
      <c r="X4" s="2109"/>
      <c r="Y4" s="3705" t="s">
        <v>2412</v>
      </c>
      <c r="Z4" s="3706"/>
      <c r="AA4" s="3709" t="s">
        <v>2408</v>
      </c>
      <c r="AB4" s="3709" t="s">
        <v>2409</v>
      </c>
      <c r="AC4" s="3698" t="s">
        <v>2410</v>
      </c>
    </row>
    <row r="5" spans="1:29" ht="15">
      <c r="A5" s="362"/>
      <c r="B5" s="363"/>
      <c r="C5" s="3686" t="s">
        <v>2303</v>
      </c>
      <c r="D5" s="3687"/>
      <c r="E5" s="3693" t="s">
        <v>2304</v>
      </c>
      <c r="F5" s="3694"/>
      <c r="G5" s="3686" t="s">
        <v>2305</v>
      </c>
      <c r="H5" s="3687"/>
      <c r="I5" s="3686" t="s">
        <v>2306</v>
      </c>
      <c r="J5" s="3687"/>
      <c r="K5" s="565"/>
      <c r="L5" s="2907"/>
      <c r="M5" s="2908"/>
      <c r="N5" s="2908"/>
      <c r="O5" s="2908"/>
      <c r="P5" s="3703"/>
      <c r="Q5" s="3674"/>
      <c r="R5" s="3679"/>
      <c r="S5" s="3680"/>
      <c r="T5" s="3679"/>
      <c r="U5" s="3680"/>
      <c r="V5" s="3683"/>
      <c r="W5" s="3683"/>
      <c r="X5" s="1504"/>
      <c r="Y5" s="3679"/>
      <c r="Z5" s="3680"/>
      <c r="AA5" s="3665"/>
      <c r="AB5" s="3665"/>
      <c r="AC5" s="3699"/>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704"/>
      <c r="Q6" s="3676"/>
      <c r="R6" s="3679"/>
      <c r="S6" s="3680"/>
      <c r="T6" s="3681"/>
      <c r="U6" s="3682"/>
      <c r="V6" s="3683"/>
      <c r="W6" s="3683"/>
      <c r="X6" s="1504"/>
      <c r="Y6" s="3681"/>
      <c r="Z6" s="3682"/>
      <c r="AA6" s="3666"/>
      <c r="AB6" s="3666"/>
      <c r="AC6" s="3700"/>
    </row>
    <row r="7" spans="1:29" s="111" customFormat="1" ht="15.75" thickBot="1">
      <c r="A7" s="366" t="s">
        <v>2309</v>
      </c>
      <c r="B7" s="367"/>
      <c r="C7" s="368">
        <f>'数据-取费表'!B2</f>
        <v>44617</v>
      </c>
      <c r="D7" s="369">
        <v>100</v>
      </c>
      <c r="E7" s="370"/>
      <c r="F7" s="371">
        <f>SUMIF(59:59,YEAR(E7)&amp;"-"&amp;MONTH(E7),60:60)</f>
        <v>0</v>
      </c>
      <c r="G7" s="370"/>
      <c r="H7" s="369">
        <f>SUMIF(59:59,YEAR(G7)&amp;"-"&amp;MONTH(G7),60:60)</f>
        <v>0</v>
      </c>
      <c r="I7" s="370"/>
      <c r="J7" s="369">
        <f>SUMIF(59:59,YEAR(I7)&amp;"-"&amp;MONTH(I7),60:60)</f>
        <v>0</v>
      </c>
      <c r="K7" s="566"/>
      <c r="L7" s="2909"/>
      <c r="M7" s="2910"/>
      <c r="N7" s="2910"/>
      <c r="O7" s="2910"/>
      <c r="P7" s="370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2110" t="e">
        <f>D7/J7</f>
        <v>#DIV/0!</v>
      </c>
    </row>
    <row r="8" spans="1:29" s="111"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708" t="s">
        <v>2313</v>
      </c>
      <c r="Q8" s="3689"/>
      <c r="R8" s="707" t="s">
        <v>17</v>
      </c>
      <c r="S8" s="708">
        <f t="shared" si="0"/>
        <v>0</v>
      </c>
      <c r="T8" s="707" t="s">
        <v>17</v>
      </c>
      <c r="U8" s="708">
        <f t="shared" si="1"/>
        <v>0</v>
      </c>
      <c r="V8" s="707" t="s">
        <v>17</v>
      </c>
      <c r="W8" s="708">
        <f t="shared" si="2"/>
        <v>0</v>
      </c>
      <c r="X8" s="709"/>
      <c r="Y8" s="3688" t="s">
        <v>2313</v>
      </c>
      <c r="Z8" s="3689"/>
      <c r="AA8" s="710" t="e">
        <f t="shared" ref="AA8:AA47" si="3">D8/F8</f>
        <v>#DIV/0!</v>
      </c>
      <c r="AB8" s="710" t="e">
        <f t="shared" ref="AB8:AB47" si="4">D8/H8</f>
        <v>#DIV/0!</v>
      </c>
      <c r="AC8" s="2110" t="e">
        <f t="shared" ref="AC8:AC47" si="5">D8/J8</f>
        <v>#DIV/0!</v>
      </c>
    </row>
    <row r="9" spans="1:29" s="111"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662"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2110">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662"/>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662"/>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662"/>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662"/>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2110">
        <f t="shared" si="5"/>
        <v>1</v>
      </c>
    </row>
    <row r="14" spans="1:29" ht="15.75"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662"/>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2110">
        <f t="shared" si="5"/>
        <v>1</v>
      </c>
    </row>
    <row r="15" spans="1:29" ht="71.25">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660" t="s">
        <v>2321</v>
      </c>
      <c r="Q15" s="1501" t="str">
        <f t="shared" si="6"/>
        <v>办公集聚程度</v>
      </c>
      <c r="R15" s="711" t="s">
        <v>17</v>
      </c>
      <c r="S15" s="712">
        <f t="shared" si="0"/>
        <v>100</v>
      </c>
      <c r="T15" s="711" t="s">
        <v>17</v>
      </c>
      <c r="U15" s="712">
        <f t="shared" si="1"/>
        <v>100</v>
      </c>
      <c r="V15" s="711" t="s">
        <v>17</v>
      </c>
      <c r="W15" s="712">
        <f t="shared" si="2"/>
        <v>100</v>
      </c>
      <c r="X15" s="1504"/>
      <c r="Y15" s="3653"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661"/>
      <c r="Q16" s="1501"/>
      <c r="R16" s="711"/>
      <c r="S16" s="712"/>
      <c r="T16" s="711"/>
      <c r="U16" s="712"/>
      <c r="V16" s="711"/>
      <c r="W16" s="712"/>
      <c r="X16" s="1504"/>
      <c r="Y16" s="3654"/>
      <c r="Z16" s="1505"/>
      <c r="AA16" s="1502">
        <v>1</v>
      </c>
      <c r="AB16" s="1502">
        <v>1</v>
      </c>
      <c r="AC16" s="2113">
        <v>1</v>
      </c>
    </row>
    <row r="17" spans="1:29" ht="71.25">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661"/>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661"/>
      <c r="Q18" s="1501"/>
      <c r="R18" s="711"/>
      <c r="S18" s="712"/>
      <c r="T18" s="711"/>
      <c r="U18" s="712"/>
      <c r="V18" s="711"/>
      <c r="W18" s="712"/>
      <c r="X18" s="1504"/>
      <c r="Y18" s="3654"/>
      <c r="Z18" s="1505"/>
      <c r="AA18" s="1502">
        <v>1</v>
      </c>
      <c r="AB18" s="1502">
        <v>1</v>
      </c>
      <c r="AC18" s="2113">
        <v>1</v>
      </c>
    </row>
    <row r="19" spans="1:29" ht="42.75">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661"/>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661"/>
      <c r="Q20" s="1501"/>
      <c r="R20" s="711"/>
      <c r="S20" s="712"/>
      <c r="T20" s="711"/>
      <c r="U20" s="712"/>
      <c r="V20" s="711"/>
      <c r="W20" s="712"/>
      <c r="X20" s="1504"/>
      <c r="Y20" s="3654"/>
      <c r="Z20" s="1505"/>
      <c r="AA20" s="1502">
        <v>1</v>
      </c>
      <c r="AB20" s="1502">
        <v>1</v>
      </c>
      <c r="AC20" s="2113">
        <v>1</v>
      </c>
    </row>
    <row r="21" spans="1:29" ht="28.5">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661"/>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661"/>
      <c r="Q22" s="1501"/>
      <c r="R22" s="711"/>
      <c r="S22" s="712"/>
      <c r="T22" s="711"/>
      <c r="U22" s="712"/>
      <c r="V22" s="711"/>
      <c r="W22" s="712"/>
      <c r="X22" s="1504"/>
      <c r="Y22" s="3654"/>
      <c r="Z22" s="1505"/>
      <c r="AA22" s="1502">
        <v>1</v>
      </c>
      <c r="AB22" s="1502">
        <v>1</v>
      </c>
      <c r="AC22" s="2113">
        <v>1</v>
      </c>
    </row>
    <row r="23" spans="1:29" ht="42.75">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661"/>
      <c r="Q23" s="1501" t="str">
        <f>B23</f>
        <v>环境质量</v>
      </c>
      <c r="R23" s="711" t="s">
        <v>17</v>
      </c>
      <c r="S23" s="712">
        <f>F23</f>
        <v>100</v>
      </c>
      <c r="T23" s="711" t="s">
        <v>17</v>
      </c>
      <c r="U23" s="712">
        <f>H23</f>
        <v>100</v>
      </c>
      <c r="V23" s="711" t="s">
        <v>17</v>
      </c>
      <c r="W23" s="712">
        <f>J23</f>
        <v>100</v>
      </c>
      <c r="X23" s="1504"/>
      <c r="Y23" s="3654"/>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661"/>
      <c r="Q24" s="1501"/>
      <c r="R24" s="711"/>
      <c r="S24" s="712"/>
      <c r="T24" s="711"/>
      <c r="U24" s="712"/>
      <c r="V24" s="711"/>
      <c r="W24" s="712"/>
      <c r="X24" s="1504"/>
      <c r="Y24" s="3654"/>
      <c r="Z24" s="1505"/>
      <c r="AA24" s="1502">
        <v>1</v>
      </c>
      <c r="AB24" s="1502">
        <v>1</v>
      </c>
      <c r="AC24" s="2113">
        <v>1</v>
      </c>
    </row>
    <row r="25" spans="1:29" ht="27">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661"/>
      <c r="Q25" s="1501" t="str">
        <f>B25</f>
        <v>毗邻道路的类型与等级</v>
      </c>
      <c r="R25" s="711" t="s">
        <v>17</v>
      </c>
      <c r="S25" s="712">
        <f>F25</f>
        <v>100</v>
      </c>
      <c r="T25" s="711" t="s">
        <v>17</v>
      </c>
      <c r="U25" s="712">
        <f>H25</f>
        <v>100</v>
      </c>
      <c r="V25" s="711" t="s">
        <v>17</v>
      </c>
      <c r="W25" s="712">
        <f>J25</f>
        <v>100</v>
      </c>
      <c r="X25" s="1504"/>
      <c r="Y25" s="3654"/>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661"/>
      <c r="Q26" s="1501"/>
      <c r="R26" s="711"/>
      <c r="S26" s="712"/>
      <c r="T26" s="711"/>
      <c r="U26" s="712"/>
      <c r="V26" s="711"/>
      <c r="W26" s="712"/>
      <c r="X26" s="1504"/>
      <c r="Y26" s="3654"/>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661"/>
      <c r="Q27" s="1501" t="str">
        <f t="shared" ref="Q27:Q47" si="11">B27</f>
        <v>楼层</v>
      </c>
      <c r="R27" s="711" t="s">
        <v>17</v>
      </c>
      <c r="S27" s="712">
        <f>F27</f>
        <v>100</v>
      </c>
      <c r="T27" s="711" t="s">
        <v>17</v>
      </c>
      <c r="U27" s="712">
        <f>H27</f>
        <v>100</v>
      </c>
      <c r="V27" s="711" t="s">
        <v>17</v>
      </c>
      <c r="W27" s="712">
        <f>J27</f>
        <v>100</v>
      </c>
      <c r="X27" s="1504"/>
      <c r="Y27" s="3654"/>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661"/>
      <c r="Q28" s="1492" t="str">
        <f t="shared" si="11"/>
        <v>朝向</v>
      </c>
      <c r="R28" s="707" t="s">
        <v>17</v>
      </c>
      <c r="S28" s="708">
        <f>F28</f>
        <v>100</v>
      </c>
      <c r="T28" s="707" t="s">
        <v>17</v>
      </c>
      <c r="U28" s="708">
        <f>H28</f>
        <v>100</v>
      </c>
      <c r="V28" s="707" t="s">
        <v>17</v>
      </c>
      <c r="W28" s="708">
        <f>J28</f>
        <v>100</v>
      </c>
      <c r="X28" s="709"/>
      <c r="Y28" s="3654"/>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661"/>
      <c r="Q29" s="1501">
        <f t="shared" si="11"/>
        <v>111</v>
      </c>
      <c r="R29" s="711" t="s">
        <v>17</v>
      </c>
      <c r="S29" s="712">
        <f t="shared" ref="S29:S47" si="12">F29</f>
        <v>100</v>
      </c>
      <c r="T29" s="711" t="s">
        <v>17</v>
      </c>
      <c r="U29" s="712">
        <f t="shared" ref="U29:U47" si="13">H29</f>
        <v>100</v>
      </c>
      <c r="V29" s="711" t="s">
        <v>17</v>
      </c>
      <c r="W29" s="712">
        <f t="shared" ref="W29:W47" si="14">J29</f>
        <v>100</v>
      </c>
      <c r="X29" s="1504"/>
      <c r="Y29" s="3654"/>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661"/>
      <c r="Q30" s="1501">
        <f t="shared" si="11"/>
        <v>111</v>
      </c>
      <c r="R30" s="711" t="s">
        <v>17</v>
      </c>
      <c r="S30" s="712">
        <f t="shared" si="12"/>
        <v>100</v>
      </c>
      <c r="T30" s="711" t="s">
        <v>17</v>
      </c>
      <c r="U30" s="712">
        <f t="shared" si="13"/>
        <v>100</v>
      </c>
      <c r="V30" s="711" t="s">
        <v>17</v>
      </c>
      <c r="W30" s="712">
        <f t="shared" si="14"/>
        <v>100</v>
      </c>
      <c r="X30" s="1504"/>
      <c r="Y30" s="3654"/>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661"/>
      <c r="Q31" s="1501">
        <f t="shared" si="11"/>
        <v>111</v>
      </c>
      <c r="R31" s="711" t="s">
        <v>17</v>
      </c>
      <c r="S31" s="712">
        <f t="shared" si="12"/>
        <v>100</v>
      </c>
      <c r="T31" s="711" t="s">
        <v>17</v>
      </c>
      <c r="U31" s="712">
        <f t="shared" si="13"/>
        <v>100</v>
      </c>
      <c r="V31" s="711" t="s">
        <v>17</v>
      </c>
      <c r="W31" s="712">
        <f t="shared" si="14"/>
        <v>100</v>
      </c>
      <c r="X31" s="1504"/>
      <c r="Y31" s="3654"/>
      <c r="Z31" s="1505">
        <f t="shared" si="15"/>
        <v>111</v>
      </c>
      <c r="AA31" s="1502">
        <f t="shared" si="3"/>
        <v>1</v>
      </c>
      <c r="AB31" s="1502">
        <f t="shared" si="4"/>
        <v>1</v>
      </c>
      <c r="AC31" s="2113">
        <f t="shared" si="5"/>
        <v>1</v>
      </c>
    </row>
    <row r="32" spans="1:29" ht="15.75"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661"/>
      <c r="Q32" s="1501">
        <f t="shared" si="11"/>
        <v>111</v>
      </c>
      <c r="R32" s="711" t="s">
        <v>17</v>
      </c>
      <c r="S32" s="712">
        <f t="shared" si="12"/>
        <v>100</v>
      </c>
      <c r="T32" s="711" t="s">
        <v>17</v>
      </c>
      <c r="U32" s="712">
        <f t="shared" si="13"/>
        <v>100</v>
      </c>
      <c r="V32" s="711" t="s">
        <v>17</v>
      </c>
      <c r="W32" s="712">
        <f t="shared" si="14"/>
        <v>100</v>
      </c>
      <c r="X32" s="1504"/>
      <c r="Y32" s="3654"/>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655" t="s">
        <v>2326</v>
      </c>
      <c r="Q33" s="1501" t="str">
        <f t="shared" si="11"/>
        <v>建筑类型</v>
      </c>
      <c r="R33" s="711" t="s">
        <v>17</v>
      </c>
      <c r="S33" s="712">
        <f t="shared" si="12"/>
        <v>100</v>
      </c>
      <c r="T33" s="711" t="s">
        <v>17</v>
      </c>
      <c r="U33" s="712">
        <f t="shared" si="13"/>
        <v>100</v>
      </c>
      <c r="V33" s="711" t="s">
        <v>17</v>
      </c>
      <c r="W33" s="712">
        <f t="shared" si="14"/>
        <v>100</v>
      </c>
      <c r="X33" s="1504"/>
      <c r="Y33" s="3658"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656"/>
      <c r="Q34" s="713" t="str">
        <f t="shared" si="11"/>
        <v>项目建筑规模</v>
      </c>
      <c r="R34" s="714" t="s">
        <v>17</v>
      </c>
      <c r="S34" s="715" t="e">
        <f t="shared" si="12"/>
        <v>#N/A</v>
      </c>
      <c r="T34" s="714" t="s">
        <v>17</v>
      </c>
      <c r="U34" s="715" t="e">
        <f t="shared" si="13"/>
        <v>#N/A</v>
      </c>
      <c r="V34" s="714" t="s">
        <v>17</v>
      </c>
      <c r="W34" s="715" t="e">
        <f t="shared" si="14"/>
        <v>#N/A</v>
      </c>
      <c r="X34" s="716"/>
      <c r="Y34" s="3658"/>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656"/>
      <c r="Q35" s="1501" t="str">
        <f t="shared" si="11"/>
        <v>建筑结构</v>
      </c>
      <c r="R35" s="711" t="s">
        <v>17</v>
      </c>
      <c r="S35" s="712">
        <f t="shared" si="12"/>
        <v>100</v>
      </c>
      <c r="T35" s="711" t="s">
        <v>17</v>
      </c>
      <c r="U35" s="712">
        <f t="shared" si="13"/>
        <v>100</v>
      </c>
      <c r="V35" s="711" t="s">
        <v>17</v>
      </c>
      <c r="W35" s="712">
        <f t="shared" si="14"/>
        <v>100</v>
      </c>
      <c r="X35" s="1504"/>
      <c r="Y35" s="3658"/>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656"/>
      <c r="Q36" s="1501" t="str">
        <f t="shared" si="11"/>
        <v>公共部分装修</v>
      </c>
      <c r="R36" s="711" t="s">
        <v>17</v>
      </c>
      <c r="S36" s="712">
        <f t="shared" si="12"/>
        <v>100</v>
      </c>
      <c r="T36" s="711" t="s">
        <v>17</v>
      </c>
      <c r="U36" s="712">
        <f t="shared" si="13"/>
        <v>100</v>
      </c>
      <c r="V36" s="711" t="s">
        <v>17</v>
      </c>
      <c r="W36" s="712">
        <f t="shared" si="14"/>
        <v>100</v>
      </c>
      <c r="X36" s="1504"/>
      <c r="Y36" s="3658"/>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656"/>
      <c r="Q37" s="1501" t="str">
        <f t="shared" si="11"/>
        <v>成新度</v>
      </c>
      <c r="R37" s="711" t="s">
        <v>17</v>
      </c>
      <c r="S37" s="712" t="e">
        <f t="shared" si="12"/>
        <v>#N/A</v>
      </c>
      <c r="T37" s="711" t="s">
        <v>17</v>
      </c>
      <c r="U37" s="712" t="e">
        <f t="shared" si="13"/>
        <v>#N/A</v>
      </c>
      <c r="V37" s="711" t="s">
        <v>17</v>
      </c>
      <c r="W37" s="712" t="e">
        <f t="shared" si="14"/>
        <v>#N/A</v>
      </c>
      <c r="X37" s="1504"/>
      <c r="Y37" s="3658"/>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656"/>
      <c r="Q38" s="1492" t="str">
        <f t="shared" si="11"/>
        <v>写字楼等级</v>
      </c>
      <c r="R38" s="707" t="s">
        <v>17</v>
      </c>
      <c r="S38" s="708">
        <f t="shared" si="12"/>
        <v>100</v>
      </c>
      <c r="T38" s="707" t="s">
        <v>17</v>
      </c>
      <c r="U38" s="708">
        <f t="shared" si="13"/>
        <v>100</v>
      </c>
      <c r="V38" s="707" t="s">
        <v>17</v>
      </c>
      <c r="W38" s="708">
        <f t="shared" si="14"/>
        <v>100</v>
      </c>
      <c r="X38" s="709"/>
      <c r="Y38" s="3658"/>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656" t="s">
        <v>2326</v>
      </c>
      <c r="Q39" s="1501" t="str">
        <f t="shared" si="11"/>
        <v>物业管理</v>
      </c>
      <c r="R39" s="711" t="s">
        <v>17</v>
      </c>
      <c r="S39" s="712">
        <f t="shared" si="12"/>
        <v>100</v>
      </c>
      <c r="T39" s="711" t="s">
        <v>17</v>
      </c>
      <c r="U39" s="712">
        <f t="shared" si="13"/>
        <v>100</v>
      </c>
      <c r="V39" s="711" t="s">
        <v>17</v>
      </c>
      <c r="W39" s="712">
        <f t="shared" si="14"/>
        <v>100</v>
      </c>
      <c r="X39" s="1504"/>
      <c r="Y39" s="3658"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656"/>
      <c r="Q40" s="1501" t="str">
        <f t="shared" si="11"/>
        <v>市政基础设施</v>
      </c>
      <c r="R40" s="711" t="s">
        <v>17</v>
      </c>
      <c r="S40" s="712">
        <f t="shared" si="12"/>
        <v>100</v>
      </c>
      <c r="T40" s="711" t="s">
        <v>17</v>
      </c>
      <c r="U40" s="712">
        <f t="shared" si="13"/>
        <v>100</v>
      </c>
      <c r="V40" s="711" t="s">
        <v>17</v>
      </c>
      <c r="W40" s="712">
        <f t="shared" si="14"/>
        <v>100</v>
      </c>
      <c r="X40" s="1504"/>
      <c r="Y40" s="3658"/>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656"/>
      <c r="Q41" s="1501" t="str">
        <f t="shared" si="11"/>
        <v>层高</v>
      </c>
      <c r="R41" s="711" t="s">
        <v>17</v>
      </c>
      <c r="S41" s="712">
        <f t="shared" si="12"/>
        <v>100</v>
      </c>
      <c r="T41" s="711" t="s">
        <v>17</v>
      </c>
      <c r="U41" s="712">
        <f t="shared" si="13"/>
        <v>100</v>
      </c>
      <c r="V41" s="711" t="s">
        <v>17</v>
      </c>
      <c r="W41" s="712">
        <f t="shared" si="14"/>
        <v>100</v>
      </c>
      <c r="X41" s="1504"/>
      <c r="Y41" s="3658"/>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656"/>
      <c r="Q42" s="713" t="str">
        <f t="shared" si="11"/>
        <v>单套建筑面积</v>
      </c>
      <c r="R42" s="714" t="s">
        <v>17</v>
      </c>
      <c r="S42" s="715">
        <f t="shared" si="12"/>
        <v>100</v>
      </c>
      <c r="T42" s="714" t="s">
        <v>17</v>
      </c>
      <c r="U42" s="715">
        <f t="shared" si="13"/>
        <v>100</v>
      </c>
      <c r="V42" s="714" t="s">
        <v>17</v>
      </c>
      <c r="W42" s="715">
        <f t="shared" si="14"/>
        <v>100</v>
      </c>
      <c r="X42" s="716"/>
      <c r="Y42" s="3658"/>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656"/>
      <c r="Q43" s="1501" t="str">
        <f t="shared" si="11"/>
        <v>内部装修</v>
      </c>
      <c r="R43" s="711" t="s">
        <v>17</v>
      </c>
      <c r="S43" s="712">
        <f t="shared" si="12"/>
        <v>100</v>
      </c>
      <c r="T43" s="711" t="s">
        <v>17</v>
      </c>
      <c r="U43" s="712">
        <f t="shared" si="13"/>
        <v>100</v>
      </c>
      <c r="V43" s="711" t="s">
        <v>17</v>
      </c>
      <c r="W43" s="712">
        <f t="shared" si="14"/>
        <v>100</v>
      </c>
      <c r="X43" s="1504"/>
      <c r="Y43" s="3658"/>
      <c r="Z43" s="1505" t="str">
        <f t="shared" si="15"/>
        <v>内部装修</v>
      </c>
      <c r="AA43" s="1502">
        <f t="shared" si="3"/>
        <v>1</v>
      </c>
      <c r="AB43" s="1502">
        <f t="shared" si="4"/>
        <v>1</v>
      </c>
      <c r="AC43" s="2113">
        <f t="shared" si="5"/>
        <v>1</v>
      </c>
    </row>
    <row r="44" spans="1:29" ht="15">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656"/>
      <c r="Q44" s="1501" t="str">
        <f t="shared" si="11"/>
        <v>内部装修维护情况</v>
      </c>
      <c r="R44" s="711" t="s">
        <v>17</v>
      </c>
      <c r="S44" s="712">
        <f t="shared" si="12"/>
        <v>100</v>
      </c>
      <c r="T44" s="711" t="s">
        <v>17</v>
      </c>
      <c r="U44" s="712">
        <f t="shared" si="13"/>
        <v>100</v>
      </c>
      <c r="V44" s="711" t="s">
        <v>17</v>
      </c>
      <c r="W44" s="712">
        <f t="shared" si="14"/>
        <v>100</v>
      </c>
      <c r="X44" s="1504"/>
      <c r="Y44" s="3658"/>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656"/>
      <c r="Q45" s="1492">
        <f t="shared" si="11"/>
        <v>111</v>
      </c>
      <c r="R45" s="707" t="s">
        <v>17</v>
      </c>
      <c r="S45" s="708">
        <f t="shared" si="12"/>
        <v>100</v>
      </c>
      <c r="T45" s="707" t="s">
        <v>17</v>
      </c>
      <c r="U45" s="708">
        <f t="shared" si="13"/>
        <v>100</v>
      </c>
      <c r="V45" s="707" t="s">
        <v>17</v>
      </c>
      <c r="W45" s="708">
        <f t="shared" si="14"/>
        <v>100</v>
      </c>
      <c r="X45" s="709"/>
      <c r="Y45" s="3658"/>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656"/>
      <c r="Q46" s="1501">
        <f t="shared" si="11"/>
        <v>111</v>
      </c>
      <c r="R46" s="711" t="s">
        <v>17</v>
      </c>
      <c r="S46" s="712">
        <f t="shared" si="12"/>
        <v>100</v>
      </c>
      <c r="T46" s="711" t="s">
        <v>17</v>
      </c>
      <c r="U46" s="712">
        <f t="shared" si="13"/>
        <v>100</v>
      </c>
      <c r="V46" s="711" t="s">
        <v>17</v>
      </c>
      <c r="W46" s="712">
        <f t="shared" si="14"/>
        <v>100</v>
      </c>
      <c r="X46" s="1504"/>
      <c r="Y46" s="3658"/>
      <c r="Z46" s="1505">
        <f t="shared" si="15"/>
        <v>111</v>
      </c>
      <c r="AA46" s="1502">
        <f t="shared" si="3"/>
        <v>1</v>
      </c>
      <c r="AB46" s="1502">
        <f t="shared" si="4"/>
        <v>1</v>
      </c>
      <c r="AC46" s="2113">
        <f t="shared" si="5"/>
        <v>1</v>
      </c>
    </row>
    <row r="47" spans="1:29" ht="15.75"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657"/>
      <c r="Q47" s="1501">
        <f t="shared" si="11"/>
        <v>111</v>
      </c>
      <c r="R47" s="711" t="s">
        <v>17</v>
      </c>
      <c r="S47" s="712">
        <f t="shared" si="12"/>
        <v>100</v>
      </c>
      <c r="T47" s="711" t="s">
        <v>17</v>
      </c>
      <c r="U47" s="712">
        <f t="shared" si="13"/>
        <v>100</v>
      </c>
      <c r="V47" s="711" t="s">
        <v>17</v>
      </c>
      <c r="W47" s="712">
        <f t="shared" si="14"/>
        <v>100</v>
      </c>
      <c r="X47" s="1504"/>
      <c r="Y47" s="3659"/>
      <c r="Z47" s="1505">
        <f t="shared" si="15"/>
        <v>111</v>
      </c>
      <c r="AA47" s="1502">
        <f t="shared" si="3"/>
        <v>1</v>
      </c>
      <c r="AB47" s="1502">
        <f t="shared" si="4"/>
        <v>1</v>
      </c>
      <c r="AC47" s="2113">
        <f t="shared" si="5"/>
        <v>1</v>
      </c>
    </row>
    <row r="48" spans="1:29" ht="15">
      <c r="A48" s="436" t="s">
        <v>2338</v>
      </c>
      <c r="B48" s="437"/>
      <c r="C48" s="1283" t="s">
        <v>1</v>
      </c>
      <c r="D48" s="1284"/>
      <c r="E48" s="1285"/>
      <c r="F48" s="1286"/>
      <c r="G48" s="1287"/>
      <c r="H48" s="1288"/>
      <c r="I48" s="1285"/>
      <c r="J48" s="442"/>
      <c r="K48" s="720"/>
      <c r="L48" s="2916"/>
      <c r="M48" s="2908"/>
      <c r="N48" s="2908"/>
      <c r="O48" s="2908"/>
      <c r="P48" s="3662" t="str">
        <f>A48</f>
        <v>成交单价（元/平方米）</v>
      </c>
      <c r="Q48" s="3651"/>
      <c r="R48" s="3652">
        <f>E48</f>
        <v>0</v>
      </c>
      <c r="S48" s="3652"/>
      <c r="T48" s="3652">
        <f>G48</f>
        <v>0</v>
      </c>
      <c r="U48" s="3652"/>
      <c r="V48" s="3652">
        <f>I48</f>
        <v>0</v>
      </c>
      <c r="W48" s="3652"/>
      <c r="X48" s="403"/>
      <c r="Y48" s="718"/>
      <c r="Z48" s="403"/>
      <c r="AA48" s="403"/>
      <c r="AB48" s="403"/>
      <c r="AC48" s="584"/>
    </row>
    <row r="49" spans="1:29" ht="15.7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662"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403"/>
      <c r="Y49" s="403"/>
      <c r="Z49" s="403"/>
      <c r="AA49" s="403"/>
      <c r="AB49" s="403"/>
      <c r="AC49" s="584"/>
    </row>
    <row r="50" spans="1:29" ht="15.75" thickBot="1">
      <c r="A50" s="447" t="s">
        <v>2431</v>
      </c>
      <c r="B50" s="448"/>
      <c r="C50" s="1292" t="e">
        <f>R50</f>
        <v>#DIV/0!</v>
      </c>
      <c r="D50" s="1292"/>
      <c r="E50" s="1292"/>
      <c r="F50" s="1292"/>
      <c r="G50" s="1292"/>
      <c r="H50" s="1292"/>
      <c r="I50" s="1292"/>
      <c r="J50" s="449"/>
      <c r="K50" s="721"/>
      <c r="L50" s="2916"/>
      <c r="M50" s="2908"/>
      <c r="N50" s="2908"/>
      <c r="O50" s="2908"/>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5">
      <c r="A59" s="460" t="s">
        <v>2309</v>
      </c>
      <c r="B59" s="461"/>
      <c r="C59" s="1313" t="str">
        <f>YEAR(C7)&amp;"-"&amp;MONTH(C7)</f>
        <v>2022-2</v>
      </c>
      <c r="D59" s="1314">
        <f>EDATE(C59,-1)</f>
        <v>44562</v>
      </c>
      <c r="E59" s="1314">
        <f>EDATE(D59,-1)</f>
        <v>44531</v>
      </c>
      <c r="F59" s="1314">
        <f t="shared" ref="F59:O59" si="16">EDATE(E59,-1)</f>
        <v>44501</v>
      </c>
      <c r="G59" s="1314">
        <f t="shared" si="16"/>
        <v>44470</v>
      </c>
      <c r="H59" s="1314">
        <f t="shared" si="16"/>
        <v>44440</v>
      </c>
      <c r="I59" s="1314">
        <f t="shared" si="16"/>
        <v>44409</v>
      </c>
      <c r="J59" s="1314">
        <f t="shared" si="16"/>
        <v>44378</v>
      </c>
      <c r="K59" s="1314">
        <f t="shared" si="16"/>
        <v>44348</v>
      </c>
      <c r="L59" s="1314">
        <f t="shared" si="16"/>
        <v>44317</v>
      </c>
      <c r="M59" s="1314">
        <f t="shared" si="16"/>
        <v>44287</v>
      </c>
      <c r="N59" s="1314">
        <f t="shared" si="16"/>
        <v>44256</v>
      </c>
      <c r="O59" s="1314">
        <f t="shared" si="16"/>
        <v>44228</v>
      </c>
      <c r="P59" s="2951"/>
      <c r="Q59" s="2933"/>
      <c r="R59" s="2933"/>
      <c r="S59" s="2933"/>
      <c r="T59" s="2933"/>
      <c r="U59" s="2933"/>
      <c r="V59" s="2933"/>
      <c r="W59" s="2933"/>
      <c r="X59" s="2933"/>
      <c r="Y59" s="2933"/>
      <c r="Z59" s="2933"/>
      <c r="AA59" s="2933"/>
      <c r="AB59" s="2933"/>
      <c r="AC59" s="2933"/>
    </row>
    <row r="60" spans="1:29" s="111" customFormat="1" ht="15">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7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5">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7.75"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5.75"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63761.02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1041"/>
      <c r="M4" s="1042"/>
      <c r="N4" s="1042"/>
      <c r="O4" s="1042"/>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1041"/>
      <c r="M5" s="1042"/>
      <c r="N5" s="1042"/>
      <c r="O5" s="1042"/>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1041"/>
      <c r="M6" s="1042"/>
      <c r="N6" s="1042"/>
      <c r="O6" s="1042"/>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SUMIF(52:52,YEAR(E7)&amp;"-"&amp;MONTH(E7),53:53)</f>
        <v>0</v>
      </c>
      <c r="G7" s="370"/>
      <c r="H7" s="369">
        <f>SUMIF(52:52,YEAR(G7)&amp;"-"&amp;MONTH(G7),53:53)</f>
        <v>0</v>
      </c>
      <c r="I7" s="370"/>
      <c r="J7" s="369">
        <f>SUMIF(52:52,YEAR(I7)&amp;"-"&amp;MONTH(I7),53:53)</f>
        <v>0</v>
      </c>
      <c r="K7" s="566"/>
      <c r="L7" s="1043"/>
      <c r="M7" s="1044"/>
      <c r="N7" s="1044"/>
      <c r="O7" s="1044"/>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688" t="s">
        <v>2313</v>
      </c>
      <c r="Q8" s="3689"/>
      <c r="R8" s="707" t="s">
        <v>17</v>
      </c>
      <c r="S8" s="708">
        <f t="shared" si="0"/>
        <v>0</v>
      </c>
      <c r="T8" s="707" t="s">
        <v>17</v>
      </c>
      <c r="U8" s="708">
        <f t="shared" si="1"/>
        <v>0</v>
      </c>
      <c r="V8" s="707" t="s">
        <v>17</v>
      </c>
      <c r="W8" s="708">
        <f t="shared" si="2"/>
        <v>0</v>
      </c>
      <c r="X8" s="709"/>
      <c r="Y8" s="3688" t="s">
        <v>2313</v>
      </c>
      <c r="Z8" s="3689"/>
      <c r="AA8" s="710" t="e">
        <f t="shared" ref="AA8:AA40" si="3">D8/F8</f>
        <v>#DIV/0!</v>
      </c>
      <c r="AB8" s="710" t="e">
        <f t="shared" ref="AB8:AB40" si="4">D8/H8</f>
        <v>#DIV/0!</v>
      </c>
      <c r="AC8" s="710" t="e">
        <f t="shared" ref="AC8:AC40" si="5">D8/J8</f>
        <v>#DIV/0!</v>
      </c>
    </row>
    <row r="9" spans="1:29" s="111"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651"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651"/>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651"/>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57">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653" t="s">
        <v>2321</v>
      </c>
      <c r="Q15" s="1501" t="str">
        <f t="shared" si="6"/>
        <v>产业集聚程度</v>
      </c>
      <c r="R15" s="711" t="s">
        <v>17</v>
      </c>
      <c r="S15" s="712">
        <f t="shared" si="0"/>
        <v>100</v>
      </c>
      <c r="T15" s="711" t="s">
        <v>17</v>
      </c>
      <c r="U15" s="712">
        <f t="shared" si="1"/>
        <v>100</v>
      </c>
      <c r="V15" s="711" t="s">
        <v>17</v>
      </c>
      <c r="W15" s="712">
        <f t="shared" si="2"/>
        <v>100</v>
      </c>
      <c r="X15" s="1504"/>
      <c r="Y15" s="3653"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654"/>
      <c r="Q16" s="1501"/>
      <c r="R16" s="711"/>
      <c r="S16" s="712"/>
      <c r="T16" s="711"/>
      <c r="U16" s="712"/>
      <c r="V16" s="711"/>
      <c r="W16" s="712"/>
      <c r="X16" s="1504"/>
      <c r="Y16" s="3654"/>
      <c r="Z16" s="1505"/>
      <c r="AA16" s="1502">
        <v>1</v>
      </c>
      <c r="AB16" s="1502">
        <v>1</v>
      </c>
      <c r="AC16" s="1502">
        <v>1</v>
      </c>
    </row>
    <row r="17" spans="1:29" ht="85.5">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654"/>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654"/>
      <c r="Q18" s="1501"/>
      <c r="R18" s="711"/>
      <c r="S18" s="712"/>
      <c r="T18" s="711"/>
      <c r="U18" s="712"/>
      <c r="V18" s="711"/>
      <c r="W18" s="712"/>
      <c r="X18" s="1504"/>
      <c r="Y18" s="3654"/>
      <c r="Z18" s="1505"/>
      <c r="AA18" s="1502">
        <v>1</v>
      </c>
      <c r="AB18" s="1502">
        <v>1</v>
      </c>
      <c r="AC18" s="1502">
        <v>1</v>
      </c>
    </row>
    <row r="19" spans="1:29" ht="42.75">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654"/>
      <c r="Q19" s="1501" t="str">
        <f>B19</f>
        <v>公共配套设施</v>
      </c>
      <c r="R19" s="711" t="s">
        <v>17</v>
      </c>
      <c r="S19" s="712">
        <f>F19</f>
        <v>100</v>
      </c>
      <c r="T19" s="711" t="s">
        <v>17</v>
      </c>
      <c r="U19" s="712">
        <f>H19</f>
        <v>100</v>
      </c>
      <c r="V19" s="711" t="s">
        <v>17</v>
      </c>
      <c r="W19" s="712">
        <f>J19</f>
        <v>100</v>
      </c>
      <c r="X19" s="1504"/>
      <c r="Y19" s="3654"/>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654"/>
      <c r="Q20" s="1501"/>
      <c r="R20" s="711"/>
      <c r="S20" s="712"/>
      <c r="T20" s="711"/>
      <c r="U20" s="712"/>
      <c r="V20" s="711"/>
      <c r="W20" s="712"/>
      <c r="X20" s="1504"/>
      <c r="Y20" s="3654"/>
      <c r="Z20" s="1505"/>
      <c r="AA20" s="1502">
        <v>1</v>
      </c>
      <c r="AB20" s="1502">
        <v>1</v>
      </c>
      <c r="AC20" s="1502">
        <v>1</v>
      </c>
    </row>
    <row r="21" spans="1:29" ht="28.5">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654"/>
      <c r="Q21" s="1501" t="str">
        <f>B21</f>
        <v>基础设施水平</v>
      </c>
      <c r="R21" s="711" t="s">
        <v>17</v>
      </c>
      <c r="S21" s="712">
        <f>F21</f>
        <v>100</v>
      </c>
      <c r="T21" s="711" t="s">
        <v>17</v>
      </c>
      <c r="U21" s="712">
        <f>H21</f>
        <v>100</v>
      </c>
      <c r="V21" s="711" t="s">
        <v>17</v>
      </c>
      <c r="W21" s="712">
        <f>J21</f>
        <v>100</v>
      </c>
      <c r="X21" s="1504"/>
      <c r="Y21" s="3654"/>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654"/>
      <c r="Q22" s="1501"/>
      <c r="R22" s="711"/>
      <c r="S22" s="712"/>
      <c r="T22" s="711"/>
      <c r="U22" s="712"/>
      <c r="V22" s="711"/>
      <c r="W22" s="712"/>
      <c r="X22" s="1504"/>
      <c r="Y22" s="3654"/>
      <c r="Z22" s="1505"/>
      <c r="AA22" s="1502">
        <v>1</v>
      </c>
      <c r="AB22" s="1502">
        <v>1</v>
      </c>
      <c r="AC22" s="1502">
        <v>1</v>
      </c>
    </row>
    <row r="23" spans="1:29" ht="71.25">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654"/>
      <c r="Q23" s="1501" t="str">
        <f>B23</f>
        <v>环境质量</v>
      </c>
      <c r="R23" s="711" t="s">
        <v>17</v>
      </c>
      <c r="S23" s="712">
        <f>F23</f>
        <v>100</v>
      </c>
      <c r="T23" s="711" t="s">
        <v>17</v>
      </c>
      <c r="U23" s="712">
        <f>H23</f>
        <v>100</v>
      </c>
      <c r="V23" s="711" t="s">
        <v>17</v>
      </c>
      <c r="W23" s="712">
        <f>J23</f>
        <v>100</v>
      </c>
      <c r="X23" s="1504"/>
      <c r="Y23" s="3654"/>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654"/>
      <c r="Q24" s="1501"/>
      <c r="R24" s="711"/>
      <c r="S24" s="712"/>
      <c r="T24" s="711"/>
      <c r="U24" s="712"/>
      <c r="V24" s="711"/>
      <c r="W24" s="712"/>
      <c r="X24" s="1504"/>
      <c r="Y24" s="3654"/>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654"/>
      <c r="Q25" s="1501">
        <f>B25</f>
        <v>111</v>
      </c>
      <c r="R25" s="711" t="s">
        <v>17</v>
      </c>
      <c r="S25" s="712">
        <f>F25</f>
        <v>100</v>
      </c>
      <c r="T25" s="711" t="s">
        <v>17</v>
      </c>
      <c r="U25" s="712">
        <f>H25</f>
        <v>100</v>
      </c>
      <c r="V25" s="711" t="s">
        <v>17</v>
      </c>
      <c r="W25" s="712">
        <f>J25</f>
        <v>100</v>
      </c>
      <c r="X25" s="1504"/>
      <c r="Y25" s="3654"/>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654"/>
      <c r="Q26" s="1501">
        <f t="shared" ref="Q26:Q40" si="11">B26</f>
        <v>111</v>
      </c>
      <c r="R26" s="711" t="s">
        <v>17</v>
      </c>
      <c r="S26" s="712">
        <f>F26</f>
        <v>100</v>
      </c>
      <c r="T26" s="711" t="s">
        <v>17</v>
      </c>
      <c r="U26" s="712">
        <f>H26</f>
        <v>100</v>
      </c>
      <c r="V26" s="711" t="s">
        <v>17</v>
      </c>
      <c r="W26" s="712">
        <f>J26</f>
        <v>100</v>
      </c>
      <c r="X26" s="1504"/>
      <c r="Y26" s="3654"/>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654"/>
      <c r="Q27" s="1492">
        <f t="shared" si="11"/>
        <v>111</v>
      </c>
      <c r="R27" s="707" t="s">
        <v>17</v>
      </c>
      <c r="S27" s="708">
        <f>F27</f>
        <v>100</v>
      </c>
      <c r="T27" s="707" t="s">
        <v>17</v>
      </c>
      <c r="U27" s="708">
        <f>H27</f>
        <v>100</v>
      </c>
      <c r="V27" s="707" t="s">
        <v>17</v>
      </c>
      <c r="W27" s="708">
        <f>J27</f>
        <v>100</v>
      </c>
      <c r="X27" s="709"/>
      <c r="Y27" s="3654"/>
      <c r="Z27" s="55">
        <f>Q27</f>
        <v>111</v>
      </c>
      <c r="AA27" s="1502">
        <f>D27/F27</f>
        <v>1</v>
      </c>
      <c r="AB27" s="1502">
        <f>D27/H27</f>
        <v>1</v>
      </c>
      <c r="AC27" s="1502">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654"/>
      <c r="Q28" s="1501">
        <f t="shared" si="11"/>
        <v>111</v>
      </c>
      <c r="R28" s="711" t="s">
        <v>17</v>
      </c>
      <c r="S28" s="712">
        <f t="shared" ref="S28:S40" si="12">F28</f>
        <v>100</v>
      </c>
      <c r="T28" s="711" t="s">
        <v>17</v>
      </c>
      <c r="U28" s="712">
        <f t="shared" ref="U28:U40" si="13">H28</f>
        <v>100</v>
      </c>
      <c r="V28" s="711" t="s">
        <v>17</v>
      </c>
      <c r="W28" s="712">
        <f t="shared" ref="W28:W40" si="14">J28</f>
        <v>100</v>
      </c>
      <c r="X28" s="1504"/>
      <c r="Y28" s="3654"/>
      <c r="Z28" s="1505">
        <f t="shared" ref="Z28:Z40" si="15">Q28</f>
        <v>111</v>
      </c>
      <c r="AA28" s="1502">
        <f t="shared" si="3"/>
        <v>1</v>
      </c>
      <c r="AB28" s="1502">
        <f t="shared" si="4"/>
        <v>1</v>
      </c>
      <c r="AC28" s="1502">
        <f t="shared" si="5"/>
        <v>1</v>
      </c>
    </row>
    <row r="29" spans="1:29" ht="28.5">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710" t="s">
        <v>2326</v>
      </c>
      <c r="Q29" s="1501" t="str">
        <f t="shared" si="11"/>
        <v>建筑类型</v>
      </c>
      <c r="R29" s="711" t="s">
        <v>17</v>
      </c>
      <c r="S29" s="712">
        <f t="shared" si="12"/>
        <v>100</v>
      </c>
      <c r="T29" s="711" t="s">
        <v>17</v>
      </c>
      <c r="U29" s="712">
        <f t="shared" si="13"/>
        <v>100</v>
      </c>
      <c r="V29" s="711" t="s">
        <v>17</v>
      </c>
      <c r="W29" s="712">
        <f t="shared" si="14"/>
        <v>100</v>
      </c>
      <c r="X29" s="1504"/>
      <c r="Y29" s="3658"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658"/>
      <c r="Q30" s="713" t="str">
        <f t="shared" si="11"/>
        <v>项目建筑规模</v>
      </c>
      <c r="R30" s="714" t="s">
        <v>17</v>
      </c>
      <c r="S30" s="715" t="e">
        <f t="shared" si="12"/>
        <v>#N/A</v>
      </c>
      <c r="T30" s="714" t="s">
        <v>17</v>
      </c>
      <c r="U30" s="715" t="e">
        <f t="shared" si="13"/>
        <v>#N/A</v>
      </c>
      <c r="V30" s="714" t="s">
        <v>17</v>
      </c>
      <c r="W30" s="715" t="e">
        <f t="shared" si="14"/>
        <v>#N/A</v>
      </c>
      <c r="X30" s="716"/>
      <c r="Y30" s="3658"/>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658"/>
      <c r="Q31" s="1501" t="str">
        <f t="shared" si="11"/>
        <v>建筑结构</v>
      </c>
      <c r="R31" s="711" t="s">
        <v>17</v>
      </c>
      <c r="S31" s="712">
        <f t="shared" si="12"/>
        <v>100</v>
      </c>
      <c r="T31" s="711" t="s">
        <v>17</v>
      </c>
      <c r="U31" s="712">
        <f t="shared" si="13"/>
        <v>100</v>
      </c>
      <c r="V31" s="711" t="s">
        <v>17</v>
      </c>
      <c r="W31" s="712">
        <f t="shared" si="14"/>
        <v>100</v>
      </c>
      <c r="X31" s="1504"/>
      <c r="Y31" s="3658"/>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658"/>
      <c r="Q32" s="1501" t="str">
        <f t="shared" si="11"/>
        <v>公共部分装修</v>
      </c>
      <c r="R32" s="711" t="s">
        <v>17</v>
      </c>
      <c r="S32" s="712">
        <f t="shared" si="12"/>
        <v>100</v>
      </c>
      <c r="T32" s="711" t="s">
        <v>17</v>
      </c>
      <c r="U32" s="712">
        <f t="shared" si="13"/>
        <v>100</v>
      </c>
      <c r="V32" s="711" t="s">
        <v>17</v>
      </c>
      <c r="W32" s="712">
        <f t="shared" si="14"/>
        <v>100</v>
      </c>
      <c r="X32" s="1504"/>
      <c r="Y32" s="3658"/>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658"/>
      <c r="Q33" s="1501" t="str">
        <f t="shared" si="11"/>
        <v>成新度</v>
      </c>
      <c r="R33" s="711" t="s">
        <v>17</v>
      </c>
      <c r="S33" s="712" t="e">
        <f t="shared" si="12"/>
        <v>#N/A</v>
      </c>
      <c r="T33" s="711" t="s">
        <v>17</v>
      </c>
      <c r="U33" s="712" t="e">
        <f t="shared" si="13"/>
        <v>#N/A</v>
      </c>
      <c r="V33" s="711" t="s">
        <v>17</v>
      </c>
      <c r="W33" s="712" t="e">
        <f t="shared" si="14"/>
        <v>#N/A</v>
      </c>
      <c r="X33" s="1504"/>
      <c r="Y33" s="3658"/>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658"/>
      <c r="Q34" s="1492" t="str">
        <f t="shared" si="11"/>
        <v>物业管理</v>
      </c>
      <c r="R34" s="707" t="s">
        <v>17</v>
      </c>
      <c r="S34" s="708">
        <f t="shared" si="12"/>
        <v>100</v>
      </c>
      <c r="T34" s="707" t="s">
        <v>17</v>
      </c>
      <c r="U34" s="708">
        <f t="shared" si="13"/>
        <v>100</v>
      </c>
      <c r="V34" s="707" t="s">
        <v>17</v>
      </c>
      <c r="W34" s="708">
        <f t="shared" si="14"/>
        <v>100</v>
      </c>
      <c r="X34" s="709"/>
      <c r="Y34" s="3658"/>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658" t="s">
        <v>2326</v>
      </c>
      <c r="Q35" s="1501" t="str">
        <f t="shared" si="11"/>
        <v>市政基础设施</v>
      </c>
      <c r="R35" s="711" t="s">
        <v>17</v>
      </c>
      <c r="S35" s="712">
        <f t="shared" si="12"/>
        <v>100</v>
      </c>
      <c r="T35" s="711" t="s">
        <v>17</v>
      </c>
      <c r="U35" s="712">
        <f t="shared" si="13"/>
        <v>100</v>
      </c>
      <c r="V35" s="711" t="s">
        <v>17</v>
      </c>
      <c r="W35" s="712">
        <f t="shared" si="14"/>
        <v>100</v>
      </c>
      <c r="X35" s="1504"/>
      <c r="Y35" s="3658"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658"/>
      <c r="Q36" s="1501" t="str">
        <f t="shared" si="11"/>
        <v>内部装修</v>
      </c>
      <c r="R36" s="711" t="s">
        <v>17</v>
      </c>
      <c r="S36" s="712">
        <f t="shared" si="12"/>
        <v>100</v>
      </c>
      <c r="T36" s="711" t="s">
        <v>17</v>
      </c>
      <c r="U36" s="712">
        <f t="shared" si="13"/>
        <v>100</v>
      </c>
      <c r="V36" s="711" t="s">
        <v>17</v>
      </c>
      <c r="W36" s="712">
        <f t="shared" si="14"/>
        <v>100</v>
      </c>
      <c r="X36" s="1504"/>
      <c r="Y36" s="3658"/>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658"/>
      <c r="Q37" s="1501" t="str">
        <f t="shared" si="11"/>
        <v>内部装修状况</v>
      </c>
      <c r="R37" s="711" t="s">
        <v>17</v>
      </c>
      <c r="S37" s="712">
        <f t="shared" si="12"/>
        <v>100</v>
      </c>
      <c r="T37" s="711" t="s">
        <v>17</v>
      </c>
      <c r="U37" s="712">
        <f t="shared" si="13"/>
        <v>100</v>
      </c>
      <c r="V37" s="711" t="s">
        <v>17</v>
      </c>
      <c r="W37" s="712">
        <f t="shared" si="14"/>
        <v>100</v>
      </c>
      <c r="X37" s="1504"/>
      <c r="Y37" s="3658"/>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658"/>
      <c r="Q38" s="713">
        <f t="shared" si="11"/>
        <v>111</v>
      </c>
      <c r="R38" s="714" t="s">
        <v>17</v>
      </c>
      <c r="S38" s="715">
        <f t="shared" si="12"/>
        <v>100</v>
      </c>
      <c r="T38" s="714" t="s">
        <v>17</v>
      </c>
      <c r="U38" s="715">
        <f t="shared" si="13"/>
        <v>100</v>
      </c>
      <c r="V38" s="714" t="s">
        <v>17</v>
      </c>
      <c r="W38" s="715">
        <f t="shared" si="14"/>
        <v>100</v>
      </c>
      <c r="X38" s="716"/>
      <c r="Y38" s="3658"/>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658"/>
      <c r="Q39" s="1501">
        <f t="shared" si="11"/>
        <v>111</v>
      </c>
      <c r="R39" s="711" t="s">
        <v>17</v>
      </c>
      <c r="S39" s="712">
        <f t="shared" si="12"/>
        <v>100</v>
      </c>
      <c r="T39" s="711" t="s">
        <v>17</v>
      </c>
      <c r="U39" s="712">
        <f t="shared" si="13"/>
        <v>100</v>
      </c>
      <c r="V39" s="711" t="s">
        <v>17</v>
      </c>
      <c r="W39" s="712">
        <f t="shared" si="14"/>
        <v>100</v>
      </c>
      <c r="X39" s="1504"/>
      <c r="Y39" s="3658"/>
      <c r="Z39" s="1505">
        <f t="shared" si="15"/>
        <v>111</v>
      </c>
      <c r="AA39" s="1502">
        <f t="shared" si="3"/>
        <v>1</v>
      </c>
      <c r="AB39" s="1502">
        <f t="shared" si="4"/>
        <v>1</v>
      </c>
      <c r="AC39" s="1502">
        <f t="shared" si="5"/>
        <v>1</v>
      </c>
    </row>
    <row r="40" spans="1:29" ht="15.75"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659"/>
      <c r="Q40" s="1501">
        <f t="shared" si="11"/>
        <v>111</v>
      </c>
      <c r="R40" s="711" t="s">
        <v>17</v>
      </c>
      <c r="S40" s="712">
        <f t="shared" si="12"/>
        <v>100</v>
      </c>
      <c r="T40" s="711" t="s">
        <v>17</v>
      </c>
      <c r="U40" s="712">
        <f t="shared" si="13"/>
        <v>100</v>
      </c>
      <c r="V40" s="711" t="s">
        <v>17</v>
      </c>
      <c r="W40" s="712">
        <f t="shared" si="14"/>
        <v>100</v>
      </c>
      <c r="X40" s="1504"/>
      <c r="Y40" s="3659"/>
      <c r="Z40" s="1505">
        <f t="shared" si="15"/>
        <v>111</v>
      </c>
      <c r="AA40" s="1502">
        <f t="shared" si="3"/>
        <v>1</v>
      </c>
      <c r="AB40" s="1502">
        <f t="shared" si="4"/>
        <v>1</v>
      </c>
      <c r="AC40" s="1502">
        <f t="shared" si="5"/>
        <v>1</v>
      </c>
    </row>
    <row r="41" spans="1:29" ht="15">
      <c r="A41" s="436" t="s">
        <v>2338</v>
      </c>
      <c r="B41" s="437"/>
      <c r="C41" s="1283" t="s">
        <v>1</v>
      </c>
      <c r="D41" s="1284"/>
      <c r="E41" s="1285"/>
      <c r="F41" s="1286"/>
      <c r="G41" s="1287"/>
      <c r="H41" s="1288"/>
      <c r="I41" s="1285"/>
      <c r="J41" s="1288"/>
      <c r="K41" s="720"/>
      <c r="L41" s="1054"/>
      <c r="M41" s="1055"/>
      <c r="N41" s="1042"/>
      <c r="O41" s="1055"/>
      <c r="P41" s="3651" t="str">
        <f>A41</f>
        <v>成交单价（元/平方米）</v>
      </c>
      <c r="Q41" s="3651"/>
      <c r="R41" s="3652">
        <f>E41</f>
        <v>0</v>
      </c>
      <c r="S41" s="3652"/>
      <c r="T41" s="3652">
        <f>G41</f>
        <v>0</v>
      </c>
      <c r="U41" s="3652"/>
      <c r="V41" s="3652">
        <f>I41</f>
        <v>0</v>
      </c>
      <c r="W41" s="3652"/>
      <c r="X41" s="696"/>
      <c r="Y41" s="718"/>
      <c r="Z41" s="696"/>
      <c r="AA41" s="696"/>
      <c r="AB41" s="696"/>
      <c r="AC41" s="696"/>
    </row>
    <row r="42" spans="1:29" ht="15.7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6"/>
      <c r="Y42" s="696"/>
      <c r="Z42" s="696"/>
      <c r="AA42" s="696"/>
      <c r="AB42" s="696"/>
      <c r="AC42" s="696"/>
    </row>
    <row r="43" spans="1:29" ht="15.75" thickBot="1">
      <c r="A43" s="447" t="s">
        <v>2431</v>
      </c>
      <c r="B43" s="448"/>
      <c r="C43" s="1292" t="e">
        <f>R43</f>
        <v>#DIV/0!</v>
      </c>
      <c r="D43" s="1292"/>
      <c r="E43" s="1292"/>
      <c r="F43" s="1292"/>
      <c r="G43" s="1292"/>
      <c r="H43" s="1292"/>
      <c r="I43" s="1292"/>
      <c r="J43" s="1292"/>
      <c r="K43" s="721"/>
      <c r="L43" s="1054"/>
      <c r="M43" s="1055"/>
      <c r="N43" s="1055"/>
      <c r="O43" s="1055"/>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1.75" thickBot="1">
      <c r="A51" s="700" t="s">
        <v>2435</v>
      </c>
      <c r="B51" s="696"/>
      <c r="C51" s="701"/>
      <c r="D51" s="701"/>
      <c r="E51" s="701"/>
      <c r="F51" s="702"/>
      <c r="G51" s="702"/>
      <c r="H51" s="701"/>
      <c r="I51" s="701"/>
      <c r="J51" s="701"/>
      <c r="K51" s="1069"/>
      <c r="L51" s="1070"/>
      <c r="M51" s="1068"/>
      <c r="N51" s="1068"/>
      <c r="O51" s="1068"/>
      <c r="P51" s="458"/>
      <c r="Q51" s="459"/>
    </row>
    <row r="52" spans="1:17" s="463" customFormat="1" ht="15">
      <c r="A52" s="460" t="s">
        <v>2309</v>
      </c>
      <c r="B52" s="461"/>
      <c r="C52" s="1313" t="str">
        <f>YEAR(C7)&amp;"-"&amp;MONTH(C7)</f>
        <v>2022-2</v>
      </c>
      <c r="D52" s="1314">
        <f>EDATE(C52,-1)</f>
        <v>44562</v>
      </c>
      <c r="E52" s="1314">
        <f t="shared" ref="E52:O52" si="16">EDATE(D52,-1)</f>
        <v>44531</v>
      </c>
      <c r="F52" s="1314">
        <f t="shared" si="16"/>
        <v>44501</v>
      </c>
      <c r="G52" s="1314">
        <f t="shared" si="16"/>
        <v>44470</v>
      </c>
      <c r="H52" s="1314">
        <f t="shared" si="16"/>
        <v>44440</v>
      </c>
      <c r="I52" s="1314">
        <f t="shared" si="16"/>
        <v>44409</v>
      </c>
      <c r="J52" s="1314">
        <f t="shared" si="16"/>
        <v>44378</v>
      </c>
      <c r="K52" s="1314">
        <f t="shared" si="16"/>
        <v>44348</v>
      </c>
      <c r="L52" s="1314">
        <f t="shared" si="16"/>
        <v>44317</v>
      </c>
      <c r="M52" s="1314">
        <f t="shared" si="16"/>
        <v>44287</v>
      </c>
      <c r="N52" s="1314">
        <f t="shared" si="16"/>
        <v>44256</v>
      </c>
      <c r="O52" s="1314">
        <f t="shared" si="16"/>
        <v>44228</v>
      </c>
      <c r="P52" s="462"/>
    </row>
    <row r="53" spans="1:17" s="111" customFormat="1" ht="15">
      <c r="A53" s="464"/>
      <c r="B53" s="465"/>
      <c r="C53" s="1312">
        <v>100</v>
      </c>
      <c r="D53" s="467"/>
      <c r="E53" s="467"/>
      <c r="F53" s="467"/>
      <c r="G53" s="467"/>
      <c r="H53" s="467"/>
      <c r="I53" s="467"/>
      <c r="J53" s="467"/>
      <c r="K53" s="467"/>
      <c r="L53" s="467"/>
      <c r="M53" s="468"/>
      <c r="N53" s="467"/>
      <c r="O53" s="469"/>
      <c r="P53" s="459"/>
    </row>
    <row r="54" spans="1:17" s="111" customFormat="1" ht="15.75" thickBot="1">
      <c r="A54" s="470" t="s">
        <v>2346</v>
      </c>
      <c r="B54" s="471"/>
      <c r="C54" s="472"/>
      <c r="D54" s="473"/>
      <c r="E54" s="473"/>
      <c r="F54" s="473"/>
      <c r="G54" s="473"/>
      <c r="H54" s="473"/>
      <c r="I54" s="473"/>
      <c r="J54" s="473"/>
      <c r="K54" s="473"/>
      <c r="L54" s="473"/>
      <c r="M54" s="474"/>
      <c r="N54" s="2962"/>
      <c r="O54" s="2963"/>
      <c r="P54" s="459"/>
      <c r="Q54" s="459"/>
    </row>
    <row r="55" spans="1:17" s="111" customFormat="1" ht="15">
      <c r="A55" s="476" t="s">
        <v>2311</v>
      </c>
      <c r="B55" s="465"/>
      <c r="C55" s="477" t="s">
        <v>2413</v>
      </c>
      <c r="D55" s="478"/>
      <c r="E55" s="478"/>
      <c r="F55" s="478"/>
      <c r="G55" s="478"/>
      <c r="H55" s="478"/>
      <c r="I55" s="478"/>
      <c r="J55" s="478"/>
      <c r="K55" s="478"/>
      <c r="L55" s="479"/>
      <c r="M55" s="480"/>
      <c r="N55" s="1060"/>
      <c r="O55" s="1060"/>
      <c r="P55" s="481"/>
      <c r="Q55" s="459"/>
    </row>
    <row r="56" spans="1:17" s="111"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2349</v>
      </c>
      <c r="B57" s="483" t="s">
        <v>2315</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5.75" thickTop="1">
      <c r="A80" s="534"/>
      <c r="B80" s="493">
        <f>B25</f>
        <v>111</v>
      </c>
      <c r="C80" s="509"/>
      <c r="D80" s="509"/>
      <c r="E80" s="509"/>
      <c r="F80" s="509"/>
      <c r="G80" s="509"/>
      <c r="H80" s="509"/>
      <c r="I80" s="509"/>
      <c r="J80" s="509"/>
      <c r="K80" s="509"/>
      <c r="L80" s="535"/>
      <c r="M80" s="536"/>
      <c r="N80" s="1060"/>
      <c r="O80" s="1060"/>
      <c r="P80" s="45"/>
      <c r="Q80" s="459"/>
    </row>
    <row r="81" spans="1:17" s="111" customFormat="1" ht="15.75" thickBot="1">
      <c r="A81" s="534"/>
      <c r="B81" s="498"/>
      <c r="C81" s="515"/>
      <c r="D81" s="491"/>
      <c r="E81" s="491"/>
      <c r="F81" s="491"/>
      <c r="G81" s="491"/>
      <c r="H81" s="491"/>
      <c r="I81" s="491"/>
      <c r="J81" s="491"/>
      <c r="K81" s="491"/>
      <c r="L81" s="491"/>
      <c r="M81" s="492"/>
      <c r="N81" s="1062"/>
      <c r="O81" s="1062"/>
      <c r="P81" s="45"/>
      <c r="Q81" s="459"/>
    </row>
    <row r="82" spans="1:17" s="111" customFormat="1" ht="15.75" thickTop="1">
      <c r="A82" s="534"/>
      <c r="B82" s="493">
        <f>B26</f>
        <v>111</v>
      </c>
      <c r="C82" s="509"/>
      <c r="D82" s="509"/>
      <c r="E82" s="509"/>
      <c r="F82" s="509"/>
      <c r="G82" s="509"/>
      <c r="H82" s="509"/>
      <c r="I82" s="509"/>
      <c r="J82" s="509"/>
      <c r="K82" s="509"/>
      <c r="L82" s="535"/>
      <c r="M82" s="536"/>
      <c r="N82" s="1060"/>
      <c r="O82" s="1060"/>
      <c r="P82" s="45"/>
      <c r="Q82" s="459"/>
    </row>
    <row r="83" spans="1:17" s="111"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079"/>
      <c r="B87" s="524"/>
      <c r="C87" s="525"/>
      <c r="D87" s="525"/>
      <c r="E87" s="525"/>
      <c r="F87" s="525"/>
      <c r="G87" s="546"/>
      <c r="H87" s="546"/>
      <c r="I87" s="546"/>
      <c r="J87" s="546"/>
      <c r="K87" s="546"/>
      <c r="L87" s="546"/>
      <c r="M87" s="547"/>
      <c r="N87" s="1062"/>
      <c r="O87" s="1062"/>
      <c r="P87" s="45"/>
      <c r="Q87" s="459"/>
    </row>
    <row r="88" spans="1:17">
      <c r="A88" s="482" t="s">
        <v>2324</v>
      </c>
      <c r="B88" s="483" t="s">
        <v>2373</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SUMIF(48:48,YEAR(E7)&amp;"-"&amp;MONTH(E7),49:49)</f>
        <v>0</v>
      </c>
      <c r="G7" s="370"/>
      <c r="H7" s="369">
        <f>SUMIF(48:48,YEAR(G7)&amp;"-"&amp;MONTH(G7),49:49)</f>
        <v>0</v>
      </c>
      <c r="I7" s="370"/>
      <c r="J7" s="369">
        <f>SUMIF(48:48,YEAR(I7)&amp;"-"&amp;MONTH(I7),49:49)</f>
        <v>0</v>
      </c>
      <c r="K7" s="566"/>
      <c r="L7" s="2909"/>
      <c r="M7" s="2910"/>
      <c r="N7" s="2910"/>
      <c r="O7" s="2910"/>
      <c r="P7" s="3688" t="s">
        <v>2310</v>
      </c>
      <c r="Q7" s="3690"/>
      <c r="R7" s="707" t="s">
        <v>17</v>
      </c>
      <c r="S7" s="708">
        <f t="shared" ref="S7:S14" si="0">F7</f>
        <v>0</v>
      </c>
      <c r="T7" s="707" t="s">
        <v>17</v>
      </c>
      <c r="U7" s="708">
        <f t="shared" ref="U7:U14" si="1">H7</f>
        <v>0</v>
      </c>
      <c r="V7" s="707" t="s">
        <v>17</v>
      </c>
      <c r="W7" s="708">
        <f t="shared" ref="W7:W14"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36" si="3">D8/F8</f>
        <v>#DIV/0!</v>
      </c>
      <c r="AB8" s="710" t="e">
        <f t="shared" ref="AB8:AB36" si="4">D8/H8</f>
        <v>#DIV/0!</v>
      </c>
      <c r="AC8" s="710" t="e">
        <f t="shared" ref="AC8:AC36" si="5">D8/J8</f>
        <v>#DIV/0!</v>
      </c>
    </row>
    <row r="9" spans="1:29" s="111"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651" t="s">
        <v>2316</v>
      </c>
      <c r="Q9" s="1492" t="str">
        <f t="shared" ref="Q9:Q14" si="6">B9</f>
        <v>用途</v>
      </c>
      <c r="R9" s="707" t="s">
        <v>17</v>
      </c>
      <c r="S9" s="708">
        <f t="shared" si="0"/>
        <v>100</v>
      </c>
      <c r="T9" s="707" t="s">
        <v>17</v>
      </c>
      <c r="U9" s="708">
        <f t="shared" si="1"/>
        <v>100</v>
      </c>
      <c r="V9" s="707" t="s">
        <v>17</v>
      </c>
      <c r="W9" s="708">
        <f t="shared" si="2"/>
        <v>100</v>
      </c>
      <c r="X9" s="709"/>
      <c r="Y9" s="3663" t="s">
        <v>2317</v>
      </c>
      <c r="Z9" s="55" t="str">
        <f t="shared" ref="Z9:Z14" si="7">Q9</f>
        <v>用途</v>
      </c>
      <c r="AA9" s="710">
        <f t="shared" si="3"/>
        <v>1</v>
      </c>
      <c r="AB9" s="710">
        <f t="shared" si="4"/>
        <v>1</v>
      </c>
      <c r="AC9" s="710">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651"/>
      <c r="Q11" s="1492">
        <f t="shared" si="6"/>
        <v>111</v>
      </c>
      <c r="R11" s="707" t="s">
        <v>17</v>
      </c>
      <c r="S11" s="708">
        <f t="shared" si="0"/>
        <v>100</v>
      </c>
      <c r="T11" s="707" t="s">
        <v>17</v>
      </c>
      <c r="U11" s="708">
        <f t="shared" si="1"/>
        <v>100</v>
      </c>
      <c r="V11" s="707" t="s">
        <v>17</v>
      </c>
      <c r="W11" s="708">
        <f t="shared" si="2"/>
        <v>100</v>
      </c>
      <c r="X11" s="709"/>
      <c r="Y11" s="3663"/>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85.5">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653" t="s">
        <v>2321</v>
      </c>
      <c r="Q14" s="1501" t="str">
        <f t="shared" si="6"/>
        <v>交通便捷度</v>
      </c>
      <c r="R14" s="711" t="s">
        <v>17</v>
      </c>
      <c r="S14" s="712">
        <f t="shared" si="0"/>
        <v>100</v>
      </c>
      <c r="T14" s="711" t="s">
        <v>17</v>
      </c>
      <c r="U14" s="712">
        <f t="shared" si="1"/>
        <v>100</v>
      </c>
      <c r="V14" s="711" t="s">
        <v>17</v>
      </c>
      <c r="W14" s="712">
        <f t="shared" si="2"/>
        <v>100</v>
      </c>
      <c r="X14" s="1504"/>
      <c r="Y14" s="3653"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654"/>
      <c r="Q15" s="1501"/>
      <c r="R15" s="711"/>
      <c r="S15" s="712"/>
      <c r="T15" s="711"/>
      <c r="U15" s="712"/>
      <c r="V15" s="711"/>
      <c r="W15" s="712"/>
      <c r="X15" s="1504"/>
      <c r="Y15" s="3654"/>
      <c r="Z15" s="1505"/>
      <c r="AA15" s="1502">
        <v>1</v>
      </c>
      <c r="AB15" s="1502">
        <v>1</v>
      </c>
      <c r="AC15" s="1502">
        <v>1</v>
      </c>
    </row>
    <row r="16" spans="1:29" ht="42.75">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654"/>
      <c r="Q16" s="1501" t="str">
        <f>B16</f>
        <v>公共配套设施</v>
      </c>
      <c r="R16" s="711" t="s">
        <v>17</v>
      </c>
      <c r="S16" s="712">
        <f>F16</f>
        <v>100</v>
      </c>
      <c r="T16" s="711" t="s">
        <v>17</v>
      </c>
      <c r="U16" s="712">
        <f>H16</f>
        <v>100</v>
      </c>
      <c r="V16" s="711" t="s">
        <v>17</v>
      </c>
      <c r="W16" s="712">
        <f>J16</f>
        <v>100</v>
      </c>
      <c r="X16" s="1504"/>
      <c r="Y16" s="3654"/>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654"/>
      <c r="Q17" s="1501"/>
      <c r="R17" s="711"/>
      <c r="S17" s="712"/>
      <c r="T17" s="711"/>
      <c r="U17" s="712"/>
      <c r="V17" s="711"/>
      <c r="W17" s="712"/>
      <c r="X17" s="1504"/>
      <c r="Y17" s="3654"/>
      <c r="Z17" s="1505"/>
      <c r="AA17" s="1502">
        <v>1</v>
      </c>
      <c r="AB17" s="1502">
        <v>1</v>
      </c>
      <c r="AC17" s="1502">
        <v>1</v>
      </c>
    </row>
    <row r="18" spans="1:29" ht="28.5">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654"/>
      <c r="Q18" s="1501" t="str">
        <f>B18</f>
        <v>基础设施水平</v>
      </c>
      <c r="R18" s="711" t="s">
        <v>17</v>
      </c>
      <c r="S18" s="712">
        <f>F18</f>
        <v>100</v>
      </c>
      <c r="T18" s="711" t="s">
        <v>17</v>
      </c>
      <c r="U18" s="712">
        <f>H18</f>
        <v>100</v>
      </c>
      <c r="V18" s="711" t="s">
        <v>17</v>
      </c>
      <c r="W18" s="712">
        <f>J18</f>
        <v>100</v>
      </c>
      <c r="X18" s="1504"/>
      <c r="Y18" s="3654"/>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654"/>
      <c r="Q19" s="1501"/>
      <c r="R19" s="711"/>
      <c r="S19" s="712"/>
      <c r="T19" s="711"/>
      <c r="U19" s="712"/>
      <c r="V19" s="711"/>
      <c r="W19" s="712"/>
      <c r="X19" s="1504"/>
      <c r="Y19" s="3654"/>
      <c r="Z19" s="1505"/>
      <c r="AA19" s="1502">
        <v>1</v>
      </c>
      <c r="AB19" s="1502">
        <v>1</v>
      </c>
      <c r="AC19" s="1502">
        <v>1</v>
      </c>
    </row>
    <row r="20" spans="1:29" ht="57">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654"/>
      <c r="Q20" s="1501" t="str">
        <f>B20</f>
        <v>自然及人文环境</v>
      </c>
      <c r="R20" s="711" t="s">
        <v>17</v>
      </c>
      <c r="S20" s="712">
        <f>F20</f>
        <v>100</v>
      </c>
      <c r="T20" s="711" t="s">
        <v>17</v>
      </c>
      <c r="U20" s="712">
        <f>H20</f>
        <v>100</v>
      </c>
      <c r="V20" s="711" t="s">
        <v>17</v>
      </c>
      <c r="W20" s="712">
        <f>J20</f>
        <v>100</v>
      </c>
      <c r="X20" s="1504"/>
      <c r="Y20" s="3654"/>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654"/>
      <c r="Q21" s="1501"/>
      <c r="R21" s="711"/>
      <c r="S21" s="712"/>
      <c r="T21" s="711"/>
      <c r="U21" s="712"/>
      <c r="V21" s="711"/>
      <c r="W21" s="712"/>
      <c r="X21" s="1504"/>
      <c r="Y21" s="3654"/>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654"/>
      <c r="Q22" s="1501" t="str">
        <f>B22</f>
        <v>楼层</v>
      </c>
      <c r="R22" s="711" t="s">
        <v>17</v>
      </c>
      <c r="S22" s="712">
        <f>F22</f>
        <v>100</v>
      </c>
      <c r="T22" s="711" t="s">
        <v>17</v>
      </c>
      <c r="U22" s="712">
        <f>H22</f>
        <v>100</v>
      </c>
      <c r="V22" s="711" t="s">
        <v>17</v>
      </c>
      <c r="W22" s="712">
        <f>J22</f>
        <v>100</v>
      </c>
      <c r="X22" s="1504"/>
      <c r="Y22" s="3654"/>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654"/>
      <c r="Q23" s="1501">
        <f>B23</f>
        <v>111</v>
      </c>
      <c r="R23" s="711" t="s">
        <v>17</v>
      </c>
      <c r="S23" s="712">
        <f>F23</f>
        <v>100</v>
      </c>
      <c r="T23" s="711" t="s">
        <v>17</v>
      </c>
      <c r="U23" s="712">
        <f>H23</f>
        <v>100</v>
      </c>
      <c r="V23" s="711" t="s">
        <v>17</v>
      </c>
      <c r="W23" s="712">
        <f>J23</f>
        <v>100</v>
      </c>
      <c r="X23" s="1504"/>
      <c r="Y23" s="3654"/>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654"/>
      <c r="Q24" s="1501">
        <f t="shared" ref="Q24:Q36" si="11">B24</f>
        <v>111</v>
      </c>
      <c r="R24" s="711" t="s">
        <v>17</v>
      </c>
      <c r="S24" s="712">
        <f>F24</f>
        <v>100</v>
      </c>
      <c r="T24" s="711" t="s">
        <v>17</v>
      </c>
      <c r="U24" s="712">
        <f>H24</f>
        <v>100</v>
      </c>
      <c r="V24" s="711" t="s">
        <v>17</v>
      </c>
      <c r="W24" s="712">
        <f>J24</f>
        <v>100</v>
      </c>
      <c r="X24" s="1504"/>
      <c r="Y24" s="3654"/>
      <c r="Z24" s="1505">
        <f>Q24</f>
        <v>111</v>
      </c>
      <c r="AA24" s="1502">
        <f t="shared" si="3"/>
        <v>1</v>
      </c>
      <c r="AB24" s="1502">
        <f t="shared" si="4"/>
        <v>1</v>
      </c>
      <c r="AC24" s="1502">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654"/>
      <c r="Q25" s="1492">
        <f t="shared" si="11"/>
        <v>111</v>
      </c>
      <c r="R25" s="707" t="s">
        <v>17</v>
      </c>
      <c r="S25" s="708">
        <f>F25</f>
        <v>100</v>
      </c>
      <c r="T25" s="707" t="s">
        <v>17</v>
      </c>
      <c r="U25" s="708">
        <f>H25</f>
        <v>100</v>
      </c>
      <c r="V25" s="707" t="s">
        <v>17</v>
      </c>
      <c r="W25" s="708">
        <f>J25</f>
        <v>100</v>
      </c>
      <c r="X25" s="709"/>
      <c r="Y25" s="3654"/>
      <c r="Z25" s="55">
        <f>Q25</f>
        <v>111</v>
      </c>
      <c r="AA25" s="1502">
        <f>D25/F25</f>
        <v>1</v>
      </c>
      <c r="AB25" s="1502">
        <f>D25/H25</f>
        <v>1</v>
      </c>
      <c r="AC25" s="1502">
        <f>D25/J25</f>
        <v>1</v>
      </c>
    </row>
    <row r="26" spans="1:29" ht="28.5">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710"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658"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658"/>
      <c r="Q27" s="713" t="str">
        <f t="shared" si="11"/>
        <v>项目停车位配比</v>
      </c>
      <c r="R27" s="714" t="s">
        <v>17</v>
      </c>
      <c r="S27" s="715">
        <f t="shared" si="12"/>
        <v>100</v>
      </c>
      <c r="T27" s="714" t="s">
        <v>17</v>
      </c>
      <c r="U27" s="715">
        <f t="shared" si="13"/>
        <v>100</v>
      </c>
      <c r="V27" s="714" t="s">
        <v>17</v>
      </c>
      <c r="W27" s="715">
        <f t="shared" si="14"/>
        <v>100</v>
      </c>
      <c r="X27" s="716"/>
      <c r="Y27" s="3658"/>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658"/>
      <c r="Q28" s="1501" t="str">
        <f t="shared" si="11"/>
        <v>公共部分装修</v>
      </c>
      <c r="R28" s="711" t="s">
        <v>17</v>
      </c>
      <c r="S28" s="712">
        <f t="shared" si="12"/>
        <v>100</v>
      </c>
      <c r="T28" s="711" t="s">
        <v>17</v>
      </c>
      <c r="U28" s="712">
        <f t="shared" si="13"/>
        <v>100</v>
      </c>
      <c r="V28" s="711" t="s">
        <v>17</v>
      </c>
      <c r="W28" s="712">
        <f t="shared" si="14"/>
        <v>100</v>
      </c>
      <c r="X28" s="1504"/>
      <c r="Y28" s="3658"/>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658"/>
      <c r="Q29" s="1501" t="str">
        <f t="shared" si="11"/>
        <v>成新率</v>
      </c>
      <c r="R29" s="711" t="s">
        <v>17</v>
      </c>
      <c r="S29" s="712" t="e">
        <f t="shared" si="12"/>
        <v>#N/A</v>
      </c>
      <c r="T29" s="711" t="s">
        <v>17</v>
      </c>
      <c r="U29" s="712" t="e">
        <f t="shared" si="13"/>
        <v>#N/A</v>
      </c>
      <c r="V29" s="711" t="s">
        <v>17</v>
      </c>
      <c r="W29" s="712" t="e">
        <f t="shared" si="14"/>
        <v>#N/A</v>
      </c>
      <c r="X29" s="1504"/>
      <c r="Y29" s="3658"/>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658"/>
      <c r="Q30" s="1501" t="str">
        <f t="shared" si="11"/>
        <v>物业等级</v>
      </c>
      <c r="R30" s="711" t="s">
        <v>17</v>
      </c>
      <c r="S30" s="712">
        <f t="shared" si="12"/>
        <v>100</v>
      </c>
      <c r="T30" s="711" t="s">
        <v>17</v>
      </c>
      <c r="U30" s="712">
        <f t="shared" si="13"/>
        <v>100</v>
      </c>
      <c r="V30" s="711" t="s">
        <v>17</v>
      </c>
      <c r="W30" s="712">
        <f t="shared" si="14"/>
        <v>100</v>
      </c>
      <c r="X30" s="1504"/>
      <c r="Y30" s="3658"/>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658"/>
      <c r="Q31" s="1492" t="str">
        <f t="shared" si="11"/>
        <v>停车位面积</v>
      </c>
      <c r="R31" s="707" t="s">
        <v>17</v>
      </c>
      <c r="S31" s="708" t="e">
        <f t="shared" si="12"/>
        <v>#N/A</v>
      </c>
      <c r="T31" s="707" t="s">
        <v>17</v>
      </c>
      <c r="U31" s="708" t="e">
        <f t="shared" si="13"/>
        <v>#N/A</v>
      </c>
      <c r="V31" s="707" t="s">
        <v>17</v>
      </c>
      <c r="W31" s="708" t="e">
        <f t="shared" si="14"/>
        <v>#N/A</v>
      </c>
      <c r="X31" s="709"/>
      <c r="Y31" s="3658"/>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658" t="s">
        <v>2326</v>
      </c>
      <c r="Q32" s="1501" t="str">
        <f t="shared" si="11"/>
        <v>车位类型</v>
      </c>
      <c r="R32" s="711" t="s">
        <v>17</v>
      </c>
      <c r="S32" s="712">
        <f t="shared" si="12"/>
        <v>100</v>
      </c>
      <c r="T32" s="711" t="s">
        <v>17</v>
      </c>
      <c r="U32" s="712">
        <f t="shared" si="13"/>
        <v>100</v>
      </c>
      <c r="V32" s="711" t="s">
        <v>17</v>
      </c>
      <c r="W32" s="712">
        <f t="shared" si="14"/>
        <v>100</v>
      </c>
      <c r="X32" s="1504"/>
      <c r="Y32" s="3658"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658"/>
      <c r="Q33" s="1501" t="str">
        <f t="shared" si="11"/>
        <v>是否直接入户</v>
      </c>
      <c r="R33" s="711" t="s">
        <v>17</v>
      </c>
      <c r="S33" s="712">
        <f t="shared" si="12"/>
        <v>100</v>
      </c>
      <c r="T33" s="711" t="s">
        <v>17</v>
      </c>
      <c r="U33" s="712">
        <f t="shared" si="13"/>
        <v>100</v>
      </c>
      <c r="V33" s="711" t="s">
        <v>17</v>
      </c>
      <c r="W33" s="712">
        <f t="shared" si="14"/>
        <v>100</v>
      </c>
      <c r="X33" s="1504"/>
      <c r="Y33" s="3658"/>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658"/>
      <c r="Q34" s="1501">
        <f t="shared" si="11"/>
        <v>111</v>
      </c>
      <c r="R34" s="711" t="s">
        <v>17</v>
      </c>
      <c r="S34" s="712">
        <f t="shared" si="12"/>
        <v>100</v>
      </c>
      <c r="T34" s="711" t="s">
        <v>17</v>
      </c>
      <c r="U34" s="712">
        <f t="shared" si="13"/>
        <v>100</v>
      </c>
      <c r="V34" s="711" t="s">
        <v>17</v>
      </c>
      <c r="W34" s="712">
        <f t="shared" si="14"/>
        <v>100</v>
      </c>
      <c r="X34" s="1504"/>
      <c r="Y34" s="3658"/>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658"/>
      <c r="Q35" s="713">
        <f t="shared" si="11"/>
        <v>111</v>
      </c>
      <c r="R35" s="714" t="s">
        <v>17</v>
      </c>
      <c r="S35" s="715">
        <f t="shared" si="12"/>
        <v>100</v>
      </c>
      <c r="T35" s="714" t="s">
        <v>17</v>
      </c>
      <c r="U35" s="715">
        <f t="shared" si="13"/>
        <v>100</v>
      </c>
      <c r="V35" s="714" t="s">
        <v>17</v>
      </c>
      <c r="W35" s="715">
        <f t="shared" si="14"/>
        <v>100</v>
      </c>
      <c r="X35" s="716"/>
      <c r="Y35" s="3658"/>
      <c r="Z35" s="717">
        <f t="shared" si="15"/>
        <v>111</v>
      </c>
      <c r="AA35" s="1502">
        <f t="shared" si="3"/>
        <v>1</v>
      </c>
      <c r="AB35" s="1502">
        <f t="shared" si="4"/>
        <v>1</v>
      </c>
      <c r="AC35" s="1502">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658"/>
      <c r="Q36" s="1501">
        <f t="shared" si="11"/>
        <v>111</v>
      </c>
      <c r="R36" s="711" t="s">
        <v>17</v>
      </c>
      <c r="S36" s="712">
        <f t="shared" si="12"/>
        <v>100</v>
      </c>
      <c r="T36" s="711" t="s">
        <v>17</v>
      </c>
      <c r="U36" s="712">
        <f t="shared" si="13"/>
        <v>100</v>
      </c>
      <c r="V36" s="711" t="s">
        <v>17</v>
      </c>
      <c r="W36" s="712">
        <f t="shared" si="14"/>
        <v>100</v>
      </c>
      <c r="X36" s="1504"/>
      <c r="Y36" s="3658"/>
      <c r="Z36" s="1505">
        <f t="shared" si="15"/>
        <v>111</v>
      </c>
      <c r="AA36" s="1502">
        <f t="shared" si="3"/>
        <v>1</v>
      </c>
      <c r="AB36" s="1502">
        <f t="shared" si="4"/>
        <v>1</v>
      </c>
      <c r="AC36" s="1502">
        <f t="shared" si="5"/>
        <v>1</v>
      </c>
    </row>
    <row r="37" spans="1:29" ht="15">
      <c r="A37" s="436" t="s">
        <v>2481</v>
      </c>
      <c r="B37" s="2124" t="s">
        <v>2482</v>
      </c>
      <c r="C37" s="1283" t="s">
        <v>1</v>
      </c>
      <c r="D37" s="1284"/>
      <c r="E37" s="1285"/>
      <c r="F37" s="1286"/>
      <c r="G37" s="1287"/>
      <c r="H37" s="1288"/>
      <c r="I37" s="1285"/>
      <c r="J37" s="1288"/>
      <c r="K37" s="574"/>
      <c r="L37" s="2916"/>
      <c r="M37" s="2917"/>
      <c r="N37" s="2908"/>
      <c r="O37" s="2917"/>
      <c r="P37" s="3651" t="str">
        <f>A37</f>
        <v>成交单价</v>
      </c>
      <c r="Q37" s="3651"/>
      <c r="R37" s="3652">
        <f>E37</f>
        <v>0</v>
      </c>
      <c r="S37" s="3652"/>
      <c r="T37" s="3652">
        <f>G37</f>
        <v>0</v>
      </c>
      <c r="U37" s="3652"/>
      <c r="V37" s="3652">
        <f>I37</f>
        <v>0</v>
      </c>
      <c r="W37" s="3652"/>
      <c r="X37" s="696"/>
      <c r="Y37" s="718"/>
      <c r="Z37" s="696"/>
      <c r="AA37" s="696"/>
      <c r="AB37" s="696"/>
      <c r="AC37" s="696"/>
    </row>
    <row r="38" spans="1:29" ht="15.7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6"/>
      <c r="Y38" s="696"/>
      <c r="Z38" s="696"/>
      <c r="AA38" s="696"/>
      <c r="AB38" s="696"/>
      <c r="AC38" s="696"/>
    </row>
    <row r="39" spans="1:29" ht="15.75" thickBot="1">
      <c r="A39" s="447" t="s">
        <v>2484</v>
      </c>
      <c r="B39" s="448"/>
      <c r="C39" s="1292" t="e">
        <f>R39</f>
        <v>#DIV/0!</v>
      </c>
      <c r="D39" s="1292"/>
      <c r="E39" s="1292"/>
      <c r="F39" s="1292"/>
      <c r="G39" s="1292"/>
      <c r="H39" s="1292"/>
      <c r="I39" s="1292"/>
      <c r="J39" s="1292"/>
      <c r="K39" s="575"/>
      <c r="L39" s="2916"/>
      <c r="M39" s="2917"/>
      <c r="N39" s="2917"/>
      <c r="O39" s="2917"/>
      <c r="P39" s="3648" t="str">
        <f>A39</f>
        <v>估价对象XX用房的比较价值（楼面单价，元/平方米）</v>
      </c>
      <c r="Q39" s="3649"/>
      <c r="R39" s="3711" t="e">
        <f>IF(F1="售价",ROUND(IF(D38="简单平均",AVERAGE(R38:W38),R38*F38+T38*H38+V38*J38),0),ROUND(IF(D38="简单平均",AVERAGE(R38:V38),R38*F38+T38*H38+V38*J38),1))</f>
        <v>#DIV/0!</v>
      </c>
      <c r="S39" s="3711"/>
      <c r="T39" s="3711"/>
      <c r="U39" s="3711"/>
      <c r="V39" s="3711"/>
      <c r="W39" s="3711"/>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5">
      <c r="A48" s="460" t="s">
        <v>2489</v>
      </c>
      <c r="B48" s="461"/>
      <c r="C48" s="1313" t="str">
        <f>YEAR(C7)&amp;"-"&amp;MONTH(C7)</f>
        <v>2022-2</v>
      </c>
      <c r="D48" s="1314">
        <f>EDATE(C48,-1)</f>
        <v>44562</v>
      </c>
      <c r="E48" s="1314">
        <f t="shared" ref="E48:O48" si="16">EDATE(D48,-1)</f>
        <v>44531</v>
      </c>
      <c r="F48" s="1314">
        <f t="shared" si="16"/>
        <v>44501</v>
      </c>
      <c r="G48" s="1314">
        <f t="shared" si="16"/>
        <v>44470</v>
      </c>
      <c r="H48" s="1314">
        <f t="shared" si="16"/>
        <v>44440</v>
      </c>
      <c r="I48" s="1314">
        <f t="shared" si="16"/>
        <v>44409</v>
      </c>
      <c r="J48" s="1314">
        <f t="shared" si="16"/>
        <v>44378</v>
      </c>
      <c r="K48" s="1314">
        <f t="shared" si="16"/>
        <v>44348</v>
      </c>
      <c r="L48" s="1314">
        <f t="shared" si="16"/>
        <v>44317</v>
      </c>
      <c r="M48" s="1314">
        <f t="shared" si="16"/>
        <v>44287</v>
      </c>
      <c r="N48" s="1314">
        <f t="shared" si="16"/>
        <v>44256</v>
      </c>
      <c r="O48" s="1314">
        <f t="shared" si="16"/>
        <v>44228</v>
      </c>
      <c r="P48" s="2951"/>
      <c r="Q48" s="2933"/>
      <c r="R48" s="2933"/>
      <c r="S48" s="2933"/>
      <c r="T48" s="2933"/>
      <c r="U48" s="2933"/>
      <c r="V48" s="2933"/>
      <c r="W48" s="2933"/>
      <c r="X48" s="2933"/>
      <c r="Y48" s="2933"/>
      <c r="Z48" s="2933"/>
      <c r="AA48" s="2933"/>
      <c r="AB48" s="2933"/>
      <c r="AC48" s="2933"/>
    </row>
    <row r="49" spans="1:29" s="111"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7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5">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684" t="s">
        <v>2307</v>
      </c>
      <c r="D6" s="3685"/>
      <c r="E6" s="3691" t="s">
        <v>2307</v>
      </c>
      <c r="F6" s="3692"/>
      <c r="G6" s="3684" t="s">
        <v>2307</v>
      </c>
      <c r="H6" s="3685"/>
      <c r="I6" s="3684" t="s">
        <v>2307</v>
      </c>
      <c r="J6" s="3685"/>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688" t="s">
        <v>2310</v>
      </c>
      <c r="Q7" s="3690"/>
      <c r="R7" s="707" t="s">
        <v>17</v>
      </c>
      <c r="S7" s="708">
        <f t="shared" ref="S7:S14" si="0">F7</f>
        <v>0</v>
      </c>
      <c r="T7" s="707" t="s">
        <v>17</v>
      </c>
      <c r="U7" s="708">
        <f t="shared" ref="U7:U14" si="1">H7</f>
        <v>0</v>
      </c>
      <c r="V7" s="707" t="s">
        <v>17</v>
      </c>
      <c r="W7" s="708">
        <f t="shared" ref="W7:W14" si="2">J7</f>
        <v>0</v>
      </c>
      <c r="X7" s="709"/>
      <c r="Y7" s="3688" t="s">
        <v>2310</v>
      </c>
      <c r="Z7" s="3689"/>
      <c r="AA7" s="710" t="e">
        <f>D7/F7</f>
        <v>#DIV/0!</v>
      </c>
      <c r="AB7" s="710" t="e">
        <f>D7/H7</f>
        <v>#DIV/0!</v>
      </c>
      <c r="AC7" s="710" t="e">
        <f>D7/J7</f>
        <v>#DIV/0!</v>
      </c>
    </row>
    <row r="8" spans="1:29" s="111"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34" si="3">D8/F8</f>
        <v>#DIV/0!</v>
      </c>
      <c r="AB8" s="710" t="e">
        <f t="shared" ref="AB8:AB34" si="4">D8/H8</f>
        <v>#DIV/0!</v>
      </c>
      <c r="AC8" s="710" t="e">
        <f t="shared" ref="AC8:AC34" si="5">D8/J8</f>
        <v>#DIV/0!</v>
      </c>
    </row>
    <row r="9" spans="1:29" s="111"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651" t="s">
        <v>2316</v>
      </c>
      <c r="Q9" s="1492" t="str">
        <f t="shared" ref="Q9:Q14" si="6">B9</f>
        <v>用途</v>
      </c>
      <c r="R9" s="707" t="s">
        <v>17</v>
      </c>
      <c r="S9" s="708">
        <f t="shared" si="0"/>
        <v>100</v>
      </c>
      <c r="T9" s="707" t="s">
        <v>17</v>
      </c>
      <c r="U9" s="708">
        <f t="shared" si="1"/>
        <v>100</v>
      </c>
      <c r="V9" s="707" t="s">
        <v>17</v>
      </c>
      <c r="W9" s="708">
        <f t="shared" si="2"/>
        <v>100</v>
      </c>
      <c r="X9" s="709"/>
      <c r="Y9" s="3663" t="s">
        <v>2317</v>
      </c>
      <c r="Z9" s="55" t="str">
        <f t="shared" ref="Z9:Z14" si="7">Q9</f>
        <v>用途</v>
      </c>
      <c r="AA9" s="710">
        <f t="shared" si="3"/>
        <v>1</v>
      </c>
      <c r="AB9" s="710">
        <f t="shared" si="4"/>
        <v>1</v>
      </c>
      <c r="AC9" s="710">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651"/>
      <c r="Q11" s="1492">
        <f t="shared" si="6"/>
        <v>111</v>
      </c>
      <c r="R11" s="707" t="s">
        <v>17</v>
      </c>
      <c r="S11" s="708">
        <f t="shared" si="0"/>
        <v>100</v>
      </c>
      <c r="T11" s="707" t="s">
        <v>17</v>
      </c>
      <c r="U11" s="708">
        <f t="shared" si="1"/>
        <v>100</v>
      </c>
      <c r="V11" s="707" t="s">
        <v>17</v>
      </c>
      <c r="W11" s="708">
        <f t="shared" si="2"/>
        <v>100</v>
      </c>
      <c r="X11" s="709"/>
      <c r="Y11" s="3663"/>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75"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85.5">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653" t="s">
        <v>2321</v>
      </c>
      <c r="Q14" s="1501" t="str">
        <f t="shared" si="6"/>
        <v>交通便捷度</v>
      </c>
      <c r="R14" s="711" t="s">
        <v>17</v>
      </c>
      <c r="S14" s="712">
        <f t="shared" si="0"/>
        <v>100</v>
      </c>
      <c r="T14" s="711" t="s">
        <v>17</v>
      </c>
      <c r="U14" s="712">
        <f t="shared" si="1"/>
        <v>100</v>
      </c>
      <c r="V14" s="711" t="s">
        <v>17</v>
      </c>
      <c r="W14" s="712">
        <f t="shared" si="2"/>
        <v>100</v>
      </c>
      <c r="X14" s="1504"/>
      <c r="Y14" s="3653"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654"/>
      <c r="Q15" s="1501"/>
      <c r="R15" s="711"/>
      <c r="S15" s="712"/>
      <c r="T15" s="711"/>
      <c r="U15" s="712"/>
      <c r="V15" s="711"/>
      <c r="W15" s="712"/>
      <c r="X15" s="1504"/>
      <c r="Y15" s="3654"/>
      <c r="Z15" s="1505"/>
      <c r="AA15" s="1502">
        <v>1</v>
      </c>
      <c r="AB15" s="1502">
        <v>1</v>
      </c>
      <c r="AC15" s="1502">
        <v>1</v>
      </c>
    </row>
    <row r="16" spans="1:29" ht="42.75">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654"/>
      <c r="Q16" s="1501" t="str">
        <f>B16</f>
        <v>公共配套设施</v>
      </c>
      <c r="R16" s="711" t="s">
        <v>17</v>
      </c>
      <c r="S16" s="712">
        <f>F16</f>
        <v>100</v>
      </c>
      <c r="T16" s="711" t="s">
        <v>17</v>
      </c>
      <c r="U16" s="712">
        <f>H16</f>
        <v>100</v>
      </c>
      <c r="V16" s="711" t="s">
        <v>17</v>
      </c>
      <c r="W16" s="712">
        <f>J16</f>
        <v>100</v>
      </c>
      <c r="X16" s="1504"/>
      <c r="Y16" s="3654"/>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654"/>
      <c r="Q17" s="1501"/>
      <c r="R17" s="711"/>
      <c r="S17" s="712"/>
      <c r="T17" s="711"/>
      <c r="U17" s="712"/>
      <c r="V17" s="711"/>
      <c r="W17" s="712"/>
      <c r="X17" s="1504"/>
      <c r="Y17" s="3654"/>
      <c r="Z17" s="1505"/>
      <c r="AA17" s="1502">
        <v>1</v>
      </c>
      <c r="AB17" s="1502">
        <v>1</v>
      </c>
      <c r="AC17" s="1502">
        <v>1</v>
      </c>
    </row>
    <row r="18" spans="1:29" ht="28.5">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654"/>
      <c r="Q18" s="1501" t="str">
        <f>B18</f>
        <v>基础设施水平</v>
      </c>
      <c r="R18" s="711" t="s">
        <v>17</v>
      </c>
      <c r="S18" s="712">
        <f>F18</f>
        <v>100</v>
      </c>
      <c r="T18" s="711" t="s">
        <v>17</v>
      </c>
      <c r="U18" s="712">
        <f>H18</f>
        <v>100</v>
      </c>
      <c r="V18" s="711" t="s">
        <v>17</v>
      </c>
      <c r="W18" s="712">
        <f>J18</f>
        <v>100</v>
      </c>
      <c r="X18" s="1504"/>
      <c r="Y18" s="3654"/>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654"/>
      <c r="Q19" s="1501"/>
      <c r="R19" s="711"/>
      <c r="S19" s="712"/>
      <c r="T19" s="711"/>
      <c r="U19" s="712"/>
      <c r="V19" s="711"/>
      <c r="W19" s="712"/>
      <c r="X19" s="1504"/>
      <c r="Y19" s="3654"/>
      <c r="Z19" s="1505"/>
      <c r="AA19" s="1502">
        <v>1</v>
      </c>
      <c r="AB19" s="1502">
        <v>1</v>
      </c>
      <c r="AC19" s="1502">
        <v>1</v>
      </c>
    </row>
    <row r="20" spans="1:29" ht="57">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654"/>
      <c r="Q20" s="1501" t="str">
        <f>B20</f>
        <v>自然及人文环境</v>
      </c>
      <c r="R20" s="711" t="s">
        <v>17</v>
      </c>
      <c r="S20" s="712">
        <f>F20</f>
        <v>100</v>
      </c>
      <c r="T20" s="711" t="s">
        <v>17</v>
      </c>
      <c r="U20" s="712">
        <f>H20</f>
        <v>100</v>
      </c>
      <c r="V20" s="711" t="s">
        <v>17</v>
      </c>
      <c r="W20" s="712">
        <f>J20</f>
        <v>100</v>
      </c>
      <c r="X20" s="1504"/>
      <c r="Y20" s="3654"/>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654"/>
      <c r="Q21" s="1501"/>
      <c r="R21" s="711"/>
      <c r="S21" s="712"/>
      <c r="T21" s="711"/>
      <c r="U21" s="712"/>
      <c r="V21" s="711"/>
      <c r="W21" s="712"/>
      <c r="X21" s="1504"/>
      <c r="Y21" s="3654"/>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654"/>
      <c r="Q22" s="1501" t="str">
        <f>B22</f>
        <v>楼层</v>
      </c>
      <c r="R22" s="711" t="s">
        <v>17</v>
      </c>
      <c r="S22" s="712">
        <f>F22</f>
        <v>100</v>
      </c>
      <c r="T22" s="711" t="s">
        <v>17</v>
      </c>
      <c r="U22" s="712">
        <f>H22</f>
        <v>100</v>
      </c>
      <c r="V22" s="711" t="s">
        <v>17</v>
      </c>
      <c r="W22" s="712">
        <f>J22</f>
        <v>100</v>
      </c>
      <c r="X22" s="1504"/>
      <c r="Y22" s="3654"/>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654"/>
      <c r="Q23" s="1501">
        <f>B23</f>
        <v>111</v>
      </c>
      <c r="R23" s="711" t="s">
        <v>17</v>
      </c>
      <c r="S23" s="712">
        <f>F23</f>
        <v>100</v>
      </c>
      <c r="T23" s="711" t="s">
        <v>17</v>
      </c>
      <c r="U23" s="712">
        <f>H23</f>
        <v>100</v>
      </c>
      <c r="V23" s="711" t="s">
        <v>17</v>
      </c>
      <c r="W23" s="712">
        <f>J23</f>
        <v>100</v>
      </c>
      <c r="X23" s="1504"/>
      <c r="Y23" s="3654"/>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654"/>
      <c r="Q24" s="1501">
        <f t="shared" ref="Q24:Q34" si="11">B24</f>
        <v>111</v>
      </c>
      <c r="R24" s="711" t="s">
        <v>17</v>
      </c>
      <c r="S24" s="712">
        <f>F24</f>
        <v>100</v>
      </c>
      <c r="T24" s="711" t="s">
        <v>17</v>
      </c>
      <c r="U24" s="712">
        <f>H24</f>
        <v>100</v>
      </c>
      <c r="V24" s="711" t="s">
        <v>17</v>
      </c>
      <c r="W24" s="712">
        <f>J24</f>
        <v>100</v>
      </c>
      <c r="X24" s="1504"/>
      <c r="Y24" s="3654"/>
      <c r="Z24" s="1505">
        <f>Q24</f>
        <v>111</v>
      </c>
      <c r="AA24" s="1502">
        <f t="shared" si="3"/>
        <v>1</v>
      </c>
      <c r="AB24" s="1502">
        <f t="shared" si="4"/>
        <v>1</v>
      </c>
      <c r="AC24" s="1502">
        <f t="shared" si="5"/>
        <v>1</v>
      </c>
    </row>
    <row r="25" spans="1:29" s="111" customFormat="1" ht="15.75"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654"/>
      <c r="Q25" s="1492">
        <f t="shared" si="11"/>
        <v>111</v>
      </c>
      <c r="R25" s="707" t="s">
        <v>17</v>
      </c>
      <c r="S25" s="708">
        <f>F25</f>
        <v>100</v>
      </c>
      <c r="T25" s="707" t="s">
        <v>17</v>
      </c>
      <c r="U25" s="708">
        <f>H25</f>
        <v>100</v>
      </c>
      <c r="V25" s="707" t="s">
        <v>17</v>
      </c>
      <c r="W25" s="708">
        <f>J25</f>
        <v>100</v>
      </c>
      <c r="X25" s="709"/>
      <c r="Y25" s="3654"/>
      <c r="Z25" s="55">
        <f>Q25</f>
        <v>111</v>
      </c>
      <c r="AA25" s="1502">
        <f>D25/F25</f>
        <v>1</v>
      </c>
      <c r="AB25" s="1502">
        <f>D25/H25</f>
        <v>1</v>
      </c>
      <c r="AC25" s="1502">
        <f>D25/J25</f>
        <v>1</v>
      </c>
    </row>
    <row r="26" spans="1:29" ht="28.5">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710"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658"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658"/>
      <c r="Q27" s="713" t="str">
        <f t="shared" si="11"/>
        <v>成新率</v>
      </c>
      <c r="R27" s="714" t="s">
        <v>17</v>
      </c>
      <c r="S27" s="715" t="e">
        <f t="shared" si="12"/>
        <v>#N/A</v>
      </c>
      <c r="T27" s="714" t="s">
        <v>17</v>
      </c>
      <c r="U27" s="715" t="e">
        <f t="shared" si="13"/>
        <v>#N/A</v>
      </c>
      <c r="V27" s="714" t="s">
        <v>17</v>
      </c>
      <c r="W27" s="715" t="e">
        <f t="shared" si="14"/>
        <v>#N/A</v>
      </c>
      <c r="X27" s="716"/>
      <c r="Y27" s="3658"/>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658"/>
      <c r="Q28" s="1501" t="str">
        <f t="shared" si="11"/>
        <v>物业等级</v>
      </c>
      <c r="R28" s="711" t="s">
        <v>17</v>
      </c>
      <c r="S28" s="712">
        <f t="shared" si="12"/>
        <v>100</v>
      </c>
      <c r="T28" s="711" t="s">
        <v>17</v>
      </c>
      <c r="U28" s="712">
        <f t="shared" si="13"/>
        <v>100</v>
      </c>
      <c r="V28" s="711" t="s">
        <v>17</v>
      </c>
      <c r="W28" s="712">
        <f t="shared" si="14"/>
        <v>100</v>
      </c>
      <c r="X28" s="1504"/>
      <c r="Y28" s="3658"/>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658"/>
      <c r="Q29" s="1501" t="str">
        <f t="shared" si="11"/>
        <v>有无电梯</v>
      </c>
      <c r="R29" s="711" t="s">
        <v>17</v>
      </c>
      <c r="S29" s="712">
        <f t="shared" si="12"/>
        <v>100</v>
      </c>
      <c r="T29" s="711" t="s">
        <v>17</v>
      </c>
      <c r="U29" s="712">
        <f t="shared" si="13"/>
        <v>100</v>
      </c>
      <c r="V29" s="711" t="s">
        <v>17</v>
      </c>
      <c r="W29" s="712">
        <f t="shared" si="14"/>
        <v>100</v>
      </c>
      <c r="X29" s="1504"/>
      <c r="Y29" s="3658"/>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658"/>
      <c r="Q30" s="1501" t="str">
        <f t="shared" si="11"/>
        <v>建筑面积</v>
      </c>
      <c r="R30" s="711" t="s">
        <v>17</v>
      </c>
      <c r="S30" s="712" t="e">
        <f t="shared" si="12"/>
        <v>#N/A</v>
      </c>
      <c r="T30" s="711" t="s">
        <v>17</v>
      </c>
      <c r="U30" s="712" t="e">
        <f t="shared" si="13"/>
        <v>#N/A</v>
      </c>
      <c r="V30" s="711" t="s">
        <v>17</v>
      </c>
      <c r="W30" s="712" t="e">
        <f t="shared" si="14"/>
        <v>#N/A</v>
      </c>
      <c r="X30" s="1504"/>
      <c r="Y30" s="3658"/>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658"/>
      <c r="Q31" s="1492" t="str">
        <f t="shared" si="11"/>
        <v>是否封闭</v>
      </c>
      <c r="R31" s="707" t="s">
        <v>17</v>
      </c>
      <c r="S31" s="708">
        <f t="shared" si="12"/>
        <v>100</v>
      </c>
      <c r="T31" s="707" t="s">
        <v>17</v>
      </c>
      <c r="U31" s="708">
        <f t="shared" si="13"/>
        <v>100</v>
      </c>
      <c r="V31" s="707" t="s">
        <v>17</v>
      </c>
      <c r="W31" s="708">
        <f t="shared" si="14"/>
        <v>100</v>
      </c>
      <c r="X31" s="709"/>
      <c r="Y31" s="3658"/>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658" t="s">
        <v>2326</v>
      </c>
      <c r="Q32" s="1501">
        <f t="shared" si="11"/>
        <v>111</v>
      </c>
      <c r="R32" s="711" t="s">
        <v>17</v>
      </c>
      <c r="S32" s="712">
        <f t="shared" si="12"/>
        <v>100</v>
      </c>
      <c r="T32" s="711" t="s">
        <v>17</v>
      </c>
      <c r="U32" s="712">
        <f t="shared" si="13"/>
        <v>100</v>
      </c>
      <c r="V32" s="711" t="s">
        <v>17</v>
      </c>
      <c r="W32" s="712">
        <f t="shared" si="14"/>
        <v>100</v>
      </c>
      <c r="X32" s="1504"/>
      <c r="Y32" s="3658"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658"/>
      <c r="Q33" s="1501">
        <f t="shared" si="11"/>
        <v>111</v>
      </c>
      <c r="R33" s="711" t="s">
        <v>17</v>
      </c>
      <c r="S33" s="712">
        <f t="shared" si="12"/>
        <v>100</v>
      </c>
      <c r="T33" s="711" t="s">
        <v>17</v>
      </c>
      <c r="U33" s="712">
        <f t="shared" si="13"/>
        <v>100</v>
      </c>
      <c r="V33" s="711" t="s">
        <v>17</v>
      </c>
      <c r="W33" s="712">
        <f t="shared" si="14"/>
        <v>100</v>
      </c>
      <c r="X33" s="1504"/>
      <c r="Y33" s="3658"/>
      <c r="Z33" s="1505">
        <f t="shared" si="15"/>
        <v>111</v>
      </c>
      <c r="AA33" s="1502">
        <f t="shared" si="3"/>
        <v>1</v>
      </c>
      <c r="AB33" s="1502">
        <f t="shared" si="4"/>
        <v>1</v>
      </c>
      <c r="AC33" s="1502">
        <f t="shared" si="5"/>
        <v>1</v>
      </c>
    </row>
    <row r="34" spans="1:30" ht="15.75"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658"/>
      <c r="Q34" s="1501">
        <f t="shared" si="11"/>
        <v>111</v>
      </c>
      <c r="R34" s="711" t="s">
        <v>17</v>
      </c>
      <c r="S34" s="712">
        <f t="shared" si="12"/>
        <v>100</v>
      </c>
      <c r="T34" s="711" t="s">
        <v>17</v>
      </c>
      <c r="U34" s="712">
        <f t="shared" si="13"/>
        <v>100</v>
      </c>
      <c r="V34" s="711" t="s">
        <v>17</v>
      </c>
      <c r="W34" s="712">
        <f t="shared" si="14"/>
        <v>100</v>
      </c>
      <c r="X34" s="1504"/>
      <c r="Y34" s="3658"/>
      <c r="Z34" s="1505">
        <f t="shared" si="15"/>
        <v>111</v>
      </c>
      <c r="AA34" s="1502">
        <f t="shared" si="3"/>
        <v>1</v>
      </c>
      <c r="AB34" s="1502">
        <f t="shared" si="4"/>
        <v>1</v>
      </c>
      <c r="AC34" s="1502">
        <f t="shared" si="5"/>
        <v>1</v>
      </c>
    </row>
    <row r="35" spans="1:30" ht="15">
      <c r="A35" s="436" t="s">
        <v>2338</v>
      </c>
      <c r="B35" s="437"/>
      <c r="C35" s="1283" t="s">
        <v>1</v>
      </c>
      <c r="D35" s="1284"/>
      <c r="E35" s="1285"/>
      <c r="F35" s="1286"/>
      <c r="G35" s="1287"/>
      <c r="H35" s="1288"/>
      <c r="I35" s="1285"/>
      <c r="J35" s="1288"/>
      <c r="K35" s="720"/>
      <c r="L35" s="2916"/>
      <c r="M35" s="2917"/>
      <c r="N35" s="2908"/>
      <c r="O35" s="2917"/>
      <c r="P35" s="3651" t="str">
        <f>A35</f>
        <v>成交单价（元/平方米）</v>
      </c>
      <c r="Q35" s="3651"/>
      <c r="R35" s="3652">
        <f>E35</f>
        <v>0</v>
      </c>
      <c r="S35" s="3652"/>
      <c r="T35" s="3652">
        <f>G35</f>
        <v>0</v>
      </c>
      <c r="U35" s="3652"/>
      <c r="V35" s="3652">
        <f>I35</f>
        <v>0</v>
      </c>
      <c r="W35" s="3652"/>
      <c r="X35" s="696"/>
      <c r="Y35" s="718"/>
      <c r="Z35" s="696"/>
      <c r="AA35" s="696"/>
      <c r="AB35" s="696"/>
      <c r="AC35" s="696"/>
    </row>
    <row r="36" spans="1:30" ht="15.7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6"/>
      <c r="Y36" s="696"/>
      <c r="Z36" s="696"/>
      <c r="AA36" s="696"/>
      <c r="AB36" s="696"/>
      <c r="AC36" s="696"/>
    </row>
    <row r="37" spans="1:30" ht="15.75" thickBot="1">
      <c r="A37" s="447" t="s">
        <v>2431</v>
      </c>
      <c r="B37" s="448"/>
      <c r="C37" s="1292" t="e">
        <f>R37</f>
        <v>#DIV/0!</v>
      </c>
      <c r="D37" s="1292"/>
      <c r="E37" s="1292"/>
      <c r="F37" s="1292"/>
      <c r="G37" s="1292"/>
      <c r="H37" s="1292"/>
      <c r="I37" s="1292"/>
      <c r="J37" s="1292"/>
      <c r="K37" s="721"/>
      <c r="L37" s="2916"/>
      <c r="M37" s="2917"/>
      <c r="N37" s="2917"/>
      <c r="O37" s="2917"/>
      <c r="P37" s="3648" t="str">
        <f>A37</f>
        <v>估价对象XX用房的比较价值（楼面单价，元/平方米）</v>
      </c>
      <c r="Q37" s="3649"/>
      <c r="R37" s="3711" t="e">
        <f>IF(F1="售价",ROUND(IF(D36="简单平均",AVERAGE(R36:W36),R36*F36+T36*H36+V36*J36),0),ROUND(IF(D36="简单平均",AVERAGE(R36:V36),R36*F36+T36*H36+V36*J36),1))</f>
        <v>#DIV/0!</v>
      </c>
      <c r="S37" s="3711"/>
      <c r="T37" s="3711"/>
      <c r="U37" s="3711"/>
      <c r="V37" s="3711"/>
      <c r="W37" s="3711"/>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2309</v>
      </c>
      <c r="B46" s="461"/>
      <c r="C46" s="1313" t="str">
        <f>YEAR(C7)&amp;"-"&amp;MONTH(C7)</f>
        <v>2022-2</v>
      </c>
      <c r="D46" s="1314">
        <f>EDATE(C46,-1)</f>
        <v>44562</v>
      </c>
      <c r="E46" s="1314">
        <f t="shared" ref="E46:O46" si="16">EDATE(D46,-1)</f>
        <v>44531</v>
      </c>
      <c r="F46" s="1314">
        <f t="shared" si="16"/>
        <v>44501</v>
      </c>
      <c r="G46" s="1314">
        <f t="shared" si="16"/>
        <v>44470</v>
      </c>
      <c r="H46" s="1314">
        <f t="shared" si="16"/>
        <v>44440</v>
      </c>
      <c r="I46" s="1314">
        <f t="shared" si="16"/>
        <v>44409</v>
      </c>
      <c r="J46" s="1314">
        <f t="shared" si="16"/>
        <v>44378</v>
      </c>
      <c r="K46" s="1314">
        <f t="shared" si="16"/>
        <v>44348</v>
      </c>
      <c r="L46" s="1314">
        <f t="shared" si="16"/>
        <v>44317</v>
      </c>
      <c r="M46" s="1314">
        <f t="shared" si="16"/>
        <v>44287</v>
      </c>
      <c r="N46" s="1314">
        <f t="shared" si="16"/>
        <v>44256</v>
      </c>
      <c r="O46" s="1314">
        <f t="shared" si="16"/>
        <v>44228</v>
      </c>
      <c r="P46" s="2968"/>
      <c r="Q46" s="2933"/>
      <c r="R46" s="2933"/>
      <c r="S46" s="2933"/>
      <c r="T46" s="2933"/>
      <c r="U46" s="2933"/>
      <c r="V46" s="2933"/>
      <c r="W46" s="2933"/>
      <c r="X46" s="2933"/>
      <c r="Y46" s="2933"/>
      <c r="Z46" s="2933"/>
      <c r="AA46" s="2933"/>
      <c r="AB46" s="2933"/>
      <c r="AC46" s="2933"/>
      <c r="AD46" s="2933"/>
    </row>
    <row r="47" spans="1:30" s="111" customFormat="1" ht="15">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7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5">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zoomScaleSheetLayoutView="90" workbookViewId="0">
      <selection activeCell="J33" sqref="J33:J36"/>
    </sheetView>
  </sheetViews>
  <sheetFormatPr defaultColWidth="12" defaultRowHeight="12.75"/>
  <cols>
    <col min="1" max="1" width="9.75" style="2215" customWidth="1"/>
    <col min="2" max="2" width="19.25" style="2317"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49" customWidth="1"/>
    <col min="33" max="36" width="9.375" style="2215" customWidth="1"/>
    <col min="37" max="38" width="9.375" style="2149" customWidth="1"/>
    <col min="39" max="16384" width="12" style="2149"/>
  </cols>
  <sheetData>
    <row r="1" spans="1:36" ht="28.5">
      <c r="A1" s="200" t="s">
        <v>2564</v>
      </c>
      <c r="B1" s="201"/>
      <c r="C1" s="205" t="s">
        <v>2565</v>
      </c>
      <c r="D1" s="346">
        <f>SUM(D29:D30,D33:D39)</f>
        <v>56496.820000000007</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5" t="s">
        <v>2572</v>
      </c>
      <c r="B2" s="208">
        <f>C26</f>
        <v>79857</v>
      </c>
      <c r="C2" s="2150" t="s">
        <v>2573</v>
      </c>
      <c r="D2" s="2151" t="s">
        <v>2574</v>
      </c>
      <c r="E2" s="2152" t="s">
        <v>3130</v>
      </c>
      <c r="F2" s="2151" t="s">
        <v>2575</v>
      </c>
      <c r="G2" s="2153" t="str">
        <f>IF(E2="商业",项目基本情况!B37,IF(E2="办公",项目基本情况!C37,IF(E2="住宅",项目基本情况!D37,项目基本情况!E37)))</f>
        <v>七级</v>
      </c>
      <c r="H2" s="2151" t="s">
        <v>2576</v>
      </c>
      <c r="I2" s="2153" t="str">
        <f>IF(E2="商业",项目基本情况!B38,IF(E2="办公",项目基本情况!C38,IF(E2="住宅",项目基本情况!D38,项目基本情况!E38)))</f>
        <v>Ⅶ-兴2</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28048</v>
      </c>
      <c r="U2" s="1342"/>
      <c r="V2" s="1341">
        <f>ROUND(T2*U2/10000,0)</f>
        <v>0</v>
      </c>
      <c r="W2" s="1345"/>
      <c r="X2" s="1345"/>
      <c r="Y2" s="1345"/>
      <c r="Z2" s="1345"/>
      <c r="AA2" s="1345"/>
      <c r="AB2" s="1345"/>
      <c r="AC2" s="1346"/>
      <c r="AD2" s="1347"/>
      <c r="AE2" s="1347"/>
      <c r="AF2" s="1347"/>
      <c r="AG2" s="1347"/>
      <c r="AH2" s="1347"/>
      <c r="AI2" s="1347"/>
      <c r="AJ2" s="1348"/>
    </row>
    <row r="3" spans="1:36" ht="25.5">
      <c r="A3" s="207" t="s">
        <v>2578</v>
      </c>
      <c r="B3" s="208">
        <f>ROUND(B2*10000/D1,0)</f>
        <v>14135</v>
      </c>
      <c r="C3" s="2150" t="s">
        <v>2579</v>
      </c>
      <c r="D3" s="2151" t="s">
        <v>2580</v>
      </c>
      <c r="E3" s="2156" t="s">
        <v>3422</v>
      </c>
      <c r="F3" s="2157" t="s">
        <v>3442</v>
      </c>
      <c r="G3" s="852">
        <f>IF(F3="宗地容积率",'数据-汇总表'!I4,IF(F3="估价对象容积率",'数据-汇总表'!I6,'数据-汇总表'!I7))</f>
        <v>1.93</v>
      </c>
      <c r="H3" s="173" t="s">
        <v>2581</v>
      </c>
      <c r="I3" s="878">
        <v>0</v>
      </c>
      <c r="J3" s="2154" t="s">
        <v>2582</v>
      </c>
      <c r="K3" s="1247"/>
      <c r="L3" s="2155" t="s">
        <v>2583</v>
      </c>
      <c r="M3" s="992">
        <f>SUMPRODUCT((区片价!B29:B48=I2)*(区片价!C3:F3=E2)*(区片价!C29:F48))</f>
        <v>0</v>
      </c>
      <c r="N3" s="994">
        <f>SUMPRODUCT((因素修正幅度!B29:B48=I2)*(因素修正幅度!C3:F3=E2)*(因素修正幅度!C29:F48))</f>
        <v>0</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20133</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715"/>
      <c r="B4" s="3716"/>
      <c r="C4" s="3716"/>
      <c r="D4" s="3717"/>
      <c r="E4" s="3717"/>
      <c r="F4" s="3717"/>
      <c r="G4" s="3717"/>
      <c r="H4" s="3717"/>
      <c r="I4" s="3717"/>
      <c r="J4" s="3718"/>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16243</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2585</v>
      </c>
      <c r="C5" s="853">
        <f>ROUND(IF(E2="商业",C6*C7+C16,(IF(E2="住宅",C6*C12+C16,C6+C16))),0)</f>
        <v>8090</v>
      </c>
      <c r="D5" s="1488">
        <f>ROUND(C6+C16,0)</f>
        <v>8090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13033</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2587</v>
      </c>
      <c r="B6" s="2169" t="s">
        <v>2588</v>
      </c>
      <c r="C6" s="854">
        <f>SUMIF(L1:L12,G2,M1:M12)</f>
        <v>8090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11098</v>
      </c>
      <c r="U6" s="1342"/>
      <c r="V6" s="1341">
        <f t="shared" si="1"/>
        <v>0</v>
      </c>
      <c r="W6" s="1345"/>
      <c r="X6" s="1345"/>
      <c r="Y6" s="1345"/>
      <c r="Z6" s="1345"/>
      <c r="AA6" s="1345"/>
      <c r="AB6" s="1345"/>
      <c r="AC6" s="2164"/>
      <c r="AD6" s="2165"/>
      <c r="AE6" s="2165"/>
      <c r="AF6" s="2165"/>
      <c r="AG6" s="2165"/>
      <c r="AH6" s="2165"/>
      <c r="AI6" s="2165"/>
      <c r="AJ6" s="2166"/>
    </row>
    <row r="7" spans="1:36" ht="24">
      <c r="A7" s="3719"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8090</v>
      </c>
      <c r="N7" s="994">
        <f>SUMPRODUCT((因素修正幅度!B158:B205=I2)*(因素修正幅度!C3:F3=E2)*(因素修正幅度!C158:F205))</f>
        <v>0.13</v>
      </c>
      <c r="O7" s="1247"/>
      <c r="P7" s="1247"/>
      <c r="Q7" s="1247"/>
      <c r="R7" s="1341">
        <v>6</v>
      </c>
      <c r="S7" s="1341">
        <f>ROUND(IF(G3&gt;1,IF(R7&lt;7,SUMPRODUCT((B93:B98=R7)*(C92:N92=G2)*(C93:N98)),SUMIF(C92:N92,G2,C100:N100)),IF(R7&lt;7,SUMPRODUCT((B102:B107=R7)*(C92:N92=G2)*(C102:N107)),SUMIF(C92:N92,G2,C109:N109))),4)</f>
        <v>0.6482</v>
      </c>
      <c r="T7" s="1341">
        <f t="shared" si="0"/>
        <v>9759</v>
      </c>
      <c r="U7" s="1342"/>
      <c r="V7" s="1341">
        <f t="shared" si="1"/>
        <v>0</v>
      </c>
      <c r="W7" s="1507" t="s">
        <v>2594</v>
      </c>
      <c r="X7" s="1343" t="str">
        <f>G2</f>
        <v>七级</v>
      </c>
      <c r="Y7" s="1343" t="s">
        <v>2595</v>
      </c>
      <c r="Z7" s="1344">
        <f>G3</f>
        <v>1.93</v>
      </c>
      <c r="AA7" s="1345"/>
      <c r="AB7" s="1345"/>
      <c r="AC7" s="1346"/>
      <c r="AD7" s="1347"/>
      <c r="AE7" s="1347"/>
      <c r="AF7" s="1347"/>
      <c r="AG7" s="1347"/>
      <c r="AH7" s="1347"/>
      <c r="AI7" s="1347"/>
      <c r="AJ7" s="1348"/>
    </row>
    <row r="8" spans="1:36" ht="25.5">
      <c r="A8" s="3720"/>
      <c r="B8" s="173" t="s">
        <v>2596</v>
      </c>
      <c r="C8" s="2179" t="s">
        <v>3485</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712" t="s">
        <v>2599</v>
      </c>
      <c r="X8" s="3713"/>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720"/>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714"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720"/>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714"/>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thickBot="1">
      <c r="A11" s="3720"/>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714" t="s">
        <v>2623</v>
      </c>
      <c r="X11" s="1353" t="s">
        <v>2624</v>
      </c>
      <c r="Y11" s="1354">
        <f>$G$3</f>
        <v>1.93</v>
      </c>
      <c r="Z11" s="1354">
        <f t="shared" ref="Z11:AJ11" si="3">$G$3</f>
        <v>1.93</v>
      </c>
      <c r="AA11" s="1354">
        <f t="shared" si="3"/>
        <v>1.93</v>
      </c>
      <c r="AB11" s="1354">
        <f t="shared" si="3"/>
        <v>1.93</v>
      </c>
      <c r="AC11" s="1354">
        <f t="shared" si="3"/>
        <v>1.93</v>
      </c>
      <c r="AD11" s="1354">
        <f t="shared" si="3"/>
        <v>1.93</v>
      </c>
      <c r="AE11" s="1354">
        <f t="shared" si="3"/>
        <v>1.93</v>
      </c>
      <c r="AF11" s="1354">
        <f t="shared" si="3"/>
        <v>1.93</v>
      </c>
      <c r="AG11" s="1354">
        <f t="shared" si="3"/>
        <v>1.93</v>
      </c>
      <c r="AH11" s="1354">
        <f t="shared" si="3"/>
        <v>1.93</v>
      </c>
      <c r="AI11" s="1354">
        <f t="shared" si="3"/>
        <v>1.93</v>
      </c>
      <c r="AJ11" s="1354">
        <f t="shared" si="3"/>
        <v>1.93</v>
      </c>
    </row>
    <row r="12" spans="1:36" ht="25.5" thickBot="1">
      <c r="A12" s="3719" t="s">
        <v>2625</v>
      </c>
      <c r="B12" s="2187" t="s">
        <v>2626</v>
      </c>
      <c r="C12" s="855">
        <f>ROUND(C15*D15*E15*F15*G15*H15*I15*J15,4)</f>
        <v>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714"/>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721"/>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714"/>
      <c r="X13" s="1355"/>
      <c r="Y13" s="1352">
        <f>(-0.163*(Y12^2)-0.59*Y12+7617)*(10^(-4))/Y11</f>
        <v>0.39466321243523317</v>
      </c>
      <c r="Z13" s="1352">
        <f t="shared" ref="Z13:AJ13" si="5">(-0.163*(Z12^2)-0.59*Z12+7617)*(10^(-4))/Z11</f>
        <v>0.39466321243523317</v>
      </c>
      <c r="AA13" s="1352">
        <f t="shared" si="5"/>
        <v>0.39466321243523317</v>
      </c>
      <c r="AB13" s="1352">
        <f t="shared" si="5"/>
        <v>0.39466321243523317</v>
      </c>
      <c r="AC13" s="1352">
        <f t="shared" si="5"/>
        <v>0.39466321243523317</v>
      </c>
      <c r="AD13" s="1352">
        <f t="shared" si="5"/>
        <v>0.39466321243523317</v>
      </c>
      <c r="AE13" s="1352">
        <f t="shared" si="5"/>
        <v>0.39466321243523317</v>
      </c>
      <c r="AF13" s="1352">
        <f t="shared" si="5"/>
        <v>0.39466321243523317</v>
      </c>
      <c r="AG13" s="1352">
        <f t="shared" si="5"/>
        <v>0.39466321243523317</v>
      </c>
      <c r="AH13" s="1352">
        <f t="shared" si="5"/>
        <v>0.39466321243523317</v>
      </c>
      <c r="AI13" s="1352">
        <f t="shared" si="5"/>
        <v>0.39466321243523317</v>
      </c>
      <c r="AJ13" s="1352">
        <f t="shared" si="5"/>
        <v>0.39466321243523317</v>
      </c>
    </row>
    <row r="14" spans="1:36" ht="15">
      <c r="A14" s="3721"/>
      <c r="B14" s="2197"/>
      <c r="C14" s="2198" t="s">
        <v>3423</v>
      </c>
      <c r="D14" s="2199" t="s">
        <v>3423</v>
      </c>
      <c r="E14" s="2199" t="s">
        <v>3423</v>
      </c>
      <c r="F14" s="2200" t="s">
        <v>3424</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75" thickBot="1">
      <c r="A15" s="3722"/>
      <c r="B15" s="2205" t="s">
        <v>2637</v>
      </c>
      <c r="C15" s="191">
        <f>IF(C14="有",1.1,1)</f>
        <v>1</v>
      </c>
      <c r="D15" s="191">
        <f>IF(D14="有",1.1,1)</f>
        <v>1</v>
      </c>
      <c r="E15" s="191">
        <f>IF(E14="有",1.1,1)</f>
        <v>1</v>
      </c>
      <c r="F15" s="191">
        <f>IF(F14="500米范围内",1.2,IF(F14="500-1000米",1.1,1))</f>
        <v>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719" t="s">
        <v>2642</v>
      </c>
      <c r="B16" s="2174" t="s">
        <v>2643</v>
      </c>
      <c r="C16" s="2335">
        <f>ROUND(IF(F17="与级别开发程度一致",0,(G17-E17)/C17),0)</f>
        <v>0</v>
      </c>
      <c r="D16" s="3736" t="s">
        <v>2647</v>
      </c>
      <c r="E16" s="3737"/>
      <c r="F16" s="3736" t="s">
        <v>2644</v>
      </c>
      <c r="G16" s="3737"/>
      <c r="H16" s="2206" t="s">
        <v>3426</v>
      </c>
      <c r="I16" s="2206" t="s">
        <v>3425</v>
      </c>
      <c r="J16" s="2339" t="s">
        <v>3427</v>
      </c>
      <c r="K16" s="2206" t="s">
        <v>3428</v>
      </c>
      <c r="L16" s="2206" t="s">
        <v>3429</v>
      </c>
      <c r="M16" s="2206" t="s">
        <v>3430</v>
      </c>
      <c r="N16" s="2206" t="s">
        <v>3431</v>
      </c>
      <c r="O16" s="2207" t="s">
        <v>3432</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6.25" thickBot="1">
      <c r="A17" s="3724"/>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3486</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7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25" thickBot="1">
      <c r="A19" s="2211" t="s">
        <v>809</v>
      </c>
      <c r="B19" s="2212" t="s">
        <v>2650</v>
      </c>
      <c r="C19" s="860">
        <f>ROUND(IF(H19="按公示增长率计算",SUMPRODUCT((地价!A3:A37=YEAR(G19)&amp;"-"&amp;ROUNDUP(MONTH(G19)/3,0))*(地价!X2:AB2=E2)*(地价!X3:AB37)),IF(H19="地价指数",M20/M19,(1+I19)^O19)),4)</f>
        <v>1.7434000000000001</v>
      </c>
      <c r="D19" s="2216" t="s">
        <v>2651</v>
      </c>
      <c r="E19" s="861">
        <v>41640</v>
      </c>
      <c r="F19" s="2216" t="s">
        <v>2652</v>
      </c>
      <c r="G19" s="862">
        <f>'数据-取费表'!B2</f>
        <v>44617</v>
      </c>
      <c r="H19" s="2217" t="s">
        <v>3433</v>
      </c>
      <c r="I19" s="863" t="str">
        <f>IF(H19="季度增幅（自定义）",SUMIF(N21:N24,E2,O21:O24),"")</f>
        <v/>
      </c>
      <c r="J19" s="2214"/>
      <c r="K19" s="1254"/>
      <c r="L19" s="2218" t="s">
        <v>2653</v>
      </c>
      <c r="M19" s="1463">
        <f>ROUND(SUMIF(地价!B2:F2,E2,地价!B37:F37),0)</f>
        <v>423</v>
      </c>
      <c r="N19" s="2219" t="s">
        <v>2654</v>
      </c>
      <c r="O19" s="864">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7.75"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737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5">
      <c r="A21" s="2228" t="s">
        <v>811</v>
      </c>
      <c r="B21" s="2229" t="s">
        <v>3434</v>
      </c>
      <c r="C21" s="873">
        <f>IF(B21="容积率修正",IF(G3&lt;=10,D22,J22),C23)</f>
        <v>1.0699000000000001</v>
      </c>
      <c r="D21" s="2230"/>
      <c r="E21" s="2230"/>
      <c r="F21" s="2230"/>
      <c r="G21" s="2230"/>
      <c r="H21" s="2230"/>
      <c r="I21" s="2230"/>
      <c r="J21" s="2231"/>
      <c r="K21" s="1254"/>
      <c r="L21" s="2982"/>
      <c r="M21" s="2982"/>
      <c r="N21" s="2232" t="s">
        <v>2662</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25">
      <c r="A22" s="2106" t="s">
        <v>2663</v>
      </c>
      <c r="B22" s="2233" t="s">
        <v>2664</v>
      </c>
      <c r="C22" s="1501" t="s">
        <v>2665</v>
      </c>
      <c r="D22" s="1501">
        <f>IF(E22=G22,F22,IF(G3&lt;=10,ROUND(F22+(H22-F22)*(G3-E22)/(G22-E22),4),"——"))</f>
        <v>1.0699000000000001</v>
      </c>
      <c r="E22" s="852">
        <f>ROUNDDOWN(G3,1)</f>
        <v>1.9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2">
        <f>ROUNDUP(G3,1)</f>
        <v>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1" t="s">
        <v>155</v>
      </c>
      <c r="J22" s="874" t="str">
        <f>IF(G3&gt;10,D113,"——")</f>
        <v>——</v>
      </c>
      <c r="K22" s="1254"/>
      <c r="L22" s="2982"/>
      <c r="M22" s="2982"/>
      <c r="N22" s="2232" t="s">
        <v>2666</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1.8100000000000002E-2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75" thickBot="1">
      <c r="A24" s="2221" t="s">
        <v>812</v>
      </c>
      <c r="B24" s="2212" t="s">
        <v>2670</v>
      </c>
      <c r="C24" s="860">
        <f>SUMIF(A45:A88,E2,B45:B88)</f>
        <v>1.0674999999999999</v>
      </c>
      <c r="D24" s="2213"/>
      <c r="E24" s="2240"/>
      <c r="F24" s="2240"/>
      <c r="G24" s="2240"/>
      <c r="H24" s="2240"/>
      <c r="I24" s="2240"/>
      <c r="J24" s="2241"/>
      <c r="K24" s="1254"/>
      <c r="L24" s="2982"/>
      <c r="M24" s="2982"/>
      <c r="N24" s="2242" t="s">
        <v>2671</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1.6400000000000001E-2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5">
      <c r="A26" s="2245"/>
      <c r="B26" s="2233" t="s">
        <v>2674</v>
      </c>
      <c r="C26" s="2506">
        <f>IF(B21="容积率修正",E29+SUM(E33:E39),SUM(V2:V16)+SUM(E33:E39))</f>
        <v>79857</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75" thickBot="1">
      <c r="A27" s="2245"/>
      <c r="B27" s="2249" t="s">
        <v>2675</v>
      </c>
      <c r="C27" s="867">
        <f>E30+SUM(I33:I39)</f>
        <v>850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7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16109</v>
      </c>
      <c r="D29" s="2261">
        <f>面积表!D19</f>
        <v>47461.850000000006</v>
      </c>
      <c r="E29" s="876">
        <f>ROUND(C29*D29/10000,0)</f>
        <v>76456</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5" thickBot="1">
      <c r="A30" s="2265"/>
      <c r="B30" s="2266" t="s">
        <v>2682</v>
      </c>
      <c r="C30" s="191">
        <f>ROUND(IF(E2="工业",C29*M39,C29*M38),0)</f>
        <v>4027</v>
      </c>
      <c r="D30" s="2267"/>
      <c r="E30" s="876">
        <f>ROUND(C30*D30/10000,0)</f>
        <v>0</v>
      </c>
      <c r="F30" s="2268" t="s">
        <v>2683</v>
      </c>
      <c r="G30" s="2269"/>
      <c r="H30" s="2269"/>
      <c r="I30" s="2269"/>
      <c r="J30" s="2269"/>
      <c r="K30" s="3395"/>
      <c r="L30" s="3395" t="s">
        <v>3490</v>
      </c>
      <c r="M30" s="3395" t="s">
        <v>3488</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25">
      <c r="A31" s="2270"/>
      <c r="B31" s="2271" t="s">
        <v>2684</v>
      </c>
      <c r="C31" s="2272" t="s">
        <v>2685</v>
      </c>
      <c r="D31" s="2190"/>
      <c r="E31" s="2272"/>
      <c r="F31" s="2272"/>
      <c r="G31" s="2188" t="s">
        <v>2686</v>
      </c>
      <c r="H31" s="2190"/>
      <c r="I31" s="2273"/>
      <c r="J31" s="2190"/>
      <c r="K31" s="3395" t="s">
        <v>3487</v>
      </c>
      <c r="L31" s="3395">
        <f>ROUND(基准地价修正!C29*0.75*1.93,0)</f>
        <v>23318</v>
      </c>
      <c r="M31" s="3396">
        <v>0.4</v>
      </c>
      <c r="N31" s="3723">
        <f>ROUND(L31*M31+L32*M32,0)</f>
        <v>12735</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24">
      <c r="A32" s="2259"/>
      <c r="B32" s="2274"/>
      <c r="C32" s="456" t="s">
        <v>2677</v>
      </c>
      <c r="D32" s="453" t="s">
        <v>2678</v>
      </c>
      <c r="E32" s="453" t="s">
        <v>2679</v>
      </c>
      <c r="F32" s="346" t="s">
        <v>2687</v>
      </c>
      <c r="G32" s="2275" t="s">
        <v>2677</v>
      </c>
      <c r="H32" s="2275" t="s">
        <v>2678</v>
      </c>
      <c r="I32" s="2275" t="s">
        <v>2679</v>
      </c>
      <c r="J32" s="3394"/>
      <c r="K32" s="3395" t="s">
        <v>3621</v>
      </c>
      <c r="L32" s="3395">
        <f>成本逼近法!B4</f>
        <v>5679</v>
      </c>
      <c r="M32" s="3396">
        <f>1-M31</f>
        <v>0.6</v>
      </c>
      <c r="N32" s="3723"/>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733"/>
      <c r="B33" s="2276" t="s">
        <v>2688</v>
      </c>
      <c r="C33" s="178">
        <f>ROUND(D5*C19*C20*C24*F33,0)</f>
        <v>10539</v>
      </c>
      <c r="D33" s="2261"/>
      <c r="E33" s="174">
        <f>ROUND(C33*D33/10000,0)</f>
        <v>0</v>
      </c>
      <c r="F33" s="174">
        <f>SUMIF(修正!A45:A56,G2,修正!B45:B56)</f>
        <v>0.7</v>
      </c>
      <c r="G33" s="174">
        <f t="shared" ref="G33" si="6">ROUND(IF(E2="工业",C33*$M$39,C33*$M$38),0)</f>
        <v>2635</v>
      </c>
      <c r="H33" s="174">
        <f>D33</f>
        <v>0</v>
      </c>
      <c r="I33" s="174">
        <f>ROUND(G33*H33/10000,0)</f>
        <v>0</v>
      </c>
      <c r="J33" s="3738"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4.25">
      <c r="A34" s="3734"/>
      <c r="B34" s="2194" t="s">
        <v>2689</v>
      </c>
      <c r="C34" s="178">
        <f>ROUND(D5*C19*C20*C24*F34,0)</f>
        <v>6022</v>
      </c>
      <c r="D34" s="2261"/>
      <c r="E34" s="174">
        <f t="shared" ref="E34:E39" si="7">ROUND(C34*D34/10000,0)</f>
        <v>0</v>
      </c>
      <c r="F34" s="174">
        <f>SUMIF(修正!A45:A56,G2,修正!C45:C56)</f>
        <v>0.4</v>
      </c>
      <c r="G34" s="174">
        <f>ROUND(IF(E2="工业",C34*$M$39,C34*$M$38),0)</f>
        <v>1506</v>
      </c>
      <c r="H34" s="174">
        <f t="shared" ref="H34:H39" si="8">D34</f>
        <v>0</v>
      </c>
      <c r="I34" s="174">
        <f t="shared" ref="I34:I39" si="9">ROUND(G34*H34/10000,0)</f>
        <v>0</v>
      </c>
      <c r="J34" s="373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734"/>
      <c r="B35" s="2194" t="s">
        <v>2690</v>
      </c>
      <c r="C35" s="178">
        <f>ROUND(D5*C19*C20*C24*F35,0)</f>
        <v>4216</v>
      </c>
      <c r="D35" s="2261"/>
      <c r="E35" s="174">
        <f t="shared" si="7"/>
        <v>0</v>
      </c>
      <c r="F35" s="174">
        <f>SUMIF(修正!A45:A56,G2,修正!D45:D56)</f>
        <v>0.28000000000000003</v>
      </c>
      <c r="G35" s="174">
        <f>ROUND(IF(E2="工业",C35*$M$39,C35*$M$38),0)</f>
        <v>1054</v>
      </c>
      <c r="H35" s="174">
        <f t="shared" si="8"/>
        <v>0</v>
      </c>
      <c r="I35" s="174">
        <f t="shared" si="9"/>
        <v>0</v>
      </c>
      <c r="J35" s="373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5" thickBot="1">
      <c r="A36" s="3735"/>
      <c r="B36" s="2194" t="s">
        <v>2691</v>
      </c>
      <c r="C36" s="178">
        <f>ROUND(D5*C19*C20*C24*F36,0)</f>
        <v>3764</v>
      </c>
      <c r="D36" s="2261"/>
      <c r="E36" s="174">
        <f t="shared" si="7"/>
        <v>0</v>
      </c>
      <c r="F36" s="174">
        <f>SUMIF(修正!A45:A56,G2,修正!E45:E56)</f>
        <v>0.25</v>
      </c>
      <c r="G36" s="174">
        <f>ROUND(IF(E2="工业",C36*$M$39,C36*$M$38),0)</f>
        <v>941</v>
      </c>
      <c r="H36" s="174">
        <f t="shared" si="8"/>
        <v>0</v>
      </c>
      <c r="I36" s="174">
        <f t="shared" si="9"/>
        <v>0</v>
      </c>
      <c r="J36" s="3735"/>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3764</v>
      </c>
      <c r="D37" s="2261"/>
      <c r="E37" s="174">
        <f t="shared" si="7"/>
        <v>0</v>
      </c>
      <c r="F37" s="178">
        <f>SUMIF(修正!A45:A56,G2,修正!F45:F56)</f>
        <v>0.25</v>
      </c>
      <c r="G37" s="174">
        <f>ROUND(IF(E2="工业",C37*$M$39,C37*$M$38),0)</f>
        <v>941</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3764</v>
      </c>
      <c r="D38" s="2261">
        <f>面积表!J19</f>
        <v>9034.9699999999993</v>
      </c>
      <c r="E38" s="174">
        <f t="shared" si="7"/>
        <v>3401</v>
      </c>
      <c r="F38" s="178">
        <f>SUMIF(修正!A45:A56,G2,修正!G45:G56)</f>
        <v>0.25</v>
      </c>
      <c r="G38" s="174">
        <f>ROUND(IF(E2="工业",C38*$M$39,C38*$M$38),0)</f>
        <v>941</v>
      </c>
      <c r="H38" s="174">
        <f t="shared" si="8"/>
        <v>9034.9699999999993</v>
      </c>
      <c r="I38" s="174">
        <f t="shared" si="9"/>
        <v>850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5"/>
      <c r="B39" s="2282" t="s">
        <v>2696</v>
      </c>
      <c r="C39" s="191">
        <f>ROUND(D5*C19*C41*C24*F39,0)</f>
        <v>3011</v>
      </c>
      <c r="D39" s="2267"/>
      <c r="E39" s="191">
        <f t="shared" si="7"/>
        <v>0</v>
      </c>
      <c r="F39" s="868">
        <f>SUMIF(修正!A45:A56,G2,修正!H45:H56)</f>
        <v>0.2</v>
      </c>
      <c r="G39" s="191">
        <f>ROUND(IF(E2="工业",C39*$M$39,C39*$M$38),0)</f>
        <v>753</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7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5">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4.75">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38.25">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51">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36.75">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24">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5.5">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5.5">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39"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5">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38.25">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51">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36.75">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24">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5.5">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5.5">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39"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5">
      <c r="A68" s="2289" t="s">
        <v>2721</v>
      </c>
      <c r="B68" s="2290">
        <f>1+E70</f>
        <v>1.0674999999999999</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51">
      <c r="A70" s="2293" t="s">
        <v>2722</v>
      </c>
      <c r="B70" s="2296" t="str">
        <f>估价对象房地状况!C15</f>
        <v>估价对象周边居住用地比例、居住小区规模和社区发展完善程度，综合评价居住社区成熟度一般</v>
      </c>
      <c r="C70" s="2199" t="s">
        <v>3402</v>
      </c>
      <c r="D70" s="1192">
        <f t="shared" ref="D70:D78" si="20">SUMIF($J$69:$N$69,C70,J70:N70)</f>
        <v>9.1000000000000004E-3</v>
      </c>
      <c r="E70" s="757">
        <f>ROUND(SUM(D70:D78),4)</f>
        <v>6.7500000000000004E-2</v>
      </c>
      <c r="F70" s="1965">
        <f>IF(E2="住宅",SUMIF(L1:L12,G2,N1:N12),"——")</f>
        <v>0.13</v>
      </c>
      <c r="G70" s="1190">
        <f>H70</f>
        <v>9.1000000000000004E-3</v>
      </c>
      <c r="H70" s="1194">
        <f t="shared" ref="H70:H78" si="21">IFERROR(ROUNDDOWN($F$70*I70/2,4),"——")</f>
        <v>9.1000000000000004E-3</v>
      </c>
      <c r="I70" s="756">
        <v>0.14000000000000001</v>
      </c>
      <c r="J70" s="1191">
        <f t="shared" ref="J70:J78" si="22">K70+$G70</f>
        <v>1.8200000000000001E-2</v>
      </c>
      <c r="K70" s="1191">
        <f t="shared" ref="K70:K78" si="23">$L70+$G70</f>
        <v>9.1000000000000004E-3</v>
      </c>
      <c r="L70" s="1191">
        <v>0</v>
      </c>
      <c r="M70" s="1191">
        <f t="shared" ref="M70:N78" si="24">L70-$G70</f>
        <v>-9.1000000000000004E-3</v>
      </c>
      <c r="N70" s="1191">
        <f t="shared" si="24"/>
        <v>-1.8200000000000001E-2</v>
      </c>
      <c r="AA70" s="1248"/>
      <c r="AB70" s="1248"/>
      <c r="AC70" s="1248"/>
      <c r="AD70" s="1248"/>
      <c r="AE70" s="1248"/>
      <c r="AF70" s="1248"/>
      <c r="AG70" s="1248"/>
      <c r="AH70" s="1248"/>
      <c r="AI70" s="1248"/>
      <c r="AJ70" s="1248"/>
      <c r="AK70" s="1248"/>
    </row>
    <row r="71" spans="1:37" s="1247" customFormat="1" ht="51">
      <c r="A71" s="2293" t="s">
        <v>2708</v>
      </c>
      <c r="B71" s="2297" t="str">
        <f>估价对象房地状况!C18</f>
        <v>估价对象周边道路状况、公共交通通达情况、停车便捷程度，综合评价交通便捷度较好</v>
      </c>
      <c r="C71" s="2199" t="s">
        <v>3402</v>
      </c>
      <c r="D71" s="1192">
        <f t="shared" si="20"/>
        <v>1.95E-2</v>
      </c>
      <c r="E71" s="762"/>
      <c r="F71" s="1965"/>
      <c r="G71" s="1190">
        <f t="shared" ref="G71:G78" si="25">H71</f>
        <v>1.95E-2</v>
      </c>
      <c r="H71" s="1194">
        <f t="shared" si="21"/>
        <v>1.95E-2</v>
      </c>
      <c r="I71" s="756">
        <v>0.3</v>
      </c>
      <c r="J71" s="1191">
        <f t="shared" si="22"/>
        <v>3.9E-2</v>
      </c>
      <c r="K71" s="1191">
        <f t="shared" si="23"/>
        <v>1.95E-2</v>
      </c>
      <c r="L71" s="1191">
        <v>0</v>
      </c>
      <c r="M71" s="1191">
        <f t="shared" si="24"/>
        <v>-1.95E-2</v>
      </c>
      <c r="N71" s="1191">
        <f t="shared" si="24"/>
        <v>-3.9E-2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3402</v>
      </c>
      <c r="D72" s="1192">
        <f t="shared" si="20"/>
        <v>5.1999999999999998E-3</v>
      </c>
      <c r="E72" s="762"/>
      <c r="F72" s="1965"/>
      <c r="G72" s="1190">
        <f t="shared" si="25"/>
        <v>5.1999999999999998E-3</v>
      </c>
      <c r="H72" s="1194">
        <f t="shared" si="21"/>
        <v>5.1999999999999998E-3</v>
      </c>
      <c r="I72" s="756">
        <v>0.08</v>
      </c>
      <c r="J72" s="1191">
        <f t="shared" si="22"/>
        <v>1.04E-2</v>
      </c>
      <c r="K72" s="1191">
        <f t="shared" si="23"/>
        <v>5.1999999999999998E-3</v>
      </c>
      <c r="L72" s="1191">
        <v>0</v>
      </c>
      <c r="M72" s="1191">
        <f t="shared" si="24"/>
        <v>-5.1999999999999998E-3</v>
      </c>
      <c r="N72" s="1191">
        <f t="shared" si="24"/>
        <v>-1.04E-2</v>
      </c>
      <c r="AA72" s="1248"/>
      <c r="AB72" s="1248"/>
      <c r="AC72" s="1248"/>
      <c r="AD72" s="1248"/>
      <c r="AE72" s="1248"/>
      <c r="AF72" s="1248"/>
      <c r="AG72" s="1248"/>
      <c r="AH72" s="1248"/>
      <c r="AI72" s="1248"/>
      <c r="AJ72" s="1248"/>
      <c r="AK72" s="1248"/>
    </row>
    <row r="73" spans="1:37" s="1247" customFormat="1" ht="14.25">
      <c r="A73" s="2293" t="s">
        <v>2723</v>
      </c>
      <c r="B73" s="2297">
        <f>估价对象房地状况!C24</f>
        <v>0</v>
      </c>
      <c r="C73" s="2199" t="s">
        <v>3394</v>
      </c>
      <c r="D73" s="1192">
        <f t="shared" si="20"/>
        <v>0</v>
      </c>
      <c r="E73" s="762"/>
      <c r="F73" s="1965"/>
      <c r="G73" s="1190">
        <f t="shared" si="25"/>
        <v>2.5999999999999999E-3</v>
      </c>
      <c r="H73" s="1194">
        <f t="shared" si="21"/>
        <v>2.5999999999999999E-3</v>
      </c>
      <c r="I73" s="756">
        <v>0.04</v>
      </c>
      <c r="J73" s="1191">
        <f t="shared" si="22"/>
        <v>5.1999999999999998E-3</v>
      </c>
      <c r="K73" s="1191">
        <f t="shared" si="23"/>
        <v>2.5999999999999999E-3</v>
      </c>
      <c r="L73" s="1191">
        <v>0</v>
      </c>
      <c r="M73" s="1191">
        <f t="shared" si="24"/>
        <v>-2.5999999999999999E-3</v>
      </c>
      <c r="N73" s="1191">
        <f t="shared" si="24"/>
        <v>-5.1999999999999998E-3</v>
      </c>
      <c r="AA73" s="1248"/>
      <c r="AB73" s="1248"/>
      <c r="AC73" s="1248"/>
      <c r="AD73" s="1248"/>
      <c r="AE73" s="1248"/>
      <c r="AF73" s="1248"/>
      <c r="AG73" s="1248"/>
      <c r="AH73" s="1248"/>
      <c r="AI73" s="1248"/>
      <c r="AJ73" s="1248"/>
      <c r="AK73" s="1248"/>
    </row>
    <row r="74" spans="1:37" s="1247" customFormat="1" ht="25.5">
      <c r="A74" s="2293" t="s">
        <v>2715</v>
      </c>
      <c r="B74" s="1461" t="str">
        <f>估价对象房地状况!C21</f>
        <v>估价对象所在区域公共配套设施齐备情况</v>
      </c>
      <c r="C74" s="2199" t="s">
        <v>3402</v>
      </c>
      <c r="D74" s="1192">
        <f t="shared" si="20"/>
        <v>5.1999999999999998E-3</v>
      </c>
      <c r="E74" s="762"/>
      <c r="F74" s="1965"/>
      <c r="G74" s="1190">
        <f t="shared" si="25"/>
        <v>5.1999999999999998E-3</v>
      </c>
      <c r="H74" s="1194">
        <f t="shared" si="21"/>
        <v>5.1999999999999998E-3</v>
      </c>
      <c r="I74" s="756">
        <v>0.08</v>
      </c>
      <c r="J74" s="1191">
        <f t="shared" si="22"/>
        <v>1.04E-2</v>
      </c>
      <c r="K74" s="1191">
        <f t="shared" si="23"/>
        <v>5.1999999999999998E-3</v>
      </c>
      <c r="L74" s="1191">
        <v>0</v>
      </c>
      <c r="M74" s="1191">
        <f t="shared" si="24"/>
        <v>-5.1999999999999998E-3</v>
      </c>
      <c r="N74" s="1191">
        <f t="shared" si="24"/>
        <v>-1.04E-2</v>
      </c>
      <c r="AA74" s="1248"/>
      <c r="AB74" s="1248"/>
      <c r="AC74" s="1248"/>
      <c r="AD74" s="1248"/>
      <c r="AE74" s="1248"/>
      <c r="AF74" s="1248"/>
      <c r="AG74" s="1248"/>
      <c r="AH74" s="1248"/>
      <c r="AI74" s="1248"/>
      <c r="AJ74" s="1248"/>
      <c r="AK74" s="1248"/>
    </row>
    <row r="75" spans="1:37" s="1247" customFormat="1" ht="25.5">
      <c r="A75" s="2293" t="s">
        <v>2716</v>
      </c>
      <c r="B75" s="1461" t="str">
        <f>估价对象房地状况!C22</f>
        <v>估价对象所在区域基础设施水平</v>
      </c>
      <c r="C75" s="2199" t="s">
        <v>3489</v>
      </c>
      <c r="D75" s="1192">
        <f t="shared" si="20"/>
        <v>1.5599999999999999E-2</v>
      </c>
      <c r="E75" s="762"/>
      <c r="F75" s="1965"/>
      <c r="G75" s="1190">
        <f t="shared" si="25"/>
        <v>7.7999999999999996E-3</v>
      </c>
      <c r="H75" s="1194">
        <f t="shared" si="21"/>
        <v>7.7999999999999996E-3</v>
      </c>
      <c r="I75" s="756">
        <v>0.12</v>
      </c>
      <c r="J75" s="1191">
        <f t="shared" si="22"/>
        <v>1.5599999999999999E-2</v>
      </c>
      <c r="K75" s="1191">
        <f t="shared" si="23"/>
        <v>7.7999999999999996E-3</v>
      </c>
      <c r="L75" s="1191">
        <v>0</v>
      </c>
      <c r="M75" s="1191">
        <f t="shared" si="24"/>
        <v>-7.7999999999999996E-3</v>
      </c>
      <c r="N75" s="1191">
        <f t="shared" si="24"/>
        <v>-1.5599999999999999E-2</v>
      </c>
      <c r="AA75" s="1248"/>
      <c r="AB75" s="1248"/>
      <c r="AC75" s="1248"/>
      <c r="AD75" s="1248"/>
      <c r="AE75" s="1248"/>
      <c r="AF75" s="1248"/>
      <c r="AG75" s="1248"/>
      <c r="AH75" s="1248"/>
      <c r="AI75" s="1248"/>
      <c r="AJ75" s="1248"/>
      <c r="AK75" s="1248"/>
    </row>
    <row r="76" spans="1:37" s="2148" customFormat="1" ht="24">
      <c r="A76" s="2293" t="s">
        <v>2713</v>
      </c>
      <c r="B76" s="2299" t="s">
        <v>2714</v>
      </c>
      <c r="C76" s="2199" t="s">
        <v>3402</v>
      </c>
      <c r="D76" s="1192">
        <f t="shared" si="20"/>
        <v>3.2000000000000002E-3</v>
      </c>
      <c r="E76" s="762"/>
      <c r="F76" s="1965"/>
      <c r="G76" s="1190">
        <f t="shared" si="25"/>
        <v>3.2000000000000002E-3</v>
      </c>
      <c r="H76" s="1194">
        <f t="shared" si="21"/>
        <v>3.2000000000000002E-3</v>
      </c>
      <c r="I76" s="756">
        <v>0.05</v>
      </c>
      <c r="J76" s="1191">
        <f t="shared" si="22"/>
        <v>6.4000000000000003E-3</v>
      </c>
      <c r="K76" s="1191">
        <f t="shared" si="23"/>
        <v>3.2000000000000002E-3</v>
      </c>
      <c r="L76" s="1191">
        <v>0</v>
      </c>
      <c r="M76" s="1191">
        <f t="shared" si="24"/>
        <v>-3.2000000000000002E-3</v>
      </c>
      <c r="N76" s="1191">
        <f t="shared" si="24"/>
        <v>-6.4000000000000003E-3</v>
      </c>
      <c r="AA76" s="2304"/>
      <c r="AB76" s="1248"/>
      <c r="AC76" s="1248"/>
      <c r="AD76" s="1248"/>
      <c r="AE76" s="1248"/>
      <c r="AF76" s="1248"/>
      <c r="AG76" s="1248"/>
      <c r="AH76" s="2304"/>
      <c r="AI76" s="2304"/>
      <c r="AJ76" s="2304"/>
      <c r="AK76" s="2304"/>
    </row>
    <row r="77" spans="1:37" ht="38.25">
      <c r="A77" s="2293" t="s">
        <v>2717</v>
      </c>
      <c r="B77" s="2296" t="str">
        <f>估价对象房地状况!C20</f>
        <v>区域自然环境：；人文环境；综合评价环境状况一般</v>
      </c>
      <c r="C77" s="2199" t="s">
        <v>3402</v>
      </c>
      <c r="D77" s="1192">
        <f t="shared" si="20"/>
        <v>9.7000000000000003E-3</v>
      </c>
      <c r="E77" s="762"/>
      <c r="F77" s="1965"/>
      <c r="G77" s="1190">
        <f t="shared" si="25"/>
        <v>9.7000000000000003E-3</v>
      </c>
      <c r="H77" s="1194">
        <f t="shared" si="21"/>
        <v>9.7000000000000003E-3</v>
      </c>
      <c r="I77" s="756">
        <v>0.15</v>
      </c>
      <c r="J77" s="1191">
        <f t="shared" si="22"/>
        <v>1.9400000000000001E-2</v>
      </c>
      <c r="K77" s="1191">
        <f t="shared" si="23"/>
        <v>9.7000000000000003E-3</v>
      </c>
      <c r="L77" s="1191">
        <v>0</v>
      </c>
      <c r="M77" s="1191">
        <f t="shared" si="24"/>
        <v>-9.7000000000000003E-3</v>
      </c>
      <c r="N77" s="1191">
        <f t="shared" si="24"/>
        <v>-1.9400000000000001E-2</v>
      </c>
      <c r="Z77" s="2149"/>
      <c r="AA77" s="2215"/>
      <c r="AG77" s="1249"/>
      <c r="AK77" s="2215"/>
    </row>
    <row r="78" spans="1:37" ht="24.75" thickBot="1">
      <c r="A78" s="2301" t="s">
        <v>2724</v>
      </c>
      <c r="B78" s="2305"/>
      <c r="C78" s="2199" t="s">
        <v>3394</v>
      </c>
      <c r="D78" s="1192">
        <f t="shared" si="20"/>
        <v>0</v>
      </c>
      <c r="E78" s="763"/>
      <c r="F78" s="1965"/>
      <c r="G78" s="1190">
        <f t="shared" si="25"/>
        <v>2.5999999999999999E-3</v>
      </c>
      <c r="H78" s="1194">
        <f t="shared" si="21"/>
        <v>2.5999999999999999E-3</v>
      </c>
      <c r="I78" s="760">
        <v>0.04</v>
      </c>
      <c r="J78" s="1191">
        <f t="shared" si="22"/>
        <v>5.1999999999999998E-3</v>
      </c>
      <c r="K78" s="1191">
        <f t="shared" si="23"/>
        <v>2.5999999999999999E-3</v>
      </c>
      <c r="L78" s="1191">
        <v>0</v>
      </c>
      <c r="M78" s="1191">
        <f t="shared" si="24"/>
        <v>-2.5999999999999999E-3</v>
      </c>
      <c r="N78" s="1191">
        <f t="shared" si="24"/>
        <v>-5.1999999999999998E-3</v>
      </c>
      <c r="Z78" s="2149"/>
      <c r="AA78" s="2215"/>
      <c r="AG78" s="1249"/>
      <c r="AK78" s="2215"/>
    </row>
    <row r="79" spans="1:37" ht="15">
      <c r="A79" s="2289" t="s">
        <v>2725</v>
      </c>
      <c r="B79" s="2290">
        <f>1+E81</f>
        <v>1</v>
      </c>
      <c r="C79" s="750"/>
      <c r="D79" s="750"/>
      <c r="E79" s="751"/>
      <c r="F79" s="2292"/>
      <c r="G79" s="6"/>
      <c r="H79" s="6"/>
      <c r="I79" s="6"/>
      <c r="J79" s="7"/>
      <c r="K79" s="7"/>
      <c r="L79" s="7"/>
      <c r="M79" s="7"/>
      <c r="N79" s="7"/>
      <c r="Z79" s="2149"/>
      <c r="AA79" s="2215"/>
      <c r="AG79" s="1249"/>
      <c r="AK79" s="2215"/>
    </row>
    <row r="80" spans="1:37" ht="24.75">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8.25">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51">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4.25">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5.5">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5.5">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24">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39"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725" t="s">
        <v>2729</v>
      </c>
      <c r="B90" s="3725"/>
      <c r="C90" s="3725"/>
      <c r="D90" s="3725"/>
      <c r="E90" s="3725"/>
      <c r="F90" s="3725"/>
      <c r="G90" s="3725"/>
      <c r="H90" s="3725"/>
      <c r="I90" s="3725"/>
      <c r="J90" s="3725"/>
      <c r="K90" s="2307"/>
      <c r="L90" s="2307"/>
      <c r="M90" s="2307"/>
      <c r="N90" s="2307"/>
    </row>
    <row r="91" spans="1:37">
      <c r="A91" s="3727" t="s">
        <v>2730</v>
      </c>
      <c r="B91" s="3727" t="s">
        <v>2731</v>
      </c>
      <c r="C91" s="2262" t="s">
        <v>2732</v>
      </c>
      <c r="D91" s="2263"/>
      <c r="E91" s="2263"/>
      <c r="F91" s="2263"/>
      <c r="G91" s="2263"/>
      <c r="H91" s="2263"/>
      <c r="I91" s="2263"/>
      <c r="J91" s="2308"/>
      <c r="K91" s="2309"/>
      <c r="L91" s="2309"/>
      <c r="M91" s="2309"/>
      <c r="N91" s="2309"/>
    </row>
    <row r="92" spans="1:37">
      <c r="A92" s="3727"/>
      <c r="B92" s="3727"/>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728"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72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72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72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72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72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729"/>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73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728" t="s">
        <v>2734</v>
      </c>
      <c r="B101" s="2314" t="s">
        <v>2735</v>
      </c>
      <c r="C101" s="2315">
        <f>$G$3</f>
        <v>1.93</v>
      </c>
      <c r="D101" s="2315">
        <f t="shared" ref="D101:N101" si="32">$G$3</f>
        <v>1.93</v>
      </c>
      <c r="E101" s="2315">
        <f t="shared" si="32"/>
        <v>1.93</v>
      </c>
      <c r="F101" s="2315">
        <f t="shared" si="32"/>
        <v>1.93</v>
      </c>
      <c r="G101" s="2315">
        <f t="shared" si="32"/>
        <v>1.93</v>
      </c>
      <c r="H101" s="2315">
        <f t="shared" si="32"/>
        <v>1.93</v>
      </c>
      <c r="I101" s="2315">
        <f t="shared" si="32"/>
        <v>1.93</v>
      </c>
      <c r="J101" s="2315">
        <f t="shared" si="32"/>
        <v>1.93</v>
      </c>
      <c r="K101" s="2315">
        <f t="shared" si="32"/>
        <v>1.93</v>
      </c>
      <c r="L101" s="2315">
        <f t="shared" si="32"/>
        <v>1.93</v>
      </c>
      <c r="M101" s="2315">
        <f t="shared" si="32"/>
        <v>1.93</v>
      </c>
      <c r="N101" s="2315">
        <f t="shared" si="32"/>
        <v>1.93</v>
      </c>
    </row>
    <row r="102" spans="1:14">
      <c r="A102" s="3729"/>
      <c r="B102" s="2310">
        <v>1</v>
      </c>
      <c r="C102" s="2311">
        <f>1.9362/C101</f>
        <v>1.0032124352331606</v>
      </c>
      <c r="D102" s="2311">
        <f>1.9362/D101</f>
        <v>1.0032124352331606</v>
      </c>
      <c r="E102" s="2311">
        <f>1.8629/E101</f>
        <v>0.96523316062176168</v>
      </c>
      <c r="F102" s="2311">
        <f>1.8629/F101</f>
        <v>0.96523316062176168</v>
      </c>
      <c r="G102" s="2311">
        <f>1.8629/G101</f>
        <v>0.96523316062176168</v>
      </c>
      <c r="H102" s="2311">
        <f>1.8629/H101</f>
        <v>0.96523316062176168</v>
      </c>
      <c r="I102" s="2311">
        <f>1.8629/I101</f>
        <v>0.96523316062176168</v>
      </c>
      <c r="J102" s="2311">
        <f>1.942/J101</f>
        <v>1.0062176165803109</v>
      </c>
      <c r="K102" s="2311">
        <f>1.942/K101</f>
        <v>1.0062176165803109</v>
      </c>
      <c r="L102" s="2311">
        <f>1.942/L101</f>
        <v>1.0062176165803109</v>
      </c>
      <c r="M102" s="2311">
        <f>1.942/M101</f>
        <v>1.0062176165803109</v>
      </c>
      <c r="N102" s="2311">
        <f>1.942/N101</f>
        <v>1.0062176165803109</v>
      </c>
    </row>
    <row r="103" spans="1:14">
      <c r="A103" s="3729"/>
      <c r="B103" s="2310">
        <v>2</v>
      </c>
      <c r="C103" s="2311">
        <f>1.4198/C101</f>
        <v>0.73564766839378237</v>
      </c>
      <c r="D103" s="2311">
        <f>1.4198/D101</f>
        <v>0.73564766839378237</v>
      </c>
      <c r="E103" s="2311">
        <f>1.3372/E101</f>
        <v>0.69284974093264251</v>
      </c>
      <c r="F103" s="2311">
        <f>1.3372/F101</f>
        <v>0.69284974093264251</v>
      </c>
      <c r="G103" s="2311">
        <f>1.3372/G101</f>
        <v>0.69284974093264251</v>
      </c>
      <c r="H103" s="2311">
        <f>1.3372/H101</f>
        <v>0.69284974093264251</v>
      </c>
      <c r="I103" s="2311">
        <f>1.3372/I101</f>
        <v>0.69284974093264251</v>
      </c>
      <c r="J103" s="2311">
        <f>1.2799/J101</f>
        <v>0.66316062176165802</v>
      </c>
      <c r="K103" s="2311">
        <f>1.2799/K101</f>
        <v>0.66316062176165802</v>
      </c>
      <c r="L103" s="2311">
        <f>1.2799/L101</f>
        <v>0.66316062176165802</v>
      </c>
      <c r="M103" s="2311">
        <f>1.2799/M101</f>
        <v>0.66316062176165802</v>
      </c>
      <c r="N103" s="2311">
        <f>1.2799/N101</f>
        <v>0.66316062176165802</v>
      </c>
    </row>
    <row r="104" spans="1:14">
      <c r="A104" s="3729"/>
      <c r="B104" s="2310">
        <v>3</v>
      </c>
      <c r="C104" s="2311">
        <f>1.1594/C101</f>
        <v>0.6007253886010363</v>
      </c>
      <c r="D104" s="2311">
        <f>1.1594/D101</f>
        <v>0.6007253886010363</v>
      </c>
      <c r="E104" s="2311">
        <f>1.0788/E101</f>
        <v>0.55896373056994819</v>
      </c>
      <c r="F104" s="2311">
        <f>1.0788/F101</f>
        <v>0.55896373056994819</v>
      </c>
      <c r="G104" s="2311">
        <f>1.0788/G101</f>
        <v>0.55896373056994819</v>
      </c>
      <c r="H104" s="2311">
        <f>1.0788/H101</f>
        <v>0.55896373056994819</v>
      </c>
      <c r="I104" s="2311">
        <f>1.0788/I101</f>
        <v>0.55896373056994819</v>
      </c>
      <c r="J104" s="2311">
        <f>1.0072/J101</f>
        <v>0.52186528497409335</v>
      </c>
      <c r="K104" s="2311">
        <f>1.0072/K101</f>
        <v>0.52186528497409335</v>
      </c>
      <c r="L104" s="2311">
        <f>1.0072/L101</f>
        <v>0.52186528497409335</v>
      </c>
      <c r="M104" s="2311">
        <f>1.0072/M101</f>
        <v>0.52186528497409335</v>
      </c>
      <c r="N104" s="2311">
        <f>1.0072/N101</f>
        <v>0.52186528497409335</v>
      </c>
    </row>
    <row r="105" spans="1:14">
      <c r="A105" s="3729"/>
      <c r="B105" s="2310">
        <v>4</v>
      </c>
      <c r="C105" s="2311">
        <f>0.9622/C101</f>
        <v>0.49854922279792752</v>
      </c>
      <c r="D105" s="2311">
        <f>0.9622/D101</f>
        <v>0.49854922279792752</v>
      </c>
      <c r="E105" s="2311">
        <f>0.8656/E101</f>
        <v>0.4484974093264249</v>
      </c>
      <c r="F105" s="2311">
        <f>0.8656/F101</f>
        <v>0.4484974093264249</v>
      </c>
      <c r="G105" s="2311">
        <f>0.8656/G101</f>
        <v>0.4484974093264249</v>
      </c>
      <c r="H105" s="2311">
        <f>0.8656/H101</f>
        <v>0.4484974093264249</v>
      </c>
      <c r="I105" s="2311">
        <f>0.8656/I101</f>
        <v>0.4484974093264249</v>
      </c>
      <c r="J105" s="2311">
        <f>0.7525/J101</f>
        <v>0.38989637305699482</v>
      </c>
      <c r="K105" s="2311">
        <f>0.7525/K101</f>
        <v>0.38989637305699482</v>
      </c>
      <c r="L105" s="2311">
        <f>0.7525/L101</f>
        <v>0.38989637305699482</v>
      </c>
      <c r="M105" s="2311">
        <f>0.7525/M101</f>
        <v>0.38989637305699482</v>
      </c>
      <c r="N105" s="2311">
        <f>0.7525/N101</f>
        <v>0.38989637305699482</v>
      </c>
    </row>
    <row r="106" spans="1:14">
      <c r="A106" s="3729"/>
      <c r="B106" s="2310">
        <v>5</v>
      </c>
      <c r="C106" s="2311">
        <f>0.8417/C101</f>
        <v>0.43611398963730569</v>
      </c>
      <c r="D106" s="2311">
        <f>0.8417/D101</f>
        <v>0.43611398963730569</v>
      </c>
      <c r="E106" s="2311">
        <f>0.7371/E101</f>
        <v>0.38191709844559585</v>
      </c>
      <c r="F106" s="2311">
        <f>0.7371/F101</f>
        <v>0.38191709844559585</v>
      </c>
      <c r="G106" s="2311">
        <f>0.7371/G101</f>
        <v>0.38191709844559585</v>
      </c>
      <c r="H106" s="2311">
        <f>0.7371/H101</f>
        <v>0.38191709844559585</v>
      </c>
      <c r="I106" s="2311">
        <f>0.7371/I101</f>
        <v>0.38191709844559585</v>
      </c>
      <c r="J106" s="2311">
        <f>0.5659/J101</f>
        <v>0.2932124352331606</v>
      </c>
      <c r="K106" s="2311">
        <f>0.5659/K101</f>
        <v>0.2932124352331606</v>
      </c>
      <c r="L106" s="2311">
        <f>0.5659/L101</f>
        <v>0.2932124352331606</v>
      </c>
      <c r="M106" s="2311">
        <f>0.5659/M101</f>
        <v>0.2932124352331606</v>
      </c>
      <c r="N106" s="2311">
        <f>0.5659/N101</f>
        <v>0.2932124352331606</v>
      </c>
    </row>
    <row r="107" spans="1:14">
      <c r="A107" s="3729"/>
      <c r="B107" s="2310">
        <v>6</v>
      </c>
      <c r="C107" s="2311">
        <f>0.7608/C101</f>
        <v>0.39419689119170986</v>
      </c>
      <c r="D107" s="2311">
        <f>0.7608/D101</f>
        <v>0.39419689119170986</v>
      </c>
      <c r="E107" s="2311">
        <f>0.6482/E101</f>
        <v>0.33585492227979274</v>
      </c>
      <c r="F107" s="2311">
        <f>0.6482/F101</f>
        <v>0.33585492227979274</v>
      </c>
      <c r="G107" s="2311">
        <f>0.6482/G101</f>
        <v>0.33585492227979274</v>
      </c>
      <c r="H107" s="2311">
        <f>0.6482/H101</f>
        <v>0.33585492227979274</v>
      </c>
      <c r="I107" s="2311">
        <f>0.6482/I101</f>
        <v>0.33585492227979274</v>
      </c>
      <c r="J107" s="2311">
        <f>0.4525/J101</f>
        <v>0.23445595854922283</v>
      </c>
      <c r="K107" s="2311">
        <f>0.4525/K101</f>
        <v>0.23445595854922283</v>
      </c>
      <c r="L107" s="2311">
        <f>0.4525/L101</f>
        <v>0.23445595854922283</v>
      </c>
      <c r="M107" s="2311">
        <f>0.4525/M101</f>
        <v>0.23445595854922283</v>
      </c>
      <c r="N107" s="2311">
        <f>0.4525/N101</f>
        <v>0.23445595854922283</v>
      </c>
    </row>
    <row r="108" spans="1:14">
      <c r="A108" s="3729"/>
      <c r="B108" s="3731"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730"/>
      <c r="B109" s="3732"/>
      <c r="C109" s="2313">
        <f>(-0.163*(C108^2)-0.59*C108+7617)*(10^(-4))/C101</f>
        <v>0.39466321243523317</v>
      </c>
      <c r="D109" s="2313">
        <f>(-0.163*(D108^2)-0.59*D108+7617)*(10^(-4))/D101</f>
        <v>0.39466321243523317</v>
      </c>
      <c r="E109" s="2313">
        <f>(-0.161*(E108^2)-7.509*E108+6533)*(10^(-4))/E101</f>
        <v>0.33849740932642486</v>
      </c>
      <c r="F109" s="2313">
        <f>(-0.161*(F108^2)-7.509*F108+6533)*(10^(-4))/F101</f>
        <v>0.33849740932642486</v>
      </c>
      <c r="G109" s="2313">
        <f>(-0.161*(G108^2)-7.509*G108+6533)*(10^(-4))/G101</f>
        <v>0.33849740932642486</v>
      </c>
      <c r="H109" s="2313">
        <f>(-0.161*(H108^2)-7.509*H108+6533)*(10^(-4))/H101</f>
        <v>0.33849740932642486</v>
      </c>
      <c r="I109" s="2313">
        <f>(-0.161*(I108^2)-7.509*I108+6533)*(10^(-4))/I101</f>
        <v>0.33849740932642486</v>
      </c>
      <c r="J109" s="2313">
        <f>(-0.214*(J108^2)-21.991*J108+4665)*(10^(-4))/J101</f>
        <v>0.24170984455958552</v>
      </c>
      <c r="K109" s="2313">
        <f>(-0.214*(K108^2)-21.991*K108+4665)*(10^(-4))/K101</f>
        <v>0.24170984455958552</v>
      </c>
      <c r="L109" s="2313">
        <f>(-0.214*(L108^2)-21.991*L108+4665)*(10^(-4))/L101</f>
        <v>0.24170984455958552</v>
      </c>
      <c r="M109" s="2313">
        <f>(-0.214*(M108^2)-21.991*M108+4665)*(10^(-4))/M101</f>
        <v>0.24170984455958552</v>
      </c>
      <c r="N109" s="2313">
        <f>(-0.214*(N108^2)-21.991*N108+4665)*(10^(-4))/N101</f>
        <v>0.24170984455958552</v>
      </c>
    </row>
    <row r="110" spans="1:14">
      <c r="A110" s="3726" t="s">
        <v>2737</v>
      </c>
      <c r="B110" s="3726"/>
      <c r="C110" s="3726"/>
      <c r="D110" s="3726"/>
      <c r="E110" s="3726"/>
      <c r="F110" s="3726"/>
      <c r="G110" s="3726"/>
      <c r="H110" s="3726"/>
      <c r="I110" s="3726"/>
      <c r="J110" s="3726"/>
      <c r="K110" s="2316"/>
      <c r="L110" s="2316"/>
      <c r="M110" s="2316"/>
      <c r="N110" s="2316"/>
    </row>
    <row r="112" spans="1:14" ht="13.5" thickBot="1"/>
    <row r="113" spans="1:13" ht="25.5" thickBot="1">
      <c r="A113" s="839" t="s">
        <v>2738</v>
      </c>
      <c r="B113" s="1193">
        <f>G3</f>
        <v>1.93</v>
      </c>
      <c r="C113" s="840" t="s">
        <v>2739</v>
      </c>
      <c r="D113" s="841">
        <f>SUMPRODUCT((A115:A118=F113)*(B114:M114=H113)*B115:M118)</f>
        <v>0.85940000000000005</v>
      </c>
      <c r="E113" s="2153" t="s">
        <v>2574</v>
      </c>
      <c r="F113" s="2318" t="str">
        <f>E2</f>
        <v>住宅</v>
      </c>
      <c r="G113" s="2153" t="s">
        <v>2575</v>
      </c>
      <c r="H113" s="2318" t="str">
        <f>G2</f>
        <v>七级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0.91539999999999999</v>
      </c>
      <c r="C115" s="846">
        <f>B115</f>
        <v>0.91539999999999999</v>
      </c>
      <c r="D115" s="846">
        <f>ROUND(0.8331-0.0109*B113,4)</f>
        <v>0.81210000000000004</v>
      </c>
      <c r="E115" s="846">
        <f>D115</f>
        <v>0.81210000000000004</v>
      </c>
      <c r="F115" s="846">
        <f>E115</f>
        <v>0.81210000000000004</v>
      </c>
      <c r="G115" s="846">
        <f>F115</f>
        <v>0.81210000000000004</v>
      </c>
      <c r="H115" s="846">
        <f>G115</f>
        <v>0.81210000000000004</v>
      </c>
      <c r="I115" s="846">
        <f>ROUND(0.689-0.0155*B113,4)</f>
        <v>0.65910000000000002</v>
      </c>
      <c r="J115" s="846">
        <f t="shared" ref="J115:M118" si="34">I115</f>
        <v>0.65910000000000002</v>
      </c>
      <c r="K115" s="846">
        <f t="shared" si="34"/>
        <v>0.65910000000000002</v>
      </c>
      <c r="L115" s="846">
        <f t="shared" si="34"/>
        <v>0.65910000000000002</v>
      </c>
      <c r="M115" s="847">
        <f t="shared" si="34"/>
        <v>0.65910000000000002</v>
      </c>
    </row>
    <row r="116" spans="1:13">
      <c r="A116" s="845" t="s">
        <v>2639</v>
      </c>
      <c r="B116" s="846">
        <f>ROUND(0.949-0.012*B113,4)</f>
        <v>0.92579999999999996</v>
      </c>
      <c r="C116" s="846">
        <f>B116</f>
        <v>0.92579999999999996</v>
      </c>
      <c r="D116" s="846">
        <f>ROUND(0.8567-0.013*B113,4)</f>
        <v>0.83160000000000001</v>
      </c>
      <c r="E116" s="846">
        <f t="shared" ref="E116:H117" si="35">D116</f>
        <v>0.83160000000000001</v>
      </c>
      <c r="F116" s="846">
        <f t="shared" si="35"/>
        <v>0.83160000000000001</v>
      </c>
      <c r="G116" s="846">
        <f t="shared" si="35"/>
        <v>0.83160000000000001</v>
      </c>
      <c r="H116" s="846">
        <f t="shared" si="35"/>
        <v>0.83160000000000001</v>
      </c>
      <c r="I116" s="846">
        <f>ROUND(0.7694-0.014*B113,4)</f>
        <v>0.74239999999999995</v>
      </c>
      <c r="J116" s="846">
        <f t="shared" si="34"/>
        <v>0.74239999999999995</v>
      </c>
      <c r="K116" s="846">
        <f t="shared" si="34"/>
        <v>0.74239999999999995</v>
      </c>
      <c r="L116" s="846">
        <f t="shared" si="34"/>
        <v>0.74239999999999995</v>
      </c>
      <c r="M116" s="847">
        <f t="shared" si="34"/>
        <v>0.74239999999999995</v>
      </c>
    </row>
    <row r="117" spans="1:13">
      <c r="A117" s="845" t="s">
        <v>2640</v>
      </c>
      <c r="B117" s="846">
        <f>ROUND(0.8808-0.006*B113,4)</f>
        <v>0.86919999999999997</v>
      </c>
      <c r="C117" s="846">
        <f>B117</f>
        <v>0.86919999999999997</v>
      </c>
      <c r="D117" s="846">
        <f>ROUND(0.8748-0.008*B113,4)</f>
        <v>0.85940000000000005</v>
      </c>
      <c r="E117" s="846">
        <f t="shared" si="35"/>
        <v>0.85940000000000005</v>
      </c>
      <c r="F117" s="846">
        <f t="shared" si="35"/>
        <v>0.85940000000000005</v>
      </c>
      <c r="G117" s="846">
        <f t="shared" si="35"/>
        <v>0.85940000000000005</v>
      </c>
      <c r="H117" s="846">
        <f t="shared" si="35"/>
        <v>0.85940000000000005</v>
      </c>
      <c r="I117" s="846">
        <f>ROUND(0.7412-0.0095*B113,4)</f>
        <v>0.72289999999999999</v>
      </c>
      <c r="J117" s="846">
        <f t="shared" si="34"/>
        <v>0.72289999999999999</v>
      </c>
      <c r="K117" s="846">
        <f t="shared" si="34"/>
        <v>0.72289999999999999</v>
      </c>
      <c r="L117" s="846">
        <f t="shared" si="34"/>
        <v>0.72289999999999999</v>
      </c>
      <c r="M117" s="847">
        <f t="shared" si="34"/>
        <v>0.72289999999999999</v>
      </c>
    </row>
    <row r="118" spans="1:13" ht="13.5" thickBot="1">
      <c r="A118" s="668" t="s">
        <v>2641</v>
      </c>
      <c r="B118" s="848">
        <f>ROUND(0.7275-0.01*B113,4)</f>
        <v>0.70820000000000005</v>
      </c>
      <c r="C118" s="848">
        <f>B118</f>
        <v>0.70820000000000005</v>
      </c>
      <c r="D118" s="848">
        <f>ROUND(0.7043-0.012*B113,4)</f>
        <v>0.68110000000000004</v>
      </c>
      <c r="E118" s="848">
        <f>D118</f>
        <v>0.68110000000000004</v>
      </c>
      <c r="F118" s="848">
        <f>E118</f>
        <v>0.68110000000000004</v>
      </c>
      <c r="G118" s="848">
        <f>ROUND(0.6299-0.0122*B113,4)</f>
        <v>0.60640000000000005</v>
      </c>
      <c r="H118" s="848">
        <f>G118</f>
        <v>0.60640000000000005</v>
      </c>
      <c r="I118" s="848">
        <f>ROUND(0.5667-0.0136*B113,4)</f>
        <v>0.54049999999999998</v>
      </c>
      <c r="J118" s="848">
        <f t="shared" si="34"/>
        <v>0.54049999999999998</v>
      </c>
      <c r="K118" s="848">
        <f t="shared" si="34"/>
        <v>0.54049999999999998</v>
      </c>
      <c r="L118" s="848">
        <f t="shared" si="34"/>
        <v>0.54049999999999998</v>
      </c>
      <c r="M118" s="849">
        <f t="shared" si="34"/>
        <v>0.54049999999999998</v>
      </c>
    </row>
  </sheetData>
  <sheetProtection formatCells="0" formatColumns="0" formatRows="0"/>
  <dataConsolidate/>
  <mergeCells count="19">
    <mergeCell ref="N31:N32"/>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workbookViewId="0">
      <selection activeCell="F17" sqref="F17"/>
    </sheetView>
  </sheetViews>
  <sheetFormatPr defaultColWidth="8.375" defaultRowHeight="12.75"/>
  <cols>
    <col min="1" max="1" width="9.375" style="273" customWidth="1"/>
    <col min="2" max="2" width="26.625" style="255" customWidth="1"/>
    <col min="3" max="3" width="11.125" style="255" customWidth="1"/>
    <col min="4" max="5" width="11.125" style="276" customWidth="1"/>
    <col min="6" max="6" width="9.375" style="255" customWidth="1"/>
    <col min="7" max="7" width="31.875" style="255" customWidth="1"/>
    <col min="8" max="25" width="9" style="1533" customWidth="1"/>
    <col min="26" max="254" width="9" style="255" customWidth="1"/>
    <col min="255" max="16384" width="8.375" style="255"/>
  </cols>
  <sheetData>
    <row r="1" spans="1:25" s="3412" customFormat="1" ht="20.25">
      <c r="A1" s="200" t="s">
        <v>3577</v>
      </c>
      <c r="B1" s="201"/>
      <c r="C1" s="3410"/>
      <c r="D1" s="3410"/>
      <c r="E1" s="3410"/>
      <c r="F1" s="3410"/>
      <c r="G1" s="3411"/>
    </row>
    <row r="2" spans="1:25" s="3412" customFormat="1" ht="18" customHeight="1">
      <c r="A2" s="205" t="s">
        <v>3578</v>
      </c>
      <c r="B2" s="208">
        <f>C23</f>
        <v>10639</v>
      </c>
      <c r="C2" s="3413"/>
      <c r="D2" s="3413"/>
      <c r="E2" s="3413"/>
      <c r="F2" s="3413"/>
      <c r="G2" s="3413"/>
    </row>
    <row r="3" spans="1:25" s="3412" customFormat="1" ht="18" customHeight="1">
      <c r="A3" s="3414" t="s">
        <v>3579</v>
      </c>
      <c r="B3" s="208">
        <f>ROUND(B2*10000/'数据-基础表'!I5,0)</f>
        <v>2242</v>
      </c>
      <c r="C3" s="3413"/>
      <c r="D3" s="3413"/>
      <c r="E3" s="3413"/>
      <c r="F3" s="3413"/>
      <c r="G3" s="3413"/>
    </row>
    <row r="4" spans="1:25" s="3412" customFormat="1" ht="18" customHeight="1">
      <c r="A4" s="3415" t="s">
        <v>3580</v>
      </c>
      <c r="B4" s="3416">
        <f>ROUND(B2*10000/D8,0)</f>
        <v>5679</v>
      </c>
      <c r="C4" s="3417"/>
      <c r="D4" s="3413"/>
      <c r="E4" s="3413"/>
      <c r="F4" s="3413"/>
      <c r="G4" s="3413"/>
    </row>
    <row r="5" spans="1:25" s="3412" customFormat="1" ht="18" customHeight="1" thickBot="1">
      <c r="A5" s="203"/>
      <c r="B5" s="3418">
        <f>ROUND(B2/(D8/666.67),0)</f>
        <v>379</v>
      </c>
      <c r="C5" s="3419" t="s">
        <v>3581</v>
      </c>
      <c r="D5" s="3413"/>
      <c r="E5" s="3413"/>
      <c r="F5" s="3413"/>
      <c r="G5" s="3413"/>
    </row>
    <row r="6" spans="1:25" s="3425" customFormat="1" ht="13.5" customHeight="1">
      <c r="A6" s="3420"/>
      <c r="B6" s="3421" t="s">
        <v>3582</v>
      </c>
      <c r="C6" s="3422" t="s">
        <v>3583</v>
      </c>
      <c r="D6" s="3422" t="s">
        <v>3584</v>
      </c>
      <c r="E6" s="3423" t="s">
        <v>3585</v>
      </c>
      <c r="F6" s="3423" t="s">
        <v>3586</v>
      </c>
      <c r="G6" s="3424" t="s">
        <v>3587</v>
      </c>
    </row>
    <row r="7" spans="1:25" s="3425" customFormat="1" ht="13.5" customHeight="1">
      <c r="A7" s="3426">
        <v>1</v>
      </c>
      <c r="B7" s="248" t="s">
        <v>3588</v>
      </c>
      <c r="C7" s="249">
        <f>C8+C9</f>
        <v>9645</v>
      </c>
      <c r="D7" s="249"/>
      <c r="E7" s="3427"/>
      <c r="F7" s="3427"/>
      <c r="G7" s="3428" t="s">
        <v>3589</v>
      </c>
    </row>
    <row r="8" spans="1:25" s="3425" customFormat="1" ht="13.5" customHeight="1">
      <c r="A8" s="3426" t="s">
        <v>3590</v>
      </c>
      <c r="B8" s="3429" t="s">
        <v>3591</v>
      </c>
      <c r="C8" s="3430">
        <f t="shared" ref="C8:C9" si="0">ROUND(D8*E8/10000,0)</f>
        <v>9645</v>
      </c>
      <c r="D8" s="3457">
        <v>18734.726999999999</v>
      </c>
      <c r="E8" s="3431">
        <f>'土地比较法-住宅、综合'!C47</f>
        <v>5148</v>
      </c>
      <c r="F8" s="3427"/>
      <c r="G8" s="3432"/>
    </row>
    <row r="9" spans="1:25" s="3425" customFormat="1" ht="13.5" customHeight="1">
      <c r="A9" s="3426" t="s">
        <v>3592</v>
      </c>
      <c r="B9" s="3429" t="s">
        <v>3593</v>
      </c>
      <c r="C9" s="3430">
        <f t="shared" si="0"/>
        <v>0</v>
      </c>
      <c r="D9" s="3430">
        <v>0</v>
      </c>
      <c r="E9" s="3431">
        <v>0</v>
      </c>
      <c r="F9" s="3427"/>
      <c r="G9" s="3432"/>
    </row>
    <row r="10" spans="1:25" s="3425" customFormat="1" ht="36">
      <c r="A10" s="3426">
        <v>2</v>
      </c>
      <c r="B10" s="248" t="s">
        <v>3594</v>
      </c>
      <c r="C10" s="249">
        <f>C11+C14+C15</f>
        <v>562</v>
      </c>
      <c r="D10" s="3433"/>
      <c r="E10" s="249"/>
      <c r="F10" s="250"/>
      <c r="G10" s="230" t="s">
        <v>3595</v>
      </c>
    </row>
    <row r="11" spans="1:25" s="3425" customFormat="1" ht="13.5" customHeight="1">
      <c r="A11" s="3426" t="s">
        <v>3590</v>
      </c>
      <c r="B11" s="3434" t="s">
        <v>3596</v>
      </c>
      <c r="C11" s="253">
        <f>C13</f>
        <v>562</v>
      </c>
      <c r="D11" s="3435"/>
      <c r="E11" s="253"/>
      <c r="F11" s="3436"/>
      <c r="G11" s="3437" t="s">
        <v>3597</v>
      </c>
    </row>
    <row r="12" spans="1:25" s="3425" customFormat="1" ht="13.5" customHeight="1">
      <c r="A12" s="3438" t="s">
        <v>3598</v>
      </c>
      <c r="B12" s="3439" t="s">
        <v>3599</v>
      </c>
      <c r="C12" s="3440">
        <f>ROUND(D12*E12/10000,0)</f>
        <v>0</v>
      </c>
      <c r="D12" s="3430">
        <f>'[2]数据-汇总表'!E5</f>
        <v>0</v>
      </c>
      <c r="E12" s="3430">
        <f>'[2]数据-取费表'!B27</f>
        <v>0</v>
      </c>
      <c r="F12" s="3436"/>
      <c r="G12" s="230"/>
    </row>
    <row r="13" spans="1:25" s="3425" customFormat="1" ht="13.5" customHeight="1">
      <c r="A13" s="3438" t="s">
        <v>3600</v>
      </c>
      <c r="B13" s="3439" t="s">
        <v>3601</v>
      </c>
      <c r="C13" s="3440">
        <f>ROUND(D13*E13/10000,0)</f>
        <v>562</v>
      </c>
      <c r="D13" s="3457">
        <f>D8</f>
        <v>18734.726999999999</v>
      </c>
      <c r="E13" s="3441">
        <f>基准地价修正!E17</f>
        <v>300</v>
      </c>
      <c r="F13" s="3436"/>
      <c r="G13" s="230"/>
    </row>
    <row r="14" spans="1:25" s="3425" customFormat="1" ht="13.5" customHeight="1">
      <c r="A14" s="3426" t="s">
        <v>3592</v>
      </c>
      <c r="B14" s="3442" t="s">
        <v>3602</v>
      </c>
      <c r="C14" s="3443">
        <f t="shared" ref="C14:C16" si="1">ROUND(D14*E14/10000,0)</f>
        <v>0</v>
      </c>
      <c r="D14" s="3430">
        <v>0</v>
      </c>
      <c r="E14" s="3431">
        <v>0</v>
      </c>
      <c r="F14" s="3444"/>
      <c r="G14" s="3445" t="s">
        <v>3603</v>
      </c>
    </row>
    <row r="15" spans="1:25" s="3425" customFormat="1" ht="13.5" customHeight="1">
      <c r="A15" s="3426" t="s">
        <v>3604</v>
      </c>
      <c r="B15" s="3442" t="s">
        <v>3605</v>
      </c>
      <c r="C15" s="3443">
        <f t="shared" si="1"/>
        <v>0</v>
      </c>
      <c r="D15" s="3430">
        <v>0</v>
      </c>
      <c r="E15" s="3431">
        <v>0</v>
      </c>
      <c r="F15" s="3444"/>
      <c r="G15" s="3445" t="s">
        <v>3606</v>
      </c>
    </row>
    <row r="16" spans="1:25" s="227" customFormat="1" ht="48">
      <c r="A16" s="3426">
        <v>3</v>
      </c>
      <c r="B16" s="248" t="s">
        <v>3607</v>
      </c>
      <c r="C16" s="3443">
        <f t="shared" si="1"/>
        <v>0</v>
      </c>
      <c r="D16" s="3430">
        <v>0</v>
      </c>
      <c r="E16" s="3431">
        <v>0</v>
      </c>
      <c r="F16" s="250"/>
      <c r="G16" s="230" t="s">
        <v>3608</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5.5">
      <c r="A17" s="3446">
        <v>4</v>
      </c>
      <c r="B17" s="248" t="s">
        <v>3609</v>
      </c>
      <c r="C17" s="1256">
        <f>ROUND(IF('数据-取费表'!B19&lt;=1,((C7+C16)*'数据-取费表'!B19+C10*'数据-取费表'!B19/2)*F17,((C7+C16)*(POWER((1+F17),'数据-取费表'!B19)-1)+C10*(POWER((1+F17),'数据-取费表'!B19/2)-1))),0)</f>
        <v>432</v>
      </c>
      <c r="D17" s="239"/>
      <c r="E17" s="240"/>
      <c r="F17" s="241">
        <f>[2]存贷款利率!E3</f>
        <v>4.3499999999999997E-2</v>
      </c>
      <c r="G17" s="251" t="str">
        <f>IF('[2]数据-取费表'!B19&lt;=1,"((１＋３)×土地开发期+２×(土地开发期÷２))×利率","((１＋３)×((1+利率)^土地开发期-1)+２×((1+利率)^(土地开发期÷２)-1)")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3610</v>
      </c>
      <c r="C18" s="249">
        <f>ROUND((C7+C10+C16)*F18,0)</f>
        <v>0</v>
      </c>
      <c r="D18" s="239"/>
      <c r="E18" s="240"/>
      <c r="F18" s="3448">
        <v>0</v>
      </c>
      <c r="G18" s="251" t="s">
        <v>3611</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3612</v>
      </c>
      <c r="C19" s="249">
        <f>C7+C10+C16+C17+C18</f>
        <v>10639</v>
      </c>
      <c r="D19" s="3433"/>
      <c r="E19" s="249"/>
      <c r="F19" s="250"/>
      <c r="G19" s="251" t="s">
        <v>3613</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4.75">
      <c r="A20" s="3426">
        <v>7</v>
      </c>
      <c r="B20" s="248" t="s">
        <v>3614</v>
      </c>
      <c r="C20" s="249">
        <f>ROUND(C19*F20,0)</f>
        <v>0</v>
      </c>
      <c r="D20" s="3433"/>
      <c r="E20" s="249"/>
      <c r="F20" s="3449">
        <v>0</v>
      </c>
      <c r="G20" s="251" t="s">
        <v>3615</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3616</v>
      </c>
      <c r="C21" s="249">
        <f>C19+C20</f>
        <v>10639</v>
      </c>
      <c r="D21" s="3433"/>
      <c r="E21" s="249"/>
      <c r="F21" s="250"/>
      <c r="G21" s="251" t="s">
        <v>3617</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3618</v>
      </c>
      <c r="C22" s="249">
        <f>ROUND(C21*F22,0)</f>
        <v>10639</v>
      </c>
      <c r="D22" s="3433"/>
      <c r="E22" s="249"/>
      <c r="F22" s="3450">
        <v>1</v>
      </c>
      <c r="G22" s="251" t="s">
        <v>3619</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15" customHeight="1" thickBot="1">
      <c r="A23" s="3451">
        <v>10</v>
      </c>
      <c r="B23" s="3452" t="s">
        <v>3620</v>
      </c>
      <c r="C23" s="3453">
        <f>C22</f>
        <v>10639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A15" zoomScale="80" zoomScaleNormal="60" zoomScaleSheetLayoutView="80" workbookViewId="0">
      <selection activeCell="C47" sqref="C4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3" style="361" customWidth="1"/>
    <col min="7" max="7" width="17.5" style="361" customWidth="1"/>
    <col min="8" max="8" width="14.125" style="361" customWidth="1"/>
    <col min="9" max="9" width="14.5" style="361" customWidth="1"/>
    <col min="10" max="10" width="12.25" style="361" customWidth="1"/>
    <col min="11" max="11" width="17" style="450" customWidth="1"/>
    <col min="12" max="12" width="12.25" style="451" customWidth="1"/>
    <col min="13" max="13" width="7.125" style="361" customWidth="1"/>
    <col min="14" max="14" width="8.75" style="361" customWidth="1"/>
    <col min="15" max="15" width="7.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12870</v>
      </c>
      <c r="C2" s="1035"/>
      <c r="D2" s="1035"/>
      <c r="E2" s="1036"/>
      <c r="F2" s="1037"/>
      <c r="G2" s="1036"/>
      <c r="H2" s="1036"/>
      <c r="I2" s="1036"/>
      <c r="J2" s="1036"/>
      <c r="K2" s="1038"/>
      <c r="L2" s="3291" t="s">
        <v>3392</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2018</v>
      </c>
      <c r="C3" s="207" t="s">
        <v>2507</v>
      </c>
      <c r="D3" s="1322"/>
      <c r="E3" s="1036"/>
      <c r="F3" s="1037"/>
      <c r="G3" s="1036"/>
      <c r="H3" s="1036"/>
      <c r="I3" s="1036"/>
      <c r="J3" s="1036"/>
      <c r="K3" s="1038"/>
      <c r="L3" s="3255" t="s">
        <v>3342</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5">
      <c r="A4" s="359" t="s">
        <v>2406</v>
      </c>
      <c r="B4" s="360"/>
      <c r="C4" s="3667" t="s">
        <v>2407</v>
      </c>
      <c r="D4" s="3668"/>
      <c r="E4" s="3669" t="s">
        <v>2408</v>
      </c>
      <c r="F4" s="3670"/>
      <c r="G4" s="3667" t="s">
        <v>2409</v>
      </c>
      <c r="H4" s="3668"/>
      <c r="I4" s="3667" t="s">
        <v>2410</v>
      </c>
      <c r="J4" s="3668"/>
      <c r="K4" s="565" t="s">
        <v>2411</v>
      </c>
      <c r="L4" s="3255" t="s">
        <v>3125</v>
      </c>
      <c r="M4" s="3296">
        <f>地价!P6</f>
        <v>1.1699999999999999E-2</v>
      </c>
      <c r="N4" s="3294">
        <f t="shared" si="0"/>
        <v>1.0117</v>
      </c>
      <c r="O4" s="3295">
        <f t="shared" si="1"/>
        <v>98.8</v>
      </c>
      <c r="P4" s="3743" t="s">
        <v>2412</v>
      </c>
      <c r="Q4" s="3672"/>
      <c r="R4" s="3677" t="s">
        <v>2408</v>
      </c>
      <c r="S4" s="3678"/>
      <c r="T4" s="3677" t="s">
        <v>2409</v>
      </c>
      <c r="U4" s="3678"/>
      <c r="V4" s="3683" t="s">
        <v>2410</v>
      </c>
      <c r="W4" s="3683"/>
      <c r="X4" s="1504"/>
      <c r="Y4" s="3677" t="s">
        <v>2412</v>
      </c>
      <c r="Z4" s="3678"/>
      <c r="AA4" s="3664" t="s">
        <v>2408</v>
      </c>
      <c r="AB4" s="3665" t="s">
        <v>2409</v>
      </c>
      <c r="AC4" s="3664" t="s">
        <v>2410</v>
      </c>
    </row>
    <row r="5" spans="1:30" ht="54.75" customHeight="1" thickBot="1">
      <c r="A5" s="362"/>
      <c r="B5" s="363"/>
      <c r="C5" s="3686" t="s">
        <v>2303</v>
      </c>
      <c r="D5" s="3687"/>
      <c r="E5" s="3693" t="str">
        <f>土地一级开发成本案例!G22</f>
        <v>大兴区瀛海镇西区C1-C5土地一级开发项目YZ00-0803-6024、6025、6027、6028等地块</v>
      </c>
      <c r="F5" s="3694"/>
      <c r="G5" s="3686" t="str">
        <f>土地一级开发成本案例!G24</f>
        <v>大兴区黄村镇三合庄改造区土地一级开发项目DX00-0202-6008、6009
地块</v>
      </c>
      <c r="H5" s="3687"/>
      <c r="I5" s="3686" t="str">
        <f>土地一级开发成本案例!G30</f>
        <v>大兴区庞各庄镇镇区改造土地一级开发项目（DX06-0103-6001、6002、6003）地块</v>
      </c>
      <c r="J5" s="3687"/>
      <c r="K5" s="565"/>
      <c r="L5" s="3255" t="s">
        <v>3002</v>
      </c>
      <c r="M5" s="3293">
        <f>地价!P7</f>
        <v>4.7999999999999996E-3</v>
      </c>
      <c r="N5" s="3294">
        <f t="shared" si="0"/>
        <v>1.0047999999999999</v>
      </c>
      <c r="O5" s="3295">
        <f t="shared" si="1"/>
        <v>99.5</v>
      </c>
      <c r="P5" s="3744"/>
      <c r="Q5" s="3674"/>
      <c r="R5" s="3679"/>
      <c r="S5" s="3680"/>
      <c r="T5" s="3679"/>
      <c r="U5" s="3680"/>
      <c r="V5" s="3683"/>
      <c r="W5" s="3683"/>
      <c r="X5" s="1504"/>
      <c r="Y5" s="3679"/>
      <c r="Z5" s="3680"/>
      <c r="AA5" s="3665"/>
      <c r="AB5" s="3665"/>
      <c r="AC5" s="3665"/>
    </row>
    <row r="6" spans="1:30" ht="13.5" hidden="1" customHeight="1" thickBot="1">
      <c r="A6" s="364"/>
      <c r="B6" s="365"/>
      <c r="C6" s="3684" t="s">
        <v>2307</v>
      </c>
      <c r="D6" s="3685"/>
      <c r="E6" s="3691" t="s">
        <v>2307</v>
      </c>
      <c r="F6" s="3692"/>
      <c r="G6" s="3684" t="s">
        <v>2307</v>
      </c>
      <c r="H6" s="3685"/>
      <c r="I6" s="3684" t="s">
        <v>2307</v>
      </c>
      <c r="J6" s="3685"/>
      <c r="K6" s="565" t="s">
        <v>2308</v>
      </c>
      <c r="L6" s="3255" t="s">
        <v>3001</v>
      </c>
      <c r="M6" s="3296">
        <f>地价!P8</f>
        <v>9.4999999999999998E-3</v>
      </c>
      <c r="N6" s="3294">
        <f t="shared" si="0"/>
        <v>1.0095000000000001</v>
      </c>
      <c r="O6" s="3295">
        <f t="shared" si="1"/>
        <v>99.1</v>
      </c>
      <c r="P6" s="3745"/>
      <c r="Q6" s="3676"/>
      <c r="R6" s="3679"/>
      <c r="S6" s="3680"/>
      <c r="T6" s="3681"/>
      <c r="U6" s="3682"/>
      <c r="V6" s="3683"/>
      <c r="W6" s="3683"/>
      <c r="X6" s="1504"/>
      <c r="Y6" s="3681"/>
      <c r="Z6" s="3682"/>
      <c r="AA6" s="3666"/>
      <c r="AB6" s="3666"/>
      <c r="AC6" s="3666"/>
    </row>
    <row r="7" spans="1:30" s="111" customFormat="1" ht="15.75" thickBot="1">
      <c r="A7" s="366" t="s">
        <v>2309</v>
      </c>
      <c r="B7" s="367"/>
      <c r="C7" s="368">
        <f>'数据-取费表'!B2</f>
        <v>44617</v>
      </c>
      <c r="D7" s="369">
        <v>100</v>
      </c>
      <c r="E7" s="370">
        <v>43221</v>
      </c>
      <c r="F7" s="371">
        <f>O18</f>
        <v>98.4</v>
      </c>
      <c r="G7" s="2125">
        <f>E7</f>
        <v>43221</v>
      </c>
      <c r="H7" s="369">
        <f>O18</f>
        <v>98.4</v>
      </c>
      <c r="I7" s="2125">
        <v>43435</v>
      </c>
      <c r="J7" s="369">
        <f>O16</f>
        <v>99.1</v>
      </c>
      <c r="K7" s="566"/>
      <c r="L7" s="3255" t="s">
        <v>3000</v>
      </c>
      <c r="M7" s="3293">
        <f>地价!P9</f>
        <v>1.11E-2</v>
      </c>
      <c r="N7" s="3294">
        <f t="shared" si="0"/>
        <v>1.0111000000000001</v>
      </c>
      <c r="O7" s="3295">
        <f t="shared" si="1"/>
        <v>98.9</v>
      </c>
      <c r="P7" s="3690" t="s">
        <v>2310</v>
      </c>
      <c r="Q7" s="3690"/>
      <c r="R7" s="707" t="s">
        <v>17</v>
      </c>
      <c r="S7" s="708">
        <f t="shared" ref="S7:S15" si="2">F7</f>
        <v>98.4</v>
      </c>
      <c r="T7" s="707" t="s">
        <v>17</v>
      </c>
      <c r="U7" s="708">
        <f t="shared" ref="U7:U15" si="3">H7</f>
        <v>98.4</v>
      </c>
      <c r="V7" s="707" t="s">
        <v>17</v>
      </c>
      <c r="W7" s="708">
        <f t="shared" ref="W7:W15" si="4">J7</f>
        <v>99.1</v>
      </c>
      <c r="X7" s="709"/>
      <c r="Y7" s="3688" t="s">
        <v>2310</v>
      </c>
      <c r="Z7" s="3689"/>
      <c r="AA7" s="710">
        <f>D7/F7</f>
        <v>1.0162601626016259</v>
      </c>
      <c r="AB7" s="710">
        <f>D7/H7</f>
        <v>1.0162601626016259</v>
      </c>
      <c r="AC7" s="710">
        <f>D7/J7</f>
        <v>1.0090817356205852</v>
      </c>
    </row>
    <row r="8" spans="1:30" s="111" customFormat="1" ht="15.75" thickBot="1">
      <c r="A8" s="366" t="s">
        <v>2311</v>
      </c>
      <c r="B8" s="367"/>
      <c r="C8" s="372" t="s">
        <v>2312</v>
      </c>
      <c r="D8" s="369">
        <v>100</v>
      </c>
      <c r="E8" s="372" t="s">
        <v>3390</v>
      </c>
      <c r="F8" s="371">
        <f>SUMIF(73:73,E8,74:74)-SUMIF(73:73,C8,74:74)+100</f>
        <v>100</v>
      </c>
      <c r="G8" s="372" t="s">
        <v>3390</v>
      </c>
      <c r="H8" s="369">
        <f>SUMIF(73:73,G8,74:74)-SUMIF(73:73,C8,74:74)+100</f>
        <v>100</v>
      </c>
      <c r="I8" s="372" t="s">
        <v>3390</v>
      </c>
      <c r="J8" s="369">
        <f>SUMIF(73:73,I8,74:74)-SUMIF(73:73,C8,74:74)+100</f>
        <v>100</v>
      </c>
      <c r="K8" s="566"/>
      <c r="L8" s="3255" t="s">
        <v>2997</v>
      </c>
      <c r="M8" s="3296">
        <f>地价!P10</f>
        <v>2.35E-2</v>
      </c>
      <c r="N8" s="3294">
        <f t="shared" si="0"/>
        <v>1.0235000000000001</v>
      </c>
      <c r="O8" s="3295">
        <f t="shared" si="1"/>
        <v>97.7</v>
      </c>
      <c r="P8" s="3690" t="s">
        <v>2313</v>
      </c>
      <c r="Q8" s="3689"/>
      <c r="R8" s="707" t="s">
        <v>17</v>
      </c>
      <c r="S8" s="708">
        <f t="shared" si="2"/>
        <v>100</v>
      </c>
      <c r="T8" s="707" t="s">
        <v>17</v>
      </c>
      <c r="U8" s="708">
        <f t="shared" si="3"/>
        <v>100</v>
      </c>
      <c r="V8" s="707" t="s">
        <v>17</v>
      </c>
      <c r="W8" s="708">
        <f t="shared" si="4"/>
        <v>100</v>
      </c>
      <c r="X8" s="709"/>
      <c r="Y8" s="3688" t="s">
        <v>2313</v>
      </c>
      <c r="Z8" s="3689"/>
      <c r="AA8" s="710">
        <f t="shared" ref="AA8:AA45" si="5">D8/F8</f>
        <v>1</v>
      </c>
      <c r="AB8" s="710">
        <f t="shared" ref="AB8:AB45" si="6">D8/H8</f>
        <v>1</v>
      </c>
      <c r="AC8" s="710">
        <f t="shared" ref="AC8:AC45" si="7">D8/J8</f>
        <v>1</v>
      </c>
    </row>
    <row r="9" spans="1:30" s="111" customFormat="1"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649" t="s">
        <v>2316</v>
      </c>
      <c r="Q9" s="1492" t="str">
        <f t="shared" ref="Q9:Q15" si="8">B9</f>
        <v>用途</v>
      </c>
      <c r="R9" s="707" t="s">
        <v>17</v>
      </c>
      <c r="S9" s="708">
        <f t="shared" si="2"/>
        <v>100</v>
      </c>
      <c r="T9" s="707" t="s">
        <v>17</v>
      </c>
      <c r="U9" s="708">
        <f t="shared" si="3"/>
        <v>100</v>
      </c>
      <c r="V9" s="707" t="s">
        <v>17</v>
      </c>
      <c r="W9" s="708">
        <f t="shared" si="4"/>
        <v>100</v>
      </c>
      <c r="X9" s="709"/>
      <c r="Y9" s="3663" t="s">
        <v>2317</v>
      </c>
      <c r="Z9" s="55" t="str">
        <f t="shared" ref="Z9:Z15" si="9">Q9</f>
        <v>用途</v>
      </c>
      <c r="AA9" s="710">
        <f t="shared" si="5"/>
        <v>1</v>
      </c>
      <c r="AB9" s="710">
        <f t="shared" si="6"/>
        <v>1</v>
      </c>
      <c r="AC9" s="710">
        <f t="shared" si="7"/>
        <v>1</v>
      </c>
    </row>
    <row r="10" spans="1:30" s="384" customFormat="1" ht="27" hidden="1">
      <c r="A10" s="378"/>
      <c r="B10" s="379" t="s">
        <v>2318</v>
      </c>
      <c r="C10" s="389">
        <v>70</v>
      </c>
      <c r="D10" s="130">
        <v>100</v>
      </c>
      <c r="E10" s="422" t="s">
        <v>3393</v>
      </c>
      <c r="F10" s="130">
        <f>ROUND(100/'数据-取费表'!G16,0)</f>
        <v>100</v>
      </c>
      <c r="G10" s="420" t="s">
        <v>3393</v>
      </c>
      <c r="H10" s="130">
        <f>ROUND(100/'数据-取费表'!G16,0)</f>
        <v>100</v>
      </c>
      <c r="I10" s="420" t="s">
        <v>3393</v>
      </c>
      <c r="J10" s="130">
        <f>ROUND(100/'数据-取费表'!G16,0)</f>
        <v>100</v>
      </c>
      <c r="K10" s="626"/>
      <c r="L10" s="3255" t="s">
        <v>2810</v>
      </c>
      <c r="M10" s="3296">
        <f>地价!P12</f>
        <v>5.0000000000000001E-3</v>
      </c>
      <c r="N10" s="3294">
        <f t="shared" si="0"/>
        <v>1.0049999999999999</v>
      </c>
      <c r="O10" s="3295">
        <f t="shared" si="1"/>
        <v>99.5</v>
      </c>
      <c r="P10" s="3649"/>
      <c r="Q10" s="1492" t="str">
        <f t="shared" si="8"/>
        <v>土地使用年限（年）</v>
      </c>
      <c r="R10" s="707" t="s">
        <v>17</v>
      </c>
      <c r="S10" s="708">
        <f t="shared" si="2"/>
        <v>100</v>
      </c>
      <c r="T10" s="707" t="s">
        <v>17</v>
      </c>
      <c r="U10" s="708">
        <f t="shared" si="3"/>
        <v>100</v>
      </c>
      <c r="V10" s="707" t="s">
        <v>17</v>
      </c>
      <c r="W10" s="708">
        <f t="shared" si="4"/>
        <v>100</v>
      </c>
      <c r="X10" s="709"/>
      <c r="Y10" s="3663"/>
      <c r="Z10" s="55" t="str">
        <f t="shared" si="9"/>
        <v>土地使用年限（年）</v>
      </c>
      <c r="AA10" s="710">
        <f t="shared" si="5"/>
        <v>1</v>
      </c>
      <c r="AB10" s="710">
        <f t="shared" si="6"/>
        <v>1</v>
      </c>
      <c r="AC10" s="710">
        <f t="shared" si="7"/>
        <v>1</v>
      </c>
    </row>
    <row r="11" spans="1:30" ht="15" hidden="1">
      <c r="A11" s="385"/>
      <c r="B11" s="379" t="s">
        <v>2319</v>
      </c>
      <c r="C11" s="386">
        <f>'数据-汇总表'!I6</f>
        <v>1.91</v>
      </c>
      <c r="D11" s="130">
        <v>100</v>
      </c>
      <c r="E11" s="386">
        <f>C11</f>
        <v>1.91</v>
      </c>
      <c r="F11" s="130">
        <f>LOOKUP(E11,80:80,81:81)-LOOKUP(C11,80:80,81:81)+100</f>
        <v>100</v>
      </c>
      <c r="G11" s="387">
        <f>C11</f>
        <v>1.91</v>
      </c>
      <c r="H11" s="130">
        <f>LOOKUP(G11,80:80,81:81)-LOOKUP(C11,80:80,81:81)+100</f>
        <v>100</v>
      </c>
      <c r="I11" s="386">
        <f>C11</f>
        <v>1.91</v>
      </c>
      <c r="J11" s="130">
        <f>LOOKUP(I11,80:80,81:81)-LOOKUP(C11,80:80,81:81)+100</f>
        <v>100</v>
      </c>
      <c r="K11" s="627"/>
      <c r="L11" s="3255" t="s">
        <v>2808</v>
      </c>
      <c r="M11" s="3293">
        <f>地价!P13</f>
        <v>2.0999999999999999E-3</v>
      </c>
      <c r="N11" s="3294">
        <f t="shared" si="0"/>
        <v>1.0021</v>
      </c>
      <c r="O11" s="3295">
        <f t="shared" si="1"/>
        <v>99.8</v>
      </c>
      <c r="P11" s="3649"/>
      <c r="Q11" s="1492" t="str">
        <f t="shared" si="8"/>
        <v>容积率</v>
      </c>
      <c r="R11" s="707" t="s">
        <v>17</v>
      </c>
      <c r="S11" s="708">
        <f t="shared" si="2"/>
        <v>100</v>
      </c>
      <c r="T11" s="707" t="s">
        <v>17</v>
      </c>
      <c r="U11" s="708">
        <f t="shared" si="3"/>
        <v>100</v>
      </c>
      <c r="V11" s="707" t="s">
        <v>17</v>
      </c>
      <c r="W11" s="708">
        <f t="shared" si="4"/>
        <v>100</v>
      </c>
      <c r="X11" s="709"/>
      <c r="Y11" s="3663"/>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649"/>
      <c r="Q12" s="1492" t="str">
        <f t="shared" si="8"/>
        <v>配建</v>
      </c>
      <c r="R12" s="707" t="s">
        <v>17</v>
      </c>
      <c r="S12" s="708">
        <f t="shared" si="2"/>
        <v>100</v>
      </c>
      <c r="T12" s="707" t="s">
        <v>17</v>
      </c>
      <c r="U12" s="708">
        <f t="shared" si="3"/>
        <v>100</v>
      </c>
      <c r="V12" s="707" t="s">
        <v>17</v>
      </c>
      <c r="W12" s="708">
        <f t="shared" si="4"/>
        <v>100</v>
      </c>
      <c r="X12" s="709"/>
      <c r="Y12" s="3663"/>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649"/>
      <c r="Q13" s="1492">
        <f t="shared" si="8"/>
        <v>111</v>
      </c>
      <c r="R13" s="707" t="s">
        <v>17</v>
      </c>
      <c r="S13" s="708">
        <f t="shared" si="2"/>
        <v>100</v>
      </c>
      <c r="T13" s="707" t="s">
        <v>17</v>
      </c>
      <c r="U13" s="708">
        <f t="shared" si="3"/>
        <v>100</v>
      </c>
      <c r="V13" s="707" t="s">
        <v>17</v>
      </c>
      <c r="W13" s="708">
        <f t="shared" si="4"/>
        <v>100</v>
      </c>
      <c r="X13" s="709"/>
      <c r="Y13" s="3663"/>
      <c r="Z13" s="55">
        <f t="shared" si="9"/>
        <v>111</v>
      </c>
      <c r="AA13" s="710">
        <f>D13/F13</f>
        <v>1</v>
      </c>
      <c r="AB13" s="710">
        <f>D13/H13</f>
        <v>1</v>
      </c>
      <c r="AC13" s="710">
        <f>D13/J13</f>
        <v>1</v>
      </c>
    </row>
    <row r="14" spans="1:30" ht="15.75"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649"/>
      <c r="Q14" s="1492">
        <f t="shared" si="8"/>
        <v>111</v>
      </c>
      <c r="R14" s="707" t="s">
        <v>17</v>
      </c>
      <c r="S14" s="708">
        <f t="shared" si="2"/>
        <v>100</v>
      </c>
      <c r="T14" s="707" t="s">
        <v>17</v>
      </c>
      <c r="U14" s="708">
        <f t="shared" si="3"/>
        <v>100</v>
      </c>
      <c r="V14" s="707" t="s">
        <v>17</v>
      </c>
      <c r="W14" s="708">
        <f t="shared" si="4"/>
        <v>100</v>
      </c>
      <c r="X14" s="709"/>
      <c r="Y14" s="3663"/>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672" t="s">
        <v>2321</v>
      </c>
      <c r="Q15" s="1501" t="str">
        <f t="shared" si="8"/>
        <v>居住社区成熟度</v>
      </c>
      <c r="R15" s="711" t="s">
        <v>17</v>
      </c>
      <c r="S15" s="712">
        <f t="shared" si="2"/>
        <v>100</v>
      </c>
      <c r="T15" s="711" t="s">
        <v>17</v>
      </c>
      <c r="U15" s="712">
        <f t="shared" si="3"/>
        <v>100</v>
      </c>
      <c r="V15" s="711" t="s">
        <v>17</v>
      </c>
      <c r="W15" s="712">
        <f t="shared" si="4"/>
        <v>100</v>
      </c>
      <c r="X15" s="1504"/>
      <c r="Y15" s="3653" t="s">
        <v>2321</v>
      </c>
      <c r="Z15" s="1505" t="str">
        <f t="shared" si="9"/>
        <v>居住社区成熟度</v>
      </c>
      <c r="AA15" s="1502">
        <f t="shared" si="5"/>
        <v>1</v>
      </c>
      <c r="AB15" s="1502">
        <f t="shared" si="6"/>
        <v>1</v>
      </c>
      <c r="AC15" s="1502">
        <f t="shared" si="7"/>
        <v>1</v>
      </c>
    </row>
    <row r="16" spans="1:30" ht="15">
      <c r="A16" s="385"/>
      <c r="B16" s="403"/>
      <c r="C16" s="404" t="s">
        <v>3402</v>
      </c>
      <c r="D16" s="405"/>
      <c r="E16" s="404" t="s">
        <v>3402</v>
      </c>
      <c r="F16" s="405"/>
      <c r="G16" s="404" t="s">
        <v>3402</v>
      </c>
      <c r="H16" s="407"/>
      <c r="I16" s="404" t="s">
        <v>3402</v>
      </c>
      <c r="J16" s="405"/>
      <c r="K16" s="626"/>
      <c r="L16" s="3292" t="s">
        <v>2805</v>
      </c>
      <c r="M16" s="3297">
        <f>地价!P18</f>
        <v>9.1999999999999998E-3</v>
      </c>
      <c r="N16" s="3298">
        <f t="shared" si="0"/>
        <v>1.0092000000000001</v>
      </c>
      <c r="O16" s="3299">
        <f t="shared" si="1"/>
        <v>99.1</v>
      </c>
      <c r="P16" s="3674"/>
      <c r="Q16" s="1501"/>
      <c r="R16" s="711"/>
      <c r="S16" s="712"/>
      <c r="T16" s="711"/>
      <c r="U16" s="712"/>
      <c r="V16" s="711"/>
      <c r="W16" s="712"/>
      <c r="X16" s="1504"/>
      <c r="Y16" s="3654"/>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97.5</v>
      </c>
      <c r="G17" s="409"/>
      <c r="H17" s="412">
        <f>SUMIF(90:90,G18,91:91)-SUMIF(90:90,C18,91:91)+100</f>
        <v>97.5</v>
      </c>
      <c r="I17" s="411"/>
      <c r="J17" s="412">
        <f>SUMIF(90:90,I18,91:91)-SUMIF(90:90,C18,91:91)+100</f>
        <v>97.5</v>
      </c>
      <c r="K17" s="627">
        <v>2.5</v>
      </c>
      <c r="L17" s="3255" t="s">
        <v>2800</v>
      </c>
      <c r="M17" s="3293">
        <f>地价!P19</f>
        <v>1.52E-2</v>
      </c>
      <c r="N17" s="3294">
        <f t="shared" si="0"/>
        <v>1.0152000000000001</v>
      </c>
      <c r="O17" s="3295">
        <f t="shared" si="1"/>
        <v>98.5</v>
      </c>
      <c r="P17" s="3674"/>
      <c r="Q17" s="1501" t="str">
        <f>B17</f>
        <v>商业繁华度</v>
      </c>
      <c r="R17" s="711" t="s">
        <v>17</v>
      </c>
      <c r="S17" s="712">
        <f>F17</f>
        <v>97.5</v>
      </c>
      <c r="T17" s="711" t="s">
        <v>17</v>
      </c>
      <c r="U17" s="712">
        <f>H17</f>
        <v>97.5</v>
      </c>
      <c r="V17" s="711" t="s">
        <v>17</v>
      </c>
      <c r="W17" s="712">
        <f>J17</f>
        <v>97.5</v>
      </c>
      <c r="X17" s="1504"/>
      <c r="Y17" s="3654"/>
      <c r="Z17" s="1505" t="str">
        <f>Q17</f>
        <v>商业繁华度</v>
      </c>
      <c r="AA17" s="1502">
        <f t="shared" si="5"/>
        <v>1.0256410256410255</v>
      </c>
      <c r="AB17" s="1502">
        <f t="shared" si="6"/>
        <v>1.0256410256410255</v>
      </c>
      <c r="AC17" s="1502">
        <f t="shared" si="7"/>
        <v>1.0256410256410255</v>
      </c>
    </row>
    <row r="18" spans="1:29" ht="15">
      <c r="A18" s="385"/>
      <c r="B18" s="413"/>
      <c r="C18" s="404" t="s">
        <v>3402</v>
      </c>
      <c r="D18" s="407"/>
      <c r="E18" s="404" t="s">
        <v>3394</v>
      </c>
      <c r="F18" s="407"/>
      <c r="G18" s="404" t="s">
        <v>3394</v>
      </c>
      <c r="H18" s="405"/>
      <c r="I18" s="404" t="s">
        <v>3394</v>
      </c>
      <c r="J18" s="405"/>
      <c r="K18" s="626"/>
      <c r="L18" s="3292" t="s">
        <v>2799</v>
      </c>
      <c r="M18" s="3297">
        <f>地价!P20</f>
        <v>1.5800000000000002E-2</v>
      </c>
      <c r="N18" s="3298">
        <f t="shared" si="0"/>
        <v>1.0158</v>
      </c>
      <c r="O18" s="3299">
        <f t="shared" si="1"/>
        <v>98.4</v>
      </c>
      <c r="P18" s="3674"/>
      <c r="Q18" s="1501"/>
      <c r="R18" s="711"/>
      <c r="S18" s="712"/>
      <c r="T18" s="711"/>
      <c r="U18" s="712"/>
      <c r="V18" s="711"/>
      <c r="W18" s="712"/>
      <c r="X18" s="1504"/>
      <c r="Y18" s="3654"/>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674"/>
      <c r="Q19" s="1501" t="str">
        <f>B19</f>
        <v>办公集聚程度</v>
      </c>
      <c r="R19" s="711" t="s">
        <v>17</v>
      </c>
      <c r="S19" s="712">
        <f>F19</f>
        <v>100</v>
      </c>
      <c r="T19" s="711" t="s">
        <v>17</v>
      </c>
      <c r="U19" s="712">
        <f>H19</f>
        <v>100</v>
      </c>
      <c r="V19" s="711" t="s">
        <v>17</v>
      </c>
      <c r="W19" s="712">
        <f>J19</f>
        <v>100</v>
      </c>
      <c r="X19" s="1504"/>
      <c r="Y19" s="3654"/>
      <c r="Z19" s="1505" t="str">
        <f>Q19</f>
        <v>办公集聚程度</v>
      </c>
      <c r="AA19" s="1502">
        <f t="shared" si="5"/>
        <v>1</v>
      </c>
      <c r="AB19" s="1502">
        <f t="shared" si="6"/>
        <v>1</v>
      </c>
      <c r="AC19" s="1502">
        <f t="shared" si="7"/>
        <v>1</v>
      </c>
    </row>
    <row r="20" spans="1:29" ht="15">
      <c r="A20" s="385"/>
      <c r="B20" s="413"/>
      <c r="C20" s="404" t="s">
        <v>3394</v>
      </c>
      <c r="D20" s="405"/>
      <c r="E20" s="404" t="s">
        <v>3394</v>
      </c>
      <c r="F20" s="405"/>
      <c r="G20" s="404" t="s">
        <v>3394</v>
      </c>
      <c r="H20" s="405"/>
      <c r="I20" s="404" t="s">
        <v>3394</v>
      </c>
      <c r="J20" s="405"/>
      <c r="K20" s="626"/>
      <c r="L20" s="2914"/>
      <c r="M20" s="2908"/>
      <c r="N20" s="2908"/>
      <c r="O20" s="2966"/>
      <c r="P20" s="3654"/>
      <c r="Q20" s="1501"/>
      <c r="R20" s="711"/>
      <c r="S20" s="712"/>
      <c r="T20" s="711"/>
      <c r="U20" s="712"/>
      <c r="V20" s="711"/>
      <c r="W20" s="712"/>
      <c r="X20" s="1504"/>
      <c r="Y20" s="3654"/>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99</v>
      </c>
      <c r="K21" s="627">
        <v>1</v>
      </c>
      <c r="L21" s="2914"/>
      <c r="M21" s="2908"/>
      <c r="N21" s="2908"/>
      <c r="O21" s="2966"/>
      <c r="P21" s="3654"/>
      <c r="Q21" s="1501" t="str">
        <f>B21</f>
        <v>交通便捷度</v>
      </c>
      <c r="R21" s="711" t="s">
        <v>17</v>
      </c>
      <c r="S21" s="712">
        <f>F21</f>
        <v>100</v>
      </c>
      <c r="T21" s="711" t="s">
        <v>17</v>
      </c>
      <c r="U21" s="712">
        <f>H21</f>
        <v>100</v>
      </c>
      <c r="V21" s="711" t="s">
        <v>17</v>
      </c>
      <c r="W21" s="712">
        <f>J21</f>
        <v>99</v>
      </c>
      <c r="X21" s="1504"/>
      <c r="Y21" s="3654"/>
      <c r="Z21" s="1505" t="str">
        <f>Q21</f>
        <v>交通便捷度</v>
      </c>
      <c r="AA21" s="1502">
        <f t="shared" si="5"/>
        <v>1</v>
      </c>
      <c r="AB21" s="1502">
        <f t="shared" si="6"/>
        <v>1</v>
      </c>
      <c r="AC21" s="1502">
        <f t="shared" si="7"/>
        <v>1.0101010101010102</v>
      </c>
    </row>
    <row r="22" spans="1:29" ht="15">
      <c r="A22" s="385"/>
      <c r="B22" s="1260"/>
      <c r="C22" s="404" t="s">
        <v>3402</v>
      </c>
      <c r="D22" s="407"/>
      <c r="E22" s="404" t="s">
        <v>3402</v>
      </c>
      <c r="F22" s="405"/>
      <c r="G22" s="404" t="s">
        <v>3402</v>
      </c>
      <c r="H22" s="405"/>
      <c r="I22" s="404" t="s">
        <v>3394</v>
      </c>
      <c r="J22" s="405"/>
      <c r="K22" s="626"/>
      <c r="L22" s="2914"/>
      <c r="M22" s="2908"/>
      <c r="N22" s="2908"/>
      <c r="O22" s="2966"/>
      <c r="P22" s="3654"/>
      <c r="Q22" s="1501"/>
      <c r="R22" s="711"/>
      <c r="S22" s="712"/>
      <c r="T22" s="711"/>
      <c r="U22" s="712"/>
      <c r="V22" s="711"/>
      <c r="W22" s="712"/>
      <c r="X22" s="1504"/>
      <c r="Y22" s="3654"/>
      <c r="Z22" s="1505"/>
      <c r="AA22" s="1502">
        <v>1</v>
      </c>
      <c r="AB22" s="1502">
        <v>1</v>
      </c>
      <c r="AC22" s="1502">
        <v>1</v>
      </c>
    </row>
    <row r="23" spans="1:29" ht="15">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654"/>
      <c r="Q23" s="1501" t="str">
        <f t="shared" ref="Q23:Q37" si="10">B23</f>
        <v>区域土地利用方向</v>
      </c>
      <c r="R23" s="711" t="s">
        <v>17</v>
      </c>
      <c r="S23" s="712">
        <f>F23</f>
        <v>100</v>
      </c>
      <c r="T23" s="711" t="s">
        <v>17</v>
      </c>
      <c r="U23" s="712">
        <f>H23</f>
        <v>100</v>
      </c>
      <c r="V23" s="711" t="s">
        <v>17</v>
      </c>
      <c r="W23" s="712">
        <f>J23</f>
        <v>100</v>
      </c>
      <c r="X23" s="1504"/>
      <c r="Y23" s="3654"/>
      <c r="Z23" s="1505" t="str">
        <f>Q23</f>
        <v>区域土地利用方向</v>
      </c>
      <c r="AA23" s="1502">
        <f t="shared" si="5"/>
        <v>1</v>
      </c>
      <c r="AB23" s="1502">
        <f t="shared" si="6"/>
        <v>1</v>
      </c>
      <c r="AC23" s="1502">
        <f t="shared" si="7"/>
        <v>1</v>
      </c>
    </row>
    <row r="24" spans="1:29" ht="15">
      <c r="A24" s="362"/>
      <c r="B24" s="413"/>
      <c r="C24" s="571" t="s">
        <v>3402</v>
      </c>
      <c r="D24" s="405"/>
      <c r="E24" s="571" t="s">
        <v>3402</v>
      </c>
      <c r="F24" s="405"/>
      <c r="G24" s="571" t="s">
        <v>3402</v>
      </c>
      <c r="H24" s="405"/>
      <c r="I24" s="571" t="s">
        <v>3402</v>
      </c>
      <c r="J24" s="405"/>
      <c r="K24" s="748"/>
      <c r="L24" s="2914"/>
      <c r="M24" s="2908"/>
      <c r="N24" s="2908"/>
      <c r="O24" s="2966"/>
      <c r="P24" s="3654"/>
      <c r="Q24" s="1501"/>
      <c r="R24" s="711"/>
      <c r="S24" s="712"/>
      <c r="T24" s="711"/>
      <c r="U24" s="712"/>
      <c r="V24" s="711"/>
      <c r="W24" s="712"/>
      <c r="X24" s="1504"/>
      <c r="Y24" s="3654"/>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654"/>
      <c r="Q25" s="1501" t="str">
        <f t="shared" si="10"/>
        <v>自然及人文环境状况</v>
      </c>
      <c r="R25" s="711" t="s">
        <v>17</v>
      </c>
      <c r="S25" s="712">
        <f>F25</f>
        <v>100</v>
      </c>
      <c r="T25" s="711" t="s">
        <v>17</v>
      </c>
      <c r="U25" s="712">
        <f>H25</f>
        <v>100</v>
      </c>
      <c r="V25" s="711" t="s">
        <v>17</v>
      </c>
      <c r="W25" s="712">
        <f>J25</f>
        <v>100</v>
      </c>
      <c r="X25" s="1504"/>
      <c r="Y25" s="3654"/>
      <c r="Z25" s="1505" t="str">
        <f>Q25</f>
        <v>自然及人文环境状况</v>
      </c>
      <c r="AA25" s="1502">
        <f t="shared" si="5"/>
        <v>1</v>
      </c>
      <c r="AB25" s="1502">
        <f t="shared" si="6"/>
        <v>1</v>
      </c>
      <c r="AC25" s="1502">
        <f t="shared" si="7"/>
        <v>1</v>
      </c>
    </row>
    <row r="26" spans="1:29" ht="15">
      <c r="A26" s="362"/>
      <c r="B26" s="413"/>
      <c r="C26" s="571" t="s">
        <v>3402</v>
      </c>
      <c r="D26" s="405"/>
      <c r="E26" s="571" t="s">
        <v>3402</v>
      </c>
      <c r="F26" s="405"/>
      <c r="G26" s="571" t="s">
        <v>3402</v>
      </c>
      <c r="H26" s="405"/>
      <c r="I26" s="571" t="s">
        <v>3402</v>
      </c>
      <c r="J26" s="405"/>
      <c r="K26" s="626"/>
      <c r="L26" s="2914"/>
      <c r="M26" s="2908"/>
      <c r="N26" s="2908"/>
      <c r="O26" s="2966"/>
      <c r="P26" s="3654"/>
      <c r="Q26" s="1501"/>
      <c r="R26" s="711"/>
      <c r="S26" s="712"/>
      <c r="T26" s="711"/>
      <c r="U26" s="712"/>
      <c r="V26" s="711"/>
      <c r="W26" s="712"/>
      <c r="X26" s="1504"/>
      <c r="Y26" s="3654"/>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97</v>
      </c>
      <c r="G27" s="409"/>
      <c r="H27" s="407">
        <f>SUMIF(100:100,G28,101:101)-SUMIF(100:100,C28,101:101)+100</f>
        <v>97</v>
      </c>
      <c r="I27" s="411"/>
      <c r="J27" s="407">
        <f>SUMIF(100:100,I28,101:101)-SUMIF(100:100,C28,101:101)+100</f>
        <v>94</v>
      </c>
      <c r="K27" s="627">
        <v>3</v>
      </c>
      <c r="L27" s="2909"/>
      <c r="M27" s="2910"/>
      <c r="N27" s="2910"/>
      <c r="O27" s="2964"/>
      <c r="P27" s="3654"/>
      <c r="Q27" s="1492" t="str">
        <f t="shared" si="10"/>
        <v>公共配套设施</v>
      </c>
      <c r="R27" s="707" t="s">
        <v>17</v>
      </c>
      <c r="S27" s="708">
        <f>F27</f>
        <v>97</v>
      </c>
      <c r="T27" s="707" t="s">
        <v>17</v>
      </c>
      <c r="U27" s="708">
        <f>H27</f>
        <v>97</v>
      </c>
      <c r="V27" s="707" t="s">
        <v>17</v>
      </c>
      <c r="W27" s="708">
        <f>J27</f>
        <v>94</v>
      </c>
      <c r="X27" s="709"/>
      <c r="Y27" s="3654"/>
      <c r="Z27" s="55" t="str">
        <f>Q27</f>
        <v>公共配套设施</v>
      </c>
      <c r="AA27" s="1502">
        <f>D27/F27</f>
        <v>1.0309278350515463</v>
      </c>
      <c r="AB27" s="1502">
        <f>D27/H27</f>
        <v>1.0309278350515463</v>
      </c>
      <c r="AC27" s="1502">
        <f>D27/J27</f>
        <v>1.0638297872340425</v>
      </c>
    </row>
    <row r="28" spans="1:29" s="111" customFormat="1" ht="15">
      <c r="A28" s="603"/>
      <c r="B28" s="413"/>
      <c r="C28" s="404" t="s">
        <v>3402</v>
      </c>
      <c r="D28" s="405"/>
      <c r="E28" s="404" t="s">
        <v>3394</v>
      </c>
      <c r="F28" s="405"/>
      <c r="G28" s="404" t="s">
        <v>3394</v>
      </c>
      <c r="H28" s="405"/>
      <c r="I28" s="404" t="s">
        <v>3419</v>
      </c>
      <c r="J28" s="405"/>
      <c r="K28" s="626"/>
      <c r="L28" s="2909"/>
      <c r="M28" s="2910"/>
      <c r="N28" s="2910"/>
      <c r="O28" s="2964"/>
      <c r="P28" s="3654"/>
      <c r="Q28" s="1492"/>
      <c r="R28" s="707"/>
      <c r="S28" s="708"/>
      <c r="T28" s="707"/>
      <c r="U28" s="708"/>
      <c r="V28" s="707"/>
      <c r="W28" s="708"/>
      <c r="X28" s="709"/>
      <c r="Y28" s="3654"/>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654"/>
      <c r="Q29" s="1492" t="str">
        <f t="shared" ref="Q29" si="11">B29</f>
        <v>基础设施水平</v>
      </c>
      <c r="R29" s="707" t="s">
        <v>17</v>
      </c>
      <c r="S29" s="708">
        <f>F29</f>
        <v>100</v>
      </c>
      <c r="T29" s="707" t="s">
        <v>17</v>
      </c>
      <c r="U29" s="708">
        <f>H29</f>
        <v>100</v>
      </c>
      <c r="V29" s="707" t="s">
        <v>17</v>
      </c>
      <c r="W29" s="708">
        <f>J29</f>
        <v>100</v>
      </c>
      <c r="X29" s="709"/>
      <c r="Y29" s="3654"/>
      <c r="Z29" s="55" t="str">
        <f>Q29</f>
        <v>基础设施水平</v>
      </c>
      <c r="AA29" s="1502">
        <f>D29/F29</f>
        <v>1</v>
      </c>
      <c r="AB29" s="1502">
        <f>D29/H29</f>
        <v>1</v>
      </c>
      <c r="AC29" s="1502">
        <f>D29/J29</f>
        <v>1</v>
      </c>
    </row>
    <row r="30" spans="1:29" s="111" customFormat="1" ht="15">
      <c r="A30" s="603"/>
      <c r="B30" s="413"/>
      <c r="C30" s="2129" t="s">
        <v>3403</v>
      </c>
      <c r="D30" s="405"/>
      <c r="E30" s="2130" t="s">
        <v>3403</v>
      </c>
      <c r="F30" s="405"/>
      <c r="G30" s="2130" t="s">
        <v>3403</v>
      </c>
      <c r="H30" s="405"/>
      <c r="I30" s="2130" t="s">
        <v>3403</v>
      </c>
      <c r="J30" s="405"/>
      <c r="K30" s="626"/>
      <c r="L30" s="2909"/>
      <c r="M30" s="2910"/>
      <c r="N30" s="2910"/>
      <c r="O30" s="2964"/>
      <c r="P30" s="3654"/>
      <c r="Q30" s="1492"/>
      <c r="R30" s="707"/>
      <c r="S30" s="708"/>
      <c r="T30" s="707"/>
      <c r="U30" s="708"/>
      <c r="V30" s="707"/>
      <c r="W30" s="708"/>
      <c r="X30" s="709"/>
      <c r="Y30" s="3654"/>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654"/>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654"/>
      <c r="Z31" s="1505" t="str">
        <f t="shared" ref="Z31:Z45" si="15">Q31</f>
        <v>临街状况</v>
      </c>
      <c r="AA31" s="1502">
        <f t="shared" si="5"/>
        <v>1</v>
      </c>
      <c r="AB31" s="1502">
        <f t="shared" si="6"/>
        <v>1</v>
      </c>
      <c r="AC31" s="1502">
        <f t="shared" si="7"/>
        <v>1</v>
      </c>
    </row>
    <row r="32" spans="1:29" ht="27"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654"/>
      <c r="Q32" s="1501" t="str">
        <f t="shared" si="10"/>
        <v>毗邻道路的类型与等级</v>
      </c>
      <c r="R32" s="711" t="s">
        <v>17</v>
      </c>
      <c r="S32" s="712">
        <f t="shared" si="12"/>
        <v>100</v>
      </c>
      <c r="T32" s="711" t="s">
        <v>17</v>
      </c>
      <c r="U32" s="712">
        <f t="shared" si="13"/>
        <v>100</v>
      </c>
      <c r="V32" s="711" t="s">
        <v>17</v>
      </c>
      <c r="W32" s="712">
        <f t="shared" si="14"/>
        <v>100</v>
      </c>
      <c r="X32" s="1504"/>
      <c r="Y32" s="3654"/>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654"/>
      <c r="Q33" s="1501"/>
      <c r="R33" s="711"/>
      <c r="S33" s="712"/>
      <c r="T33" s="711"/>
      <c r="U33" s="712"/>
      <c r="V33" s="711"/>
      <c r="W33" s="712"/>
      <c r="X33" s="1504"/>
      <c r="Y33" s="3654"/>
      <c r="Z33" s="1505"/>
      <c r="AA33" s="1502">
        <v>1</v>
      </c>
      <c r="AB33" s="1502">
        <v>1</v>
      </c>
      <c r="AC33" s="1502">
        <v>1</v>
      </c>
    </row>
    <row r="34" spans="1:29" ht="15.75" thickBot="1">
      <c r="A34" s="385"/>
      <c r="B34" s="379" t="s">
        <v>2511</v>
      </c>
      <c r="C34" s="571" t="s">
        <v>526</v>
      </c>
      <c r="D34" s="392">
        <v>100</v>
      </c>
      <c r="E34" s="588" t="s">
        <v>528</v>
      </c>
      <c r="F34" s="392">
        <f>SUMIF(108:108,E34,109:109)-SUMIF(108:108,C34,109:109)+100</f>
        <v>98</v>
      </c>
      <c r="G34" s="588" t="s">
        <v>526</v>
      </c>
      <c r="H34" s="392">
        <f>SUMIF(108:108,G34,109:109)-SUMIF(108:108,C34,109:109)+100</f>
        <v>100</v>
      </c>
      <c r="I34" s="571" t="s">
        <v>530</v>
      </c>
      <c r="J34" s="392">
        <f>SUMIF(108:108,I34,109:109)-SUMIF(108:108,C34,109:109)+100</f>
        <v>96</v>
      </c>
      <c r="K34" s="567">
        <v>2</v>
      </c>
      <c r="L34" s="2914"/>
      <c r="M34" s="2908"/>
      <c r="N34" s="2908"/>
      <c r="O34" s="2966"/>
      <c r="P34" s="3654"/>
      <c r="Q34" s="1501" t="str">
        <f t="shared" si="10"/>
        <v>土地级别</v>
      </c>
      <c r="R34" s="711" t="s">
        <v>17</v>
      </c>
      <c r="S34" s="712">
        <f t="shared" si="12"/>
        <v>98</v>
      </c>
      <c r="T34" s="711" t="s">
        <v>17</v>
      </c>
      <c r="U34" s="712">
        <f t="shared" si="13"/>
        <v>100</v>
      </c>
      <c r="V34" s="711" t="s">
        <v>17</v>
      </c>
      <c r="W34" s="712">
        <f t="shared" si="14"/>
        <v>96</v>
      </c>
      <c r="X34" s="1504"/>
      <c r="Y34" s="3654"/>
      <c r="Z34" s="1505" t="str">
        <f t="shared" si="15"/>
        <v>土地级别</v>
      </c>
      <c r="AA34" s="1502">
        <f t="shared" si="5"/>
        <v>1.0204081632653061</v>
      </c>
      <c r="AB34" s="1502">
        <f t="shared" si="6"/>
        <v>1</v>
      </c>
      <c r="AC34" s="1502">
        <f t="shared" si="7"/>
        <v>1.0416666666666667</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654"/>
      <c r="Q35" s="1501">
        <f t="shared" si="10"/>
        <v>111</v>
      </c>
      <c r="R35" s="711" t="s">
        <v>17</v>
      </c>
      <c r="S35" s="712">
        <f t="shared" si="12"/>
        <v>100</v>
      </c>
      <c r="T35" s="711" t="s">
        <v>17</v>
      </c>
      <c r="U35" s="712">
        <f t="shared" si="13"/>
        <v>100</v>
      </c>
      <c r="V35" s="711" t="s">
        <v>17</v>
      </c>
      <c r="W35" s="712">
        <f t="shared" si="14"/>
        <v>100</v>
      </c>
      <c r="X35" s="1504"/>
      <c r="Y35" s="3654"/>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710" t="s">
        <v>2326</v>
      </c>
      <c r="Q36" s="1501">
        <f t="shared" si="10"/>
        <v>111</v>
      </c>
      <c r="R36" s="711" t="s">
        <v>17</v>
      </c>
      <c r="S36" s="712">
        <f t="shared" si="12"/>
        <v>100</v>
      </c>
      <c r="T36" s="711" t="s">
        <v>17</v>
      </c>
      <c r="U36" s="712">
        <f t="shared" si="13"/>
        <v>100</v>
      </c>
      <c r="V36" s="711" t="s">
        <v>17</v>
      </c>
      <c r="W36" s="712">
        <f t="shared" si="14"/>
        <v>100</v>
      </c>
      <c r="X36" s="1504"/>
      <c r="Y36" s="3658" t="s">
        <v>2326</v>
      </c>
      <c r="Z36" s="1505">
        <f t="shared" si="15"/>
        <v>111</v>
      </c>
      <c r="AA36" s="1502">
        <f t="shared" si="5"/>
        <v>1</v>
      </c>
      <c r="AB36" s="1502">
        <f t="shared" si="6"/>
        <v>1</v>
      </c>
      <c r="AC36" s="1502">
        <f t="shared" si="7"/>
        <v>1</v>
      </c>
    </row>
    <row r="37" spans="1:29" s="428" customFormat="1" ht="15.75"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658"/>
      <c r="Q37" s="1501">
        <f t="shared" si="10"/>
        <v>111</v>
      </c>
      <c r="R37" s="714" t="s">
        <v>17</v>
      </c>
      <c r="S37" s="715">
        <f t="shared" si="12"/>
        <v>100</v>
      </c>
      <c r="T37" s="714" t="s">
        <v>17</v>
      </c>
      <c r="U37" s="715">
        <f t="shared" si="13"/>
        <v>100</v>
      </c>
      <c r="V37" s="714" t="s">
        <v>17</v>
      </c>
      <c r="W37" s="715">
        <f t="shared" si="14"/>
        <v>100</v>
      </c>
      <c r="X37" s="716"/>
      <c r="Y37" s="3658"/>
      <c r="Z37" s="717">
        <f t="shared" si="15"/>
        <v>111</v>
      </c>
      <c r="AA37" s="1502">
        <f t="shared" si="5"/>
        <v>1</v>
      </c>
      <c r="AB37" s="1502">
        <f t="shared" si="6"/>
        <v>1</v>
      </c>
      <c r="AC37" s="1502">
        <f t="shared" si="7"/>
        <v>1</v>
      </c>
    </row>
    <row r="38" spans="1:29" ht="15">
      <c r="A38" s="429" t="s">
        <v>2324</v>
      </c>
      <c r="B38" s="413" t="s">
        <v>2512</v>
      </c>
      <c r="C38" s="633">
        <f>'数据-汇总表'!D3</f>
        <v>25000</v>
      </c>
      <c r="D38" s="424">
        <v>100</v>
      </c>
      <c r="E38" s="633">
        <f>土地一级开发成本案例!L22*10000</f>
        <v>1935500</v>
      </c>
      <c r="F38" s="424">
        <f>LOOKUP(E38,117:117,118:118)-LOOKUP(C38,117:117,118:118)+100</f>
        <v>96</v>
      </c>
      <c r="G38" s="633">
        <f>土地一级开发成本案例!L24*10000</f>
        <v>742500</v>
      </c>
      <c r="H38" s="424">
        <f>LOOKUP(G38,117:117,118:118)-LOOKUP(C38,117:117,118:118)+100</f>
        <v>98</v>
      </c>
      <c r="I38" s="485">
        <f>土地一级开发成本案例!L30*10000</f>
        <v>2391400</v>
      </c>
      <c r="J38" s="424">
        <f>LOOKUP(I38,117:117,118:118)-LOOKUP(C38,117:117,118:118)+100</f>
        <v>94</v>
      </c>
      <c r="K38" s="568"/>
      <c r="L38" s="2914"/>
      <c r="M38" s="2908"/>
      <c r="N38" s="2908"/>
      <c r="O38" s="2966"/>
      <c r="P38" s="3658"/>
      <c r="Q38" s="1501" t="str">
        <f>B38</f>
        <v>宗地面积</v>
      </c>
      <c r="R38" s="711" t="s">
        <v>17</v>
      </c>
      <c r="S38" s="712">
        <f t="shared" si="12"/>
        <v>96</v>
      </c>
      <c r="T38" s="711" t="s">
        <v>17</v>
      </c>
      <c r="U38" s="712">
        <f t="shared" si="13"/>
        <v>98</v>
      </c>
      <c r="V38" s="711" t="s">
        <v>17</v>
      </c>
      <c r="W38" s="712">
        <f t="shared" si="14"/>
        <v>94</v>
      </c>
      <c r="X38" s="1504"/>
      <c r="Y38" s="3658"/>
      <c r="Z38" s="1505" t="str">
        <f t="shared" si="15"/>
        <v>宗地面积</v>
      </c>
      <c r="AA38" s="1502">
        <f t="shared" si="5"/>
        <v>1.0416666666666667</v>
      </c>
      <c r="AB38" s="1502">
        <f t="shared" si="6"/>
        <v>1.0204081632653061</v>
      </c>
      <c r="AC38" s="1502">
        <f t="shared" si="7"/>
        <v>1.0638297872340425</v>
      </c>
    </row>
    <row r="39" spans="1:29" ht="15">
      <c r="A39" s="429"/>
      <c r="B39" s="379" t="s">
        <v>2513</v>
      </c>
      <c r="C39" s="2057" t="s">
        <v>3417</v>
      </c>
      <c r="D39" s="392">
        <v>100</v>
      </c>
      <c r="E39" s="2057" t="s">
        <v>3417</v>
      </c>
      <c r="F39" s="392">
        <f>SUMIF(119:119,E39,120:120)-SUMIF(119:119,C39,120:120)+100</f>
        <v>100</v>
      </c>
      <c r="G39" s="2057" t="s">
        <v>3417</v>
      </c>
      <c r="H39" s="392">
        <f>SUMIF(119:119,G39,120:120)-SUMIF(119:119,C39,120:120)+100</f>
        <v>100</v>
      </c>
      <c r="I39" s="2057" t="s">
        <v>3417</v>
      </c>
      <c r="J39" s="392">
        <f>SUMIF(119:119,I39,120:120)-SUMIF(119:119,C39,120:120)+100</f>
        <v>100</v>
      </c>
      <c r="K39" s="567">
        <v>2</v>
      </c>
      <c r="L39" s="2914"/>
      <c r="M39" s="2908"/>
      <c r="N39" s="2908"/>
      <c r="O39" s="2966"/>
      <c r="P39" s="3658"/>
      <c r="Q39" s="1501" t="str">
        <f t="shared" ref="Q39:Q45" si="16">B39</f>
        <v>宗地形状</v>
      </c>
      <c r="R39" s="711" t="s">
        <v>17</v>
      </c>
      <c r="S39" s="712">
        <f t="shared" si="12"/>
        <v>100</v>
      </c>
      <c r="T39" s="711" t="s">
        <v>17</v>
      </c>
      <c r="U39" s="712">
        <f t="shared" si="13"/>
        <v>100</v>
      </c>
      <c r="V39" s="711" t="s">
        <v>17</v>
      </c>
      <c r="W39" s="712">
        <f t="shared" si="14"/>
        <v>100</v>
      </c>
      <c r="X39" s="1504"/>
      <c r="Y39" s="3658"/>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658"/>
      <c r="Q40" s="1501" t="str">
        <f t="shared" si="16"/>
        <v>临街宽度及深度</v>
      </c>
      <c r="R40" s="711" t="s">
        <v>17</v>
      </c>
      <c r="S40" s="712">
        <f t="shared" si="12"/>
        <v>100</v>
      </c>
      <c r="T40" s="711" t="s">
        <v>17</v>
      </c>
      <c r="U40" s="712">
        <f t="shared" si="13"/>
        <v>100</v>
      </c>
      <c r="V40" s="711" t="s">
        <v>17</v>
      </c>
      <c r="W40" s="712">
        <f t="shared" si="14"/>
        <v>100</v>
      </c>
      <c r="X40" s="1504"/>
      <c r="Y40" s="3658"/>
      <c r="Z40" s="1505" t="str">
        <f t="shared" si="15"/>
        <v>临街宽度及深度</v>
      </c>
      <c r="AA40" s="1502">
        <f t="shared" si="5"/>
        <v>1</v>
      </c>
      <c r="AB40" s="1502">
        <f t="shared" si="6"/>
        <v>1</v>
      </c>
      <c r="AC40" s="1502">
        <f t="shared" si="7"/>
        <v>1</v>
      </c>
    </row>
    <row r="41" spans="1:29" s="111" customFormat="1" ht="15">
      <c r="A41" s="430"/>
      <c r="B41" s="379" t="s">
        <v>2515</v>
      </c>
      <c r="C41" s="2131" t="s">
        <v>3403</v>
      </c>
      <c r="D41" s="130">
        <v>100</v>
      </c>
      <c r="E41" s="2131" t="s">
        <v>3404</v>
      </c>
      <c r="F41" s="392">
        <f>SUMIF(123:123,E41,124:124)-SUMIF(123:123,C41,124:124)+100</f>
        <v>90</v>
      </c>
      <c r="G41" s="2131" t="s">
        <v>3404</v>
      </c>
      <c r="H41" s="392">
        <f>SUMIF(123:123,G41,124:124)-SUMIF(123:123,C41,124:124)+100</f>
        <v>90</v>
      </c>
      <c r="I41" s="2131" t="s">
        <v>3405</v>
      </c>
      <c r="J41" s="392">
        <f>SUMIF(123:123,I41,124:124)-SUMIF(123:123,C41,124:124)+100</f>
        <v>95</v>
      </c>
      <c r="K41" s="567">
        <v>5</v>
      </c>
      <c r="L41" s="2909"/>
      <c r="M41" s="2910"/>
      <c r="N41" s="2910"/>
      <c r="O41" s="2964"/>
      <c r="P41" s="3658"/>
      <c r="Q41" s="1501" t="str">
        <f t="shared" si="16"/>
        <v>宗地开发程度</v>
      </c>
      <c r="R41" s="707" t="s">
        <v>17</v>
      </c>
      <c r="S41" s="708">
        <f t="shared" si="12"/>
        <v>90</v>
      </c>
      <c r="T41" s="707" t="s">
        <v>17</v>
      </c>
      <c r="U41" s="708">
        <f t="shared" si="13"/>
        <v>90</v>
      </c>
      <c r="V41" s="707" t="s">
        <v>17</v>
      </c>
      <c r="W41" s="708">
        <f t="shared" si="14"/>
        <v>95</v>
      </c>
      <c r="X41" s="709"/>
      <c r="Y41" s="3658"/>
      <c r="Z41" s="55" t="str">
        <f t="shared" si="15"/>
        <v>宗地开发程度</v>
      </c>
      <c r="AA41" s="710">
        <f t="shared" si="5"/>
        <v>1.1111111111111112</v>
      </c>
      <c r="AB41" s="710">
        <f t="shared" si="6"/>
        <v>1.1111111111111112</v>
      </c>
      <c r="AC41" s="710">
        <f t="shared" si="7"/>
        <v>1.0526315789473684</v>
      </c>
    </row>
    <row r="42" spans="1:29" ht="15.75" thickBot="1">
      <c r="A42" s="429"/>
      <c r="B42" s="379" t="s">
        <v>2516</v>
      </c>
      <c r="C42" s="2057" t="s">
        <v>3402</v>
      </c>
      <c r="D42" s="392">
        <v>100</v>
      </c>
      <c r="E42" s="2057" t="s">
        <v>3402</v>
      </c>
      <c r="F42" s="392">
        <f>SUMIF(125:125,E42,126:126)-SUMIF(125:125,C42,126:126)+100</f>
        <v>100</v>
      </c>
      <c r="G42" s="2057" t="s">
        <v>3402</v>
      </c>
      <c r="H42" s="392">
        <f>SUMIF(125:125,G42,126:126)-SUMIF(125:125,C42,126:126)+100</f>
        <v>100</v>
      </c>
      <c r="I42" s="2057" t="s">
        <v>3402</v>
      </c>
      <c r="J42" s="392">
        <f>SUMIF(125:125,I42,126:126)-SUMIF(125:125,C42,126:126)+100</f>
        <v>100</v>
      </c>
      <c r="K42" s="567">
        <v>2</v>
      </c>
      <c r="L42" s="2914"/>
      <c r="M42" s="2908"/>
      <c r="N42" s="2908"/>
      <c r="O42" s="2966"/>
      <c r="P42" s="3658" t="s">
        <v>2326</v>
      </c>
      <c r="Q42" s="1501" t="str">
        <f t="shared" si="16"/>
        <v>工程地质条件</v>
      </c>
      <c r="R42" s="711" t="s">
        <v>17</v>
      </c>
      <c r="S42" s="712">
        <f t="shared" si="12"/>
        <v>100</v>
      </c>
      <c r="T42" s="711" t="s">
        <v>17</v>
      </c>
      <c r="U42" s="712">
        <f t="shared" si="13"/>
        <v>100</v>
      </c>
      <c r="V42" s="711" t="s">
        <v>17</v>
      </c>
      <c r="W42" s="712">
        <f t="shared" si="14"/>
        <v>100</v>
      </c>
      <c r="X42" s="1504"/>
      <c r="Y42" s="3658"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658"/>
      <c r="Q43" s="1501">
        <f t="shared" si="16"/>
        <v>111</v>
      </c>
      <c r="R43" s="711" t="s">
        <v>17</v>
      </c>
      <c r="S43" s="712">
        <f t="shared" si="12"/>
        <v>100</v>
      </c>
      <c r="T43" s="711" t="s">
        <v>17</v>
      </c>
      <c r="U43" s="712">
        <f t="shared" si="13"/>
        <v>100</v>
      </c>
      <c r="V43" s="711" t="s">
        <v>17</v>
      </c>
      <c r="W43" s="712">
        <f t="shared" si="14"/>
        <v>100</v>
      </c>
      <c r="X43" s="1504"/>
      <c r="Y43" s="3658"/>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658"/>
      <c r="Q44" s="1501">
        <f t="shared" si="16"/>
        <v>111</v>
      </c>
      <c r="R44" s="711" t="s">
        <v>17</v>
      </c>
      <c r="S44" s="712">
        <f t="shared" si="12"/>
        <v>100</v>
      </c>
      <c r="T44" s="711" t="s">
        <v>17</v>
      </c>
      <c r="U44" s="712">
        <f t="shared" si="13"/>
        <v>100</v>
      </c>
      <c r="V44" s="711" t="s">
        <v>17</v>
      </c>
      <c r="W44" s="712">
        <f t="shared" si="14"/>
        <v>100</v>
      </c>
      <c r="X44" s="1504"/>
      <c r="Y44" s="3658"/>
      <c r="Z44" s="1505">
        <f t="shared" si="15"/>
        <v>111</v>
      </c>
      <c r="AA44" s="1502">
        <f t="shared" si="5"/>
        <v>1</v>
      </c>
      <c r="AB44" s="1502">
        <f t="shared" si="6"/>
        <v>1</v>
      </c>
      <c r="AC44" s="1502">
        <f t="shared" si="7"/>
        <v>1</v>
      </c>
    </row>
    <row r="45" spans="1:29" s="428" customFormat="1" ht="15.75"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658"/>
      <c r="Q45" s="1501">
        <f t="shared" si="16"/>
        <v>111</v>
      </c>
      <c r="R45" s="714" t="s">
        <v>17</v>
      </c>
      <c r="S45" s="715">
        <f t="shared" si="12"/>
        <v>100</v>
      </c>
      <c r="T45" s="714" t="s">
        <v>17</v>
      </c>
      <c r="U45" s="715">
        <f t="shared" si="13"/>
        <v>100</v>
      </c>
      <c r="V45" s="714" t="s">
        <v>17</v>
      </c>
      <c r="W45" s="715">
        <f t="shared" si="14"/>
        <v>100</v>
      </c>
      <c r="X45" s="716"/>
      <c r="Y45" s="3658"/>
      <c r="Z45" s="717">
        <f t="shared" si="15"/>
        <v>111</v>
      </c>
      <c r="AA45" s="1502">
        <f t="shared" si="5"/>
        <v>1</v>
      </c>
      <c r="AB45" s="1502">
        <f t="shared" si="6"/>
        <v>1</v>
      </c>
      <c r="AC45" s="1502">
        <f t="shared" si="7"/>
        <v>1</v>
      </c>
    </row>
    <row r="46" spans="1:29" ht="15">
      <c r="A46" s="436" t="s">
        <v>2481</v>
      </c>
      <c r="B46" s="2133" t="s">
        <v>3418</v>
      </c>
      <c r="C46" s="636" t="s">
        <v>1</v>
      </c>
      <c r="D46" s="438"/>
      <c r="E46" s="439">
        <f>土地一级开发成本案例!P22</f>
        <v>4286.01</v>
      </c>
      <c r="F46" s="440"/>
      <c r="G46" s="441">
        <f>土地一级开发成本案例!P24</f>
        <v>4110.07</v>
      </c>
      <c r="H46" s="442"/>
      <c r="I46" s="439">
        <f>土地一级开发成本案例!P30</f>
        <v>3852.75</v>
      </c>
      <c r="J46" s="442"/>
      <c r="K46" s="720"/>
      <c r="L46" s="2916"/>
      <c r="M46" s="2917"/>
      <c r="N46" s="2908"/>
      <c r="O46" s="2917"/>
      <c r="P46" s="3651" t="str">
        <f>A46</f>
        <v>成交单价</v>
      </c>
      <c r="Q46" s="3651"/>
      <c r="R46" s="3683">
        <f>E46</f>
        <v>4286.01</v>
      </c>
      <c r="S46" s="3683"/>
      <c r="T46" s="3683">
        <f>G46</f>
        <v>4110.07</v>
      </c>
      <c r="U46" s="3683"/>
      <c r="V46" s="3683">
        <f>I46</f>
        <v>3852.75</v>
      </c>
      <c r="W46" s="3683"/>
      <c r="X46" s="696"/>
      <c r="Y46" s="718"/>
      <c r="Z46" s="696"/>
      <c r="AA46" s="696"/>
      <c r="AB46" s="696"/>
      <c r="AC46" s="696"/>
    </row>
    <row r="47" spans="1:29" ht="15.75" thickBot="1">
      <c r="A47" s="443" t="s">
        <v>2430</v>
      </c>
      <c r="B47" s="637"/>
      <c r="C47" s="446">
        <f>R48</f>
        <v>5148</v>
      </c>
      <c r="D47" s="2502" t="s">
        <v>2818</v>
      </c>
      <c r="E47" s="446">
        <f>R47</f>
        <v>5439</v>
      </c>
      <c r="F47" s="2503">
        <v>0.35</v>
      </c>
      <c r="G47" s="445">
        <f>T47</f>
        <v>5007</v>
      </c>
      <c r="H47" s="2503">
        <v>0.5</v>
      </c>
      <c r="I47" s="446">
        <f>V47</f>
        <v>4998</v>
      </c>
      <c r="J47" s="2503">
        <v>0.15</v>
      </c>
      <c r="K47" s="2505">
        <f>F47+H47+J47</f>
        <v>1</v>
      </c>
      <c r="L47" s="2916"/>
      <c r="M47" s="2917"/>
      <c r="N47" s="2917"/>
      <c r="O47" s="2917"/>
      <c r="P47" s="3651" t="str">
        <f>A47</f>
        <v>比较价值（元/平方米）</v>
      </c>
      <c r="Q47" s="3651"/>
      <c r="R47" s="3739">
        <f>ROUND(PRODUCT(R46,AA7:AA45),0)</f>
        <v>5439</v>
      </c>
      <c r="S47" s="3739"/>
      <c r="T47" s="3739">
        <f>ROUND(PRODUCT(T46,AB7:AB45),0)</f>
        <v>5007</v>
      </c>
      <c r="U47" s="3739"/>
      <c r="V47" s="3739">
        <f>ROUND(PRODUCT(V46,AC7:AC45),0)</f>
        <v>4998</v>
      </c>
      <c r="W47" s="3739"/>
      <c r="X47" s="696"/>
      <c r="Y47" s="696"/>
      <c r="Z47" s="696"/>
      <c r="AA47" s="696"/>
      <c r="AB47" s="696"/>
      <c r="AC47" s="696"/>
    </row>
    <row r="48" spans="1:29" ht="15.75" thickBot="1">
      <c r="A48" s="447" t="s">
        <v>2517</v>
      </c>
      <c r="B48" s="448"/>
      <c r="C48" s="449">
        <f>R48</f>
        <v>5148</v>
      </c>
      <c r="D48" s="449"/>
      <c r="E48" s="449"/>
      <c r="F48" s="449"/>
      <c r="G48" s="449"/>
      <c r="H48" s="449"/>
      <c r="I48" s="449"/>
      <c r="J48" s="449"/>
      <c r="K48" s="721"/>
      <c r="L48" s="2916"/>
      <c r="M48" s="2917"/>
      <c r="N48" s="2917"/>
      <c r="O48" s="2917"/>
      <c r="P48" s="3648" t="str">
        <f>A48</f>
        <v>估价对象XX用房的比较价值（楼面单价，元/平方米）</v>
      </c>
      <c r="Q48" s="3649"/>
      <c r="R48" s="3740">
        <f>ROUND(IF(D47="简单平均",AVERAGE(R47:W47),R47*F47+T47*H47+V47*J47),0)</f>
        <v>5148</v>
      </c>
      <c r="S48" s="3740"/>
      <c r="T48" s="3740"/>
      <c r="U48" s="3740"/>
      <c r="V48" s="3740"/>
      <c r="W48" s="3740"/>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0.26901243814176823</v>
      </c>
      <c r="F51" s="455" t="str">
        <f>IF(OR(E51&gt;=0.3,E51&lt;=-0.3),"超过30%","")</f>
        <v/>
      </c>
      <c r="G51" s="454">
        <f>IF(G46&lt;G47,G47/G46-1,G46/G47-1)</f>
        <v>0.21822742678348561</v>
      </c>
      <c r="H51" s="455" t="str">
        <f>IF(OR(G51&gt;=0.3,G51&lt;=-0.3),"超过30%","")</f>
        <v/>
      </c>
      <c r="I51" s="454">
        <f>IF(I46&lt;I47,I47/I46-1,I46/I47-1)</f>
        <v>0.29725520731944721</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8.6279209107249955E-2</v>
      </c>
      <c r="F52" s="455" t="str">
        <f>IF(OR(E52&gt;=0.2,E52&lt;=-0.2),"超过20%","")</f>
        <v/>
      </c>
      <c r="G52" s="454">
        <f>IF(G47&lt;I47,I47/G47-1,G47/I47-1)</f>
        <v>1.8007202881151763E-3</v>
      </c>
      <c r="H52" s="455" t="str">
        <f>IF(OR(G52&gt;=0.2,G52&lt;=-0.2),"超过20%","")</f>
        <v/>
      </c>
      <c r="I52" s="454">
        <f>IF(I47&lt;E47,E47/I47-1,I47/E47-1)</f>
        <v>8.8235294117646967E-2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4.2807056814117672E-2</v>
      </c>
      <c r="F53" s="455" t="str">
        <f>IF(OR(E53&gt;=0.3,E53&lt;=-0.3),"超过30%","")</f>
        <v/>
      </c>
      <c r="G53" s="454">
        <f>IF(G46&lt;I46,I46/G46-1,G46/I46-1)</f>
        <v>6.678865745246898E-2</v>
      </c>
      <c r="H53" s="455" t="str">
        <f>IF(OR(G53&gt;=0.3,G53&lt;=-0.3),"超过30%","")</f>
        <v/>
      </c>
      <c r="I53" s="454">
        <f>IF(I46&lt;E46,E46/I46-1,I46/E46-1)</f>
        <v>0.11245474012069301</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667" t="s">
        <v>2524</v>
      </c>
      <c r="H55" s="3741"/>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5148</v>
      </c>
      <c r="C56" s="644">
        <v>1</v>
      </c>
      <c r="D56" s="1072">
        <v>1</v>
      </c>
      <c r="E56" s="644">
        <f>'数据-汇总表'!E8+'数据-汇总表'!E9</f>
        <v>47461.850000000006</v>
      </c>
      <c r="F56" s="1014">
        <f t="shared" ref="F56:F65" si="17">ROUND(B56*E56/10000,0)</f>
        <v>24433</v>
      </c>
      <c r="G56" s="3662"/>
      <c r="H56" s="3651"/>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901</v>
      </c>
      <c r="C57" s="174">
        <f t="shared" ref="C57:C65" si="18">IF($C$55="北京市系数",I57,J57)</f>
        <v>0.7</v>
      </c>
      <c r="D57" s="1073">
        <v>0.25</v>
      </c>
      <c r="E57" s="648"/>
      <c r="F57" s="1014">
        <f t="shared" si="17"/>
        <v>0</v>
      </c>
      <c r="G57" s="3742" t="s">
        <v>2529</v>
      </c>
      <c r="H57" s="1015" t="str">
        <f>项目基本情况!B37</f>
        <v>七级</v>
      </c>
      <c r="I57" s="1019">
        <f>SUMIF(修正!A45:A56,H57,修正!B45:B56)</f>
        <v>0.7</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515</v>
      </c>
      <c r="C58" s="174">
        <f t="shared" si="18"/>
        <v>0.4</v>
      </c>
      <c r="D58" s="1073">
        <v>0.25</v>
      </c>
      <c r="E58" s="648"/>
      <c r="F58" s="1014">
        <f t="shared" si="17"/>
        <v>0</v>
      </c>
      <c r="G58" s="3742"/>
      <c r="H58" s="1015" t="str">
        <f>项目基本情况!B37</f>
        <v>七级</v>
      </c>
      <c r="I58" s="1019">
        <f>SUMIF(修正!A45:A56,H58,修正!C45:C56)</f>
        <v>0.4</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360</v>
      </c>
      <c r="C59" s="174">
        <f t="shared" si="18"/>
        <v>0.28000000000000003</v>
      </c>
      <c r="D59" s="1073">
        <v>0.25</v>
      </c>
      <c r="E59" s="648"/>
      <c r="F59" s="1014">
        <f t="shared" si="17"/>
        <v>0</v>
      </c>
      <c r="G59" s="3742"/>
      <c r="H59" s="1015" t="str">
        <f>项目基本情况!B37</f>
        <v>七级</v>
      </c>
      <c r="I59" s="1019">
        <f>SUMIF(修正!A45:A56,H59,修正!D45:D56)</f>
        <v>0.28000000000000003</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322</v>
      </c>
      <c r="C60" s="174">
        <f t="shared" si="18"/>
        <v>0.25</v>
      </c>
      <c r="D60" s="1073">
        <v>0.25</v>
      </c>
      <c r="E60" s="648"/>
      <c r="F60" s="1014">
        <f t="shared" si="17"/>
        <v>0</v>
      </c>
      <c r="G60" s="3742"/>
      <c r="H60" s="1015" t="str">
        <f>项目基本情况!B37</f>
        <v>七级</v>
      </c>
      <c r="I60" s="1019">
        <f>SUMIF(修正!A45:A56,H60,修正!E45:E56)</f>
        <v>0.25</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322</v>
      </c>
      <c r="C61" s="174">
        <f t="shared" si="18"/>
        <v>0.25</v>
      </c>
      <c r="D61" s="1073">
        <v>0.25</v>
      </c>
      <c r="E61" s="221">
        <f>'数据-汇总表'!E11</f>
        <v>0</v>
      </c>
      <c r="F61" s="1014">
        <f t="shared" si="17"/>
        <v>0</v>
      </c>
      <c r="G61" s="2138" t="s">
        <v>2534</v>
      </c>
      <c r="H61" s="1015" t="str">
        <f>项目基本情况!C37</f>
        <v>七级</v>
      </c>
      <c r="I61" s="1019">
        <f>SUMIF(修正!A45:A56,H61,修正!F45:F56)</f>
        <v>0.25</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322</v>
      </c>
      <c r="C62" s="174">
        <f t="shared" si="18"/>
        <v>0.25</v>
      </c>
      <c r="D62" s="1073">
        <v>0.25</v>
      </c>
      <c r="E62" s="221">
        <f>'数据-汇总表'!E12</f>
        <v>0</v>
      </c>
      <c r="F62" s="1014">
        <f t="shared" si="17"/>
        <v>0</v>
      </c>
      <c r="G62" s="1020" t="s">
        <v>2536</v>
      </c>
      <c r="H62" s="1015" t="str">
        <f>IF(G62="商业",项目基本情况!B37,IF(G62="办公",项目基本情况!C37,IF(G62="住宅",项目基本情况!D37,项目基本情况!E37)))</f>
        <v>七级</v>
      </c>
      <c r="I62" s="1019">
        <f>SUMIF(修正!A45:A56,H62,修正!G45:G56)</f>
        <v>0.25</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257</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七级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257</v>
      </c>
      <c r="C64" s="174">
        <f t="shared" si="18"/>
        <v>0.2</v>
      </c>
      <c r="D64" s="1073">
        <v>0.25</v>
      </c>
      <c r="E64" s="221">
        <f>'数据-汇总表'!E14</f>
        <v>0</v>
      </c>
      <c r="F64" s="1014">
        <f t="shared" si="17"/>
        <v>0</v>
      </c>
      <c r="G64" s="2138" t="s">
        <v>2529</v>
      </c>
      <c r="H64" s="1015" t="str">
        <f>项目基本情况!B37</f>
        <v>七级</v>
      </c>
      <c r="I64" s="1019">
        <f>SUMIF(修正!A45:A56,H64,修正!H45:H56)</f>
        <v>0.2</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2540</v>
      </c>
      <c r="B65" s="222">
        <f t="shared" si="19"/>
        <v>257</v>
      </c>
      <c r="C65" s="174">
        <f t="shared" si="18"/>
        <v>0.2</v>
      </c>
      <c r="D65" s="1073">
        <v>0.25</v>
      </c>
      <c r="E65" s="221">
        <f>'数据-汇总表'!E15</f>
        <v>0</v>
      </c>
      <c r="F65" s="1014">
        <f t="shared" si="17"/>
        <v>0</v>
      </c>
      <c r="G65" s="2139" t="s">
        <v>2534</v>
      </c>
      <c r="H65" s="1025" t="str">
        <f>项目基本情况!C37</f>
        <v>七级</v>
      </c>
      <c r="I65" s="1021">
        <f>SUMIF(修正!A45:A56,H65,修正!H45:H56)</f>
        <v>0.2</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2541</v>
      </c>
      <c r="B66" s="650" t="s">
        <v>28</v>
      </c>
      <c r="C66" s="650" t="s">
        <v>29</v>
      </c>
      <c r="D66" s="650" t="s">
        <v>997</v>
      </c>
      <c r="E66" s="650">
        <f>IF(B46="楼面地价",SUM(E56:E65),'数据-汇总表'!D3)</f>
        <v>25000</v>
      </c>
      <c r="F66" s="651">
        <f>IF(B46="楼面地价",SUM(F56:F65),ROUND(C48*E66/10000,0))</f>
        <v>12870</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2022-2-1</v>
      </c>
      <c r="D68" s="698">
        <f>EDATE(C68,-3)</f>
        <v>44501</v>
      </c>
      <c r="E68" s="698">
        <f>EDATE(D68,-3)</f>
        <v>44409</v>
      </c>
      <c r="F68" s="698">
        <f t="shared" ref="F68:O68" si="20">EDATE(E68,-3)</f>
        <v>44317</v>
      </c>
      <c r="G68" s="698">
        <f t="shared" si="20"/>
        <v>44228</v>
      </c>
      <c r="H68" s="698">
        <f t="shared" si="20"/>
        <v>44136</v>
      </c>
      <c r="I68" s="698">
        <f t="shared" si="20"/>
        <v>44044</v>
      </c>
      <c r="J68" s="698">
        <f t="shared" si="20"/>
        <v>43952</v>
      </c>
      <c r="K68" s="698">
        <f t="shared" si="20"/>
        <v>43862</v>
      </c>
      <c r="L68" s="698">
        <f t="shared" si="20"/>
        <v>43770</v>
      </c>
      <c r="M68" s="698">
        <f t="shared" si="20"/>
        <v>43678</v>
      </c>
      <c r="N68" s="698">
        <f t="shared" si="20"/>
        <v>43586</v>
      </c>
      <c r="O68" s="698">
        <f t="shared" si="20"/>
        <v>43497</v>
      </c>
      <c r="P68" s="2917"/>
      <c r="Q68" s="2917"/>
      <c r="R68" s="2917"/>
      <c r="S68" s="2917"/>
      <c r="T68" s="2917"/>
      <c r="U68" s="2917"/>
      <c r="V68" s="2917"/>
      <c r="W68" s="2917"/>
      <c r="X68" s="2917"/>
      <c r="Y68" s="2917"/>
      <c r="Z68" s="2917"/>
      <c r="AA68" s="2917"/>
      <c r="AB68" s="2917"/>
      <c r="AC68" s="2917"/>
    </row>
    <row r="69" spans="1:29" ht="21.75"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5">
      <c r="A70" s="2140" t="s">
        <v>2542</v>
      </c>
      <c r="B70" s="1236"/>
      <c r="C70" s="1311" t="str">
        <f>YEAR(C68)&amp;"-"&amp;ROUNDUP(MONTH(C68)/3,0)</f>
        <v>2022-1</v>
      </c>
      <c r="D70" s="1311" t="str">
        <f>YEAR(D68)&amp;"-"&amp;ROUNDUP(MONTH(D68)/3,0)</f>
        <v>2021-4</v>
      </c>
      <c r="E70" s="1311" t="str">
        <f t="shared" ref="E70:O70" si="21">YEAR(E68)&amp;"-"&amp;ROUNDUP(MONTH(E68)/3,0)</f>
        <v>2021-3</v>
      </c>
      <c r="F70" s="1311" t="str">
        <f t="shared" si="21"/>
        <v>2021-2</v>
      </c>
      <c r="G70" s="1311" t="str">
        <f t="shared" si="21"/>
        <v>2021-1</v>
      </c>
      <c r="H70" s="1311" t="str">
        <f t="shared" si="21"/>
        <v>2020-4</v>
      </c>
      <c r="I70" s="1311" t="str">
        <f t="shared" si="21"/>
        <v>2020-3</v>
      </c>
      <c r="J70" s="1311" t="str">
        <f t="shared" si="21"/>
        <v>2020-2</v>
      </c>
      <c r="K70" s="1311" t="str">
        <f t="shared" si="21"/>
        <v>2020-1</v>
      </c>
      <c r="L70" s="1311" t="str">
        <f t="shared" si="21"/>
        <v>2019-4</v>
      </c>
      <c r="M70" s="1311" t="str">
        <f t="shared" si="21"/>
        <v>2019-3</v>
      </c>
      <c r="N70" s="1311" t="str">
        <f t="shared" si="21"/>
        <v>2019-2</v>
      </c>
      <c r="O70" s="1311" t="str">
        <f t="shared" si="21"/>
        <v>2019-1</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北京市平均增长率1.81%</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7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5">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2349</v>
      </c>
      <c r="B75" s="483" t="s">
        <v>2315</v>
      </c>
      <c r="C75" s="3290" t="s">
        <v>3391</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15.75"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5.75"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7.75"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5.75"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2324</v>
      </c>
      <c r="B116" s="483" t="s">
        <v>2551</v>
      </c>
      <c r="C116" s="484" t="str">
        <f>C117&amp;"(含)"&amp;"-"&amp;D117</f>
        <v>0(含)-500000</v>
      </c>
      <c r="D116" s="484" t="str">
        <f t="shared" ref="D116:M116" si="27">D117&amp;"(含)"&amp;"-"&amp;E117</f>
        <v>500000(含)-1000000</v>
      </c>
      <c r="E116" s="484" t="str">
        <f t="shared" si="27"/>
        <v>1000000(含)-2000000</v>
      </c>
      <c r="F116" s="484" t="str">
        <f t="shared" si="27"/>
        <v>2000000(含)-2500000</v>
      </c>
      <c r="G116" s="484" t="str">
        <f t="shared" si="27"/>
        <v>2500000(含)-3000000</v>
      </c>
      <c r="H116" s="484" t="str">
        <f t="shared" si="27"/>
        <v>3000000(含)-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9">
        <v>0</v>
      </c>
      <c r="D117" s="9">
        <v>500000</v>
      </c>
      <c r="E117" s="9">
        <v>1000000</v>
      </c>
      <c r="F117" s="9">
        <v>2000000</v>
      </c>
      <c r="G117" s="550">
        <v>2500000</v>
      </c>
      <c r="H117" s="550">
        <v>3000000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3410</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3412</v>
      </c>
      <c r="D123" s="3304" t="s">
        <v>3413</v>
      </c>
      <c r="E123" s="3304" t="s">
        <v>3414</v>
      </c>
      <c r="F123" s="3304" t="s">
        <v>3415</v>
      </c>
      <c r="G123" s="3304" t="s">
        <v>3416</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3411</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xr:uid="{00000000-0002-0000-2300-000000000000}">
      <formula1>住宅朝向</formula1>
    </dataValidation>
    <dataValidation type="list" allowBlank="1" showInputMessage="1" showErrorMessage="1" sqref="C16 E16 G16 I16 C18 E18 G18 I18 I20 G20 E20 C20 C22 E22 G22 I22 C28 E28 G28 I28" xr:uid="{00000000-0002-0000-2300-000001000000}">
      <formula1>居住社区成熟度</formula1>
    </dataValidation>
    <dataValidation type="list" allowBlank="1" showInputMessage="1" showErrorMessage="1" sqref="B46" xr:uid="{00000000-0002-0000-2300-000002000000}">
      <formula1>单价内涵</formula1>
    </dataValidation>
    <dataValidation type="list" allowBlank="1" showInputMessage="1" showErrorMessage="1" sqref="C8 E8 G8 I8" xr:uid="{00000000-0002-0000-2300-000003000000}">
      <formula1>套综交易情况</formula1>
    </dataValidation>
    <dataValidation type="list" allowBlank="1" showInputMessage="1" showErrorMessage="1" sqref="C9 I9 E9 G9" xr:uid="{00000000-0002-0000-2300-000004000000}">
      <formula1>套综用途</formula1>
    </dataValidation>
    <dataValidation type="list" allowBlank="1" showInputMessage="1" showErrorMessage="1" sqref="C33 E33 G33 I33" xr:uid="{00000000-0002-0000-2300-000005000000}">
      <formula1>套综道路等级</formula1>
    </dataValidation>
    <dataValidation type="list" allowBlank="1" showInputMessage="1" showErrorMessage="1" sqref="C34 E34 G34 I34" xr:uid="{00000000-0002-0000-2300-000006000000}">
      <formula1>套综土地级别</formula1>
    </dataValidation>
    <dataValidation type="list" allowBlank="1" showInputMessage="1" showErrorMessage="1" sqref="C39 G39 E39 I39" xr:uid="{00000000-0002-0000-2300-000007000000}">
      <formula1>套综宗地形状</formula1>
    </dataValidation>
    <dataValidation type="list" allowBlank="1" showInputMessage="1" showErrorMessage="1" sqref="C40 E40 G40 I40" xr:uid="{00000000-0002-0000-2300-000008000000}">
      <formula1>套综临街宽度及深度</formula1>
    </dataValidation>
    <dataValidation type="list" allowBlank="1" showInputMessage="1" showErrorMessage="1" sqref="C41 E41 G41 I41" xr:uid="{00000000-0002-0000-2300-000009000000}">
      <formula1>套综宗地内开发程度</formula1>
    </dataValidation>
    <dataValidation type="list" allowBlank="1" showInputMessage="1" showErrorMessage="1" sqref="C42 G42 E42 I42" xr:uid="{00000000-0002-0000-2300-00000A000000}">
      <formula1>套综工程地质条件</formula1>
    </dataValidation>
    <dataValidation type="list" allowBlank="1" showInputMessage="1" showErrorMessage="1" sqref="C31 E31 G31 I31" xr:uid="{00000000-0002-0000-2300-00000B000000}">
      <formula1>临街状况</formula1>
    </dataValidation>
    <dataValidation type="list" allowBlank="1" showInputMessage="1" showErrorMessage="1" sqref="C24 E24 G24 I24 C26 E26 G26 I26" xr:uid="{00000000-0002-0000-2300-00000C000000}">
      <formula1>区域土地利用方向</formula1>
    </dataValidation>
    <dataValidation type="list" allowBlank="1" showInputMessage="1" showErrorMessage="1" sqref="C55" xr:uid="{00000000-0002-0000-2300-00000D000000}">
      <formula1>"北京市系数,其他省市系数"</formula1>
    </dataValidation>
    <dataValidation type="list" allowBlank="1" showInputMessage="1" showErrorMessage="1" sqref="G62" xr:uid="{00000000-0002-0000-2300-00000E000000}">
      <formula1>"商业,办公,住宅,工业"</formula1>
    </dataValidation>
    <dataValidation type="list" allowBlank="1" showInputMessage="1" showErrorMessage="1" sqref="G63" xr:uid="{00000000-0002-0000-2300-00000F000000}">
      <formula1>"住宅,工业"</formula1>
    </dataValidation>
    <dataValidation type="list" allowBlank="1" showInputMessage="1" showErrorMessage="1" sqref="D57:D65" xr:uid="{00000000-0002-0000-2300-000010000000}">
      <formula1>"25%,1"</formula1>
    </dataValidation>
    <dataValidation type="list" allowBlank="1" showInputMessage="1" showErrorMessage="1" sqref="C30 E30 G30 I30" xr:uid="{00000000-0002-0000-2300-000011000000}">
      <formula1>基础设施水平</formula1>
    </dataValidation>
    <dataValidation type="list" allowBlank="1" showInputMessage="1" showErrorMessage="1" sqref="A71" xr:uid="{00000000-0002-0000-2300-000012000000}">
      <formula1>"综合,商业,办公,住宅"</formula1>
    </dataValidation>
    <dataValidation type="list" allowBlank="1" showInputMessage="1" showErrorMessage="1" sqref="D47"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77" t="s">
        <v>2408</v>
      </c>
      <c r="S4" s="3678"/>
      <c r="T4" s="3677" t="s">
        <v>2409</v>
      </c>
      <c r="U4" s="3678"/>
      <c r="V4" s="3683" t="s">
        <v>2410</v>
      </c>
      <c r="W4" s="3683"/>
      <c r="X4" s="1504"/>
      <c r="Y4" s="3677" t="s">
        <v>2412</v>
      </c>
      <c r="Z4" s="3678"/>
      <c r="AA4" s="3664" t="s">
        <v>2408</v>
      </c>
      <c r="AB4" s="3665" t="s">
        <v>2409</v>
      </c>
      <c r="AC4" s="3664" t="s">
        <v>2410</v>
      </c>
    </row>
    <row r="5" spans="1:29" ht="15">
      <c r="A5" s="362"/>
      <c r="B5" s="363"/>
      <c r="C5" s="3686" t="s">
        <v>2303</v>
      </c>
      <c r="D5" s="3687"/>
      <c r="E5" s="3693" t="s">
        <v>2304</v>
      </c>
      <c r="F5" s="3694"/>
      <c r="G5" s="3686" t="s">
        <v>2305</v>
      </c>
      <c r="H5" s="3687"/>
      <c r="I5" s="3686" t="s">
        <v>2306</v>
      </c>
      <c r="J5" s="3687"/>
      <c r="K5" s="565"/>
      <c r="L5" s="2907"/>
      <c r="M5" s="2908"/>
      <c r="N5" s="2908"/>
      <c r="O5" s="2908"/>
      <c r="P5" s="3673"/>
      <c r="Q5" s="3674"/>
      <c r="R5" s="3679"/>
      <c r="S5" s="3680"/>
      <c r="T5" s="3679"/>
      <c r="U5" s="3680"/>
      <c r="V5" s="3683"/>
      <c r="W5" s="3683"/>
      <c r="X5" s="1504"/>
      <c r="Y5" s="3679"/>
      <c r="Z5" s="3680"/>
      <c r="AA5" s="3665"/>
      <c r="AB5" s="3665"/>
      <c r="AC5" s="3665"/>
    </row>
    <row r="6" spans="1:29" ht="15.75" thickBot="1">
      <c r="A6" s="364"/>
      <c r="B6" s="365"/>
      <c r="C6" s="3746" t="s">
        <v>2557</v>
      </c>
      <c r="D6" s="3747"/>
      <c r="E6" s="3748" t="s">
        <v>2557</v>
      </c>
      <c r="F6" s="3749"/>
      <c r="G6" s="3746" t="s">
        <v>2557</v>
      </c>
      <c r="H6" s="3747"/>
      <c r="I6" s="3746" t="s">
        <v>2557</v>
      </c>
      <c r="J6" s="3747"/>
      <c r="K6" s="565" t="s">
        <v>2308</v>
      </c>
      <c r="L6" s="2907"/>
      <c r="M6" s="2908"/>
      <c r="N6" s="2908"/>
      <c r="O6" s="2908"/>
      <c r="P6" s="3675"/>
      <c r="Q6" s="3676"/>
      <c r="R6" s="3679"/>
      <c r="S6" s="3680"/>
      <c r="T6" s="3681"/>
      <c r="U6" s="3682"/>
      <c r="V6" s="3683"/>
      <c r="W6" s="3683"/>
      <c r="X6" s="1504"/>
      <c r="Y6" s="3681"/>
      <c r="Z6" s="3682"/>
      <c r="AA6" s="3666"/>
      <c r="AB6" s="3666"/>
      <c r="AC6" s="3666"/>
    </row>
    <row r="7" spans="1:29" s="111" customFormat="1" ht="15.75" thickBot="1">
      <c r="A7" s="366" t="s">
        <v>2309</v>
      </c>
      <c r="B7" s="367"/>
      <c r="C7" s="368">
        <f>'数据-取费表'!B2</f>
        <v>44617</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688" t="s">
        <v>2310</v>
      </c>
      <c r="Q7" s="3690"/>
      <c r="R7" s="707" t="s">
        <v>17</v>
      </c>
      <c r="S7" s="708">
        <f t="shared" ref="S7:S15" si="0">F7</f>
        <v>0</v>
      </c>
      <c r="T7" s="707" t="s">
        <v>17</v>
      </c>
      <c r="U7" s="708">
        <f t="shared" ref="U7:U15" si="1">H7</f>
        <v>0</v>
      </c>
      <c r="V7" s="707" t="s">
        <v>17</v>
      </c>
      <c r="W7" s="708">
        <f t="shared" ref="W7:W15" si="2">J7</f>
        <v>0</v>
      </c>
      <c r="X7" s="709"/>
      <c r="Y7" s="3688" t="s">
        <v>2310</v>
      </c>
      <c r="Z7" s="3689"/>
      <c r="AA7" s="710" t="e">
        <f>D7/F7</f>
        <v>#DIV/0!</v>
      </c>
      <c r="AB7" s="710" t="e">
        <f>D7/H7</f>
        <v>#DIV/0!</v>
      </c>
      <c r="AC7" s="710" t="e">
        <f>D7/J7</f>
        <v>#DIV/0!</v>
      </c>
    </row>
    <row r="8" spans="1:29" s="111"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688" t="s">
        <v>2313</v>
      </c>
      <c r="Q8" s="3689"/>
      <c r="R8" s="707" t="s">
        <v>17</v>
      </c>
      <c r="S8" s="708">
        <f t="shared" si="0"/>
        <v>0</v>
      </c>
      <c r="T8" s="707" t="s">
        <v>17</v>
      </c>
      <c r="U8" s="708">
        <f t="shared" si="1"/>
        <v>0</v>
      </c>
      <c r="V8" s="707" t="s">
        <v>17</v>
      </c>
      <c r="W8" s="708">
        <f t="shared" si="2"/>
        <v>0</v>
      </c>
      <c r="X8" s="709"/>
      <c r="Y8" s="3688" t="s">
        <v>2313</v>
      </c>
      <c r="Z8" s="3689"/>
      <c r="AA8" s="710" t="e">
        <f t="shared" ref="AA8:AA40" si="3">D8/F8</f>
        <v>#DIV/0!</v>
      </c>
      <c r="AB8" s="710" t="e">
        <f t="shared" ref="AB8:AB40" si="4">D8/H8</f>
        <v>#DIV/0!</v>
      </c>
      <c r="AC8" s="710" t="e">
        <f t="shared" ref="AC8:AC40" si="5">D8/J8</f>
        <v>#DIV/0!</v>
      </c>
    </row>
    <row r="9" spans="1:29" s="111" customFormat="1">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651" t="s">
        <v>2316</v>
      </c>
      <c r="Q9" s="1492" t="str">
        <f t="shared" ref="Q9:Q15" si="6">B9</f>
        <v>用途</v>
      </c>
      <c r="R9" s="707" t="s">
        <v>17</v>
      </c>
      <c r="S9" s="708">
        <f t="shared" si="0"/>
        <v>100</v>
      </c>
      <c r="T9" s="707" t="s">
        <v>17</v>
      </c>
      <c r="U9" s="708">
        <f t="shared" si="1"/>
        <v>100</v>
      </c>
      <c r="V9" s="707" t="s">
        <v>17</v>
      </c>
      <c r="W9" s="708">
        <f t="shared" si="2"/>
        <v>100</v>
      </c>
      <c r="X9" s="709"/>
      <c r="Y9" s="3663" t="s">
        <v>2317</v>
      </c>
      <c r="Z9" s="55" t="str">
        <f t="shared" ref="Z9:Z15" si="7">Q9</f>
        <v>用途</v>
      </c>
      <c r="AA9" s="710">
        <f t="shared" si="3"/>
        <v>1</v>
      </c>
      <c r="AB9" s="710">
        <f t="shared" si="4"/>
        <v>1</v>
      </c>
      <c r="AC9" s="710">
        <f t="shared" si="5"/>
        <v>1</v>
      </c>
    </row>
    <row r="10" spans="1:29" s="384" customFormat="1" ht="27">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651"/>
      <c r="Q10" s="1492" t="str">
        <f t="shared" si="6"/>
        <v>土地使用年限（年）</v>
      </c>
      <c r="R10" s="707" t="s">
        <v>17</v>
      </c>
      <c r="S10" s="708">
        <f t="shared" si="0"/>
        <v>100</v>
      </c>
      <c r="T10" s="707" t="s">
        <v>17</v>
      </c>
      <c r="U10" s="708">
        <f t="shared" si="1"/>
        <v>100</v>
      </c>
      <c r="V10" s="707" t="s">
        <v>17</v>
      </c>
      <c r="W10" s="708">
        <f t="shared" si="2"/>
        <v>100</v>
      </c>
      <c r="X10" s="709"/>
      <c r="Y10" s="3663"/>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651"/>
      <c r="Q11" s="1492" t="str">
        <f t="shared" si="6"/>
        <v>容积率</v>
      </c>
      <c r="R11" s="707" t="s">
        <v>17</v>
      </c>
      <c r="S11" s="708" t="e">
        <f t="shared" si="0"/>
        <v>#N/A</v>
      </c>
      <c r="T11" s="707" t="s">
        <v>17</v>
      </c>
      <c r="U11" s="708" t="e">
        <f t="shared" si="1"/>
        <v>#N/A</v>
      </c>
      <c r="V11" s="707" t="s">
        <v>17</v>
      </c>
      <c r="W11" s="708" t="e">
        <f t="shared" si="2"/>
        <v>#N/A</v>
      </c>
      <c r="X11" s="709"/>
      <c r="Y11" s="3663"/>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651"/>
      <c r="Q12" s="1492">
        <f t="shared" si="6"/>
        <v>111</v>
      </c>
      <c r="R12" s="707" t="s">
        <v>17</v>
      </c>
      <c r="S12" s="708">
        <f t="shared" si="0"/>
        <v>100</v>
      </c>
      <c r="T12" s="707" t="s">
        <v>17</v>
      </c>
      <c r="U12" s="708">
        <f t="shared" si="1"/>
        <v>100</v>
      </c>
      <c r="V12" s="707" t="s">
        <v>17</v>
      </c>
      <c r="W12" s="708">
        <f t="shared" si="2"/>
        <v>100</v>
      </c>
      <c r="X12" s="709"/>
      <c r="Y12" s="3663"/>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651"/>
      <c r="Q13" s="1492">
        <f t="shared" si="6"/>
        <v>111</v>
      </c>
      <c r="R13" s="707" t="s">
        <v>17</v>
      </c>
      <c r="S13" s="708">
        <f t="shared" si="0"/>
        <v>100</v>
      </c>
      <c r="T13" s="707" t="s">
        <v>17</v>
      </c>
      <c r="U13" s="708">
        <f t="shared" si="1"/>
        <v>100</v>
      </c>
      <c r="V13" s="707" t="s">
        <v>17</v>
      </c>
      <c r="W13" s="708">
        <f t="shared" si="2"/>
        <v>100</v>
      </c>
      <c r="X13" s="709"/>
      <c r="Y13" s="3663"/>
      <c r="Z13" s="55">
        <f t="shared" si="7"/>
        <v>111</v>
      </c>
      <c r="AA13" s="710">
        <f t="shared" si="3"/>
        <v>1</v>
      </c>
      <c r="AB13" s="710">
        <f t="shared" si="4"/>
        <v>1</v>
      </c>
      <c r="AC13" s="710">
        <f t="shared" si="5"/>
        <v>1</v>
      </c>
    </row>
    <row r="14" spans="1:29" ht="15.75"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651"/>
      <c r="Q14" s="1492">
        <f t="shared" si="6"/>
        <v>111</v>
      </c>
      <c r="R14" s="707" t="s">
        <v>17</v>
      </c>
      <c r="S14" s="708">
        <f t="shared" si="0"/>
        <v>100</v>
      </c>
      <c r="T14" s="707" t="s">
        <v>17</v>
      </c>
      <c r="U14" s="708">
        <f t="shared" si="1"/>
        <v>100</v>
      </c>
      <c r="V14" s="707" t="s">
        <v>17</v>
      </c>
      <c r="W14" s="708">
        <f t="shared" si="2"/>
        <v>100</v>
      </c>
      <c r="X14" s="709"/>
      <c r="Y14" s="3663"/>
      <c r="Z14" s="55">
        <f t="shared" si="7"/>
        <v>111</v>
      </c>
      <c r="AA14" s="710">
        <f t="shared" si="3"/>
        <v>1</v>
      </c>
      <c r="AB14" s="710">
        <f t="shared" si="4"/>
        <v>1</v>
      </c>
      <c r="AC14" s="710">
        <f t="shared" si="5"/>
        <v>1</v>
      </c>
    </row>
    <row r="15" spans="1:29" ht="57">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653" t="s">
        <v>2321</v>
      </c>
      <c r="Q15" s="1501" t="str">
        <f t="shared" si="6"/>
        <v>产业集聚程度</v>
      </c>
      <c r="R15" s="711" t="s">
        <v>17</v>
      </c>
      <c r="S15" s="712">
        <f t="shared" si="0"/>
        <v>100</v>
      </c>
      <c r="T15" s="711" t="s">
        <v>17</v>
      </c>
      <c r="U15" s="712">
        <f t="shared" si="1"/>
        <v>100</v>
      </c>
      <c r="V15" s="711" t="s">
        <v>17</v>
      </c>
      <c r="W15" s="712">
        <f t="shared" si="2"/>
        <v>100</v>
      </c>
      <c r="X15" s="1504"/>
      <c r="Y15" s="3653"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654"/>
      <c r="Q16" s="1501"/>
      <c r="R16" s="711"/>
      <c r="S16" s="712"/>
      <c r="T16" s="711"/>
      <c r="U16" s="712"/>
      <c r="V16" s="711"/>
      <c r="W16" s="712"/>
      <c r="X16" s="1504"/>
      <c r="Y16" s="3654"/>
      <c r="Z16" s="1505"/>
      <c r="AA16" s="1502">
        <v>1</v>
      </c>
      <c r="AB16" s="1502">
        <v>1</v>
      </c>
      <c r="AC16" s="1502">
        <v>1</v>
      </c>
    </row>
    <row r="17" spans="1:29" ht="85.5">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654"/>
      <c r="Q17" s="1501" t="str">
        <f>B17</f>
        <v>交通便捷度</v>
      </c>
      <c r="R17" s="711" t="s">
        <v>17</v>
      </c>
      <c r="S17" s="712">
        <f>F17</f>
        <v>100</v>
      </c>
      <c r="T17" s="711" t="s">
        <v>17</v>
      </c>
      <c r="U17" s="712">
        <f>H17</f>
        <v>100</v>
      </c>
      <c r="V17" s="711" t="s">
        <v>17</v>
      </c>
      <c r="W17" s="712">
        <f>J17</f>
        <v>100</v>
      </c>
      <c r="X17" s="1504"/>
      <c r="Y17" s="3654"/>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654"/>
      <c r="Q18" s="1501"/>
      <c r="R18" s="711"/>
      <c r="S18" s="712"/>
      <c r="T18" s="711"/>
      <c r="U18" s="712"/>
      <c r="V18" s="711"/>
      <c r="W18" s="712"/>
      <c r="X18" s="1504"/>
      <c r="Y18" s="3654"/>
      <c r="Z18" s="1505"/>
      <c r="AA18" s="1502">
        <v>1</v>
      </c>
      <c r="AB18" s="1502">
        <v>1</v>
      </c>
      <c r="AC18" s="1502">
        <v>1</v>
      </c>
    </row>
    <row r="19" spans="1:29" ht="15">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654"/>
      <c r="Q19" s="1501" t="str">
        <f t="shared" ref="Q19:Q33" si="8">B19</f>
        <v>区域土地利用方向</v>
      </c>
      <c r="R19" s="711" t="s">
        <v>17</v>
      </c>
      <c r="S19" s="712">
        <f>F19</f>
        <v>100</v>
      </c>
      <c r="T19" s="711" t="s">
        <v>17</v>
      </c>
      <c r="U19" s="712">
        <f>H19</f>
        <v>100</v>
      </c>
      <c r="V19" s="711" t="s">
        <v>17</v>
      </c>
      <c r="W19" s="712">
        <f>J19</f>
        <v>100</v>
      </c>
      <c r="X19" s="1504"/>
      <c r="Y19" s="3654"/>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654"/>
      <c r="Q20" s="1501"/>
      <c r="R20" s="711"/>
      <c r="S20" s="712"/>
      <c r="T20" s="711"/>
      <c r="U20" s="712"/>
      <c r="V20" s="711"/>
      <c r="W20" s="712"/>
      <c r="X20" s="1504"/>
      <c r="Y20" s="3654"/>
      <c r="Z20" s="1505"/>
      <c r="AA20" s="1502"/>
      <c r="AB20" s="1502"/>
      <c r="AC20" s="1502"/>
    </row>
    <row r="21" spans="1:29" ht="71.25">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654"/>
      <c r="Q21" s="1501" t="str">
        <f t="shared" si="8"/>
        <v>环境状况</v>
      </c>
      <c r="R21" s="711" t="s">
        <v>17</v>
      </c>
      <c r="S21" s="712">
        <f>F21</f>
        <v>100</v>
      </c>
      <c r="T21" s="711" t="s">
        <v>17</v>
      </c>
      <c r="U21" s="712">
        <f>H21</f>
        <v>100</v>
      </c>
      <c r="V21" s="711" t="s">
        <v>17</v>
      </c>
      <c r="W21" s="712">
        <f>J21</f>
        <v>100</v>
      </c>
      <c r="X21" s="1504"/>
      <c r="Y21" s="3654"/>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654"/>
      <c r="Q22" s="1501"/>
      <c r="R22" s="711"/>
      <c r="S22" s="712"/>
      <c r="T22" s="711"/>
      <c r="U22" s="712"/>
      <c r="V22" s="711"/>
      <c r="W22" s="712"/>
      <c r="X22" s="1504"/>
      <c r="Y22" s="3654"/>
      <c r="Z22" s="1505"/>
      <c r="AA22" s="1502">
        <v>1</v>
      </c>
      <c r="AB22" s="1502">
        <v>1</v>
      </c>
      <c r="AC22" s="1502">
        <v>1</v>
      </c>
    </row>
    <row r="23" spans="1:29" s="111" customFormat="1" ht="42.75">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654"/>
      <c r="Q23" s="1492" t="str">
        <f t="shared" si="8"/>
        <v>公共配套设施</v>
      </c>
      <c r="R23" s="707" t="s">
        <v>17</v>
      </c>
      <c r="S23" s="708">
        <f>F23</f>
        <v>100</v>
      </c>
      <c r="T23" s="707" t="s">
        <v>17</v>
      </c>
      <c r="U23" s="708">
        <f>H23</f>
        <v>100</v>
      </c>
      <c r="V23" s="707" t="s">
        <v>17</v>
      </c>
      <c r="W23" s="708">
        <f>J23</f>
        <v>100</v>
      </c>
      <c r="X23" s="709"/>
      <c r="Y23" s="3654"/>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654"/>
      <c r="Q24" s="1492"/>
      <c r="R24" s="707"/>
      <c r="S24" s="708"/>
      <c r="T24" s="707"/>
      <c r="U24" s="708"/>
      <c r="V24" s="707"/>
      <c r="W24" s="708"/>
      <c r="X24" s="709"/>
      <c r="Y24" s="3654"/>
      <c r="Z24" s="55"/>
      <c r="AA24" s="710">
        <v>1</v>
      </c>
      <c r="AB24" s="710">
        <v>1</v>
      </c>
      <c r="AC24" s="710">
        <v>1</v>
      </c>
    </row>
    <row r="25" spans="1:29" s="111" customFormat="1" ht="28.5">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654"/>
      <c r="Q25" s="1492" t="str">
        <f t="shared" ref="Q25" si="9">B25</f>
        <v>基础设施水平</v>
      </c>
      <c r="R25" s="707" t="s">
        <v>17</v>
      </c>
      <c r="S25" s="708">
        <f>F25</f>
        <v>100</v>
      </c>
      <c r="T25" s="707" t="s">
        <v>17</v>
      </c>
      <c r="U25" s="708">
        <f>H25</f>
        <v>100</v>
      </c>
      <c r="V25" s="707" t="s">
        <v>17</v>
      </c>
      <c r="W25" s="708">
        <f>J25</f>
        <v>100</v>
      </c>
      <c r="X25" s="709"/>
      <c r="Y25" s="3654"/>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654"/>
      <c r="Q26" s="1492"/>
      <c r="R26" s="707"/>
      <c r="S26" s="708"/>
      <c r="T26" s="707"/>
      <c r="U26" s="708"/>
      <c r="V26" s="707"/>
      <c r="W26" s="708"/>
      <c r="X26" s="709"/>
      <c r="Y26" s="3654"/>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654"/>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654"/>
      <c r="Z27" s="1505" t="str">
        <f t="shared" ref="Z27:Z40" si="13">Q27</f>
        <v>临街状况</v>
      </c>
      <c r="AA27" s="1502">
        <f t="shared" si="3"/>
        <v>1</v>
      </c>
      <c r="AB27" s="1502">
        <f t="shared" si="4"/>
        <v>1</v>
      </c>
      <c r="AC27" s="1502">
        <f t="shared" si="5"/>
        <v>1</v>
      </c>
    </row>
    <row r="28" spans="1:29" ht="27">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654"/>
      <c r="Q28" s="1501" t="str">
        <f t="shared" si="8"/>
        <v>毗邻道路的类型与等级</v>
      </c>
      <c r="R28" s="711" t="s">
        <v>17</v>
      </c>
      <c r="S28" s="712">
        <f t="shared" si="10"/>
        <v>100</v>
      </c>
      <c r="T28" s="711" t="s">
        <v>17</v>
      </c>
      <c r="U28" s="712">
        <f t="shared" si="11"/>
        <v>100</v>
      </c>
      <c r="V28" s="711" t="s">
        <v>17</v>
      </c>
      <c r="W28" s="712">
        <f t="shared" si="12"/>
        <v>100</v>
      </c>
      <c r="X28" s="1504"/>
      <c r="Y28" s="3654"/>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654"/>
      <c r="Q29" s="1501"/>
      <c r="R29" s="711"/>
      <c r="S29" s="712"/>
      <c r="T29" s="711"/>
      <c r="U29" s="712"/>
      <c r="V29" s="711"/>
      <c r="W29" s="712"/>
      <c r="X29" s="1504"/>
      <c r="Y29" s="3654"/>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654"/>
      <c r="Q30" s="1501" t="str">
        <f t="shared" si="8"/>
        <v>土地级别</v>
      </c>
      <c r="R30" s="711" t="s">
        <v>17</v>
      </c>
      <c r="S30" s="712">
        <f t="shared" si="10"/>
        <v>100</v>
      </c>
      <c r="T30" s="711" t="s">
        <v>17</v>
      </c>
      <c r="U30" s="712">
        <f t="shared" si="11"/>
        <v>100</v>
      </c>
      <c r="V30" s="711" t="s">
        <v>17</v>
      </c>
      <c r="W30" s="712">
        <f t="shared" si="12"/>
        <v>100</v>
      </c>
      <c r="X30" s="1504"/>
      <c r="Y30" s="3654"/>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654"/>
      <c r="Q31" s="1501">
        <f t="shared" si="8"/>
        <v>111</v>
      </c>
      <c r="R31" s="711" t="s">
        <v>17</v>
      </c>
      <c r="S31" s="712">
        <f t="shared" si="10"/>
        <v>100</v>
      </c>
      <c r="T31" s="711" t="s">
        <v>17</v>
      </c>
      <c r="U31" s="712">
        <f t="shared" si="11"/>
        <v>100</v>
      </c>
      <c r="V31" s="711" t="s">
        <v>17</v>
      </c>
      <c r="W31" s="712">
        <f t="shared" si="12"/>
        <v>100</v>
      </c>
      <c r="X31" s="1504"/>
      <c r="Y31" s="3654"/>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710" t="s">
        <v>2326</v>
      </c>
      <c r="Q32" s="1501">
        <f t="shared" si="8"/>
        <v>111</v>
      </c>
      <c r="R32" s="711" t="s">
        <v>17</v>
      </c>
      <c r="S32" s="712">
        <f t="shared" si="10"/>
        <v>100</v>
      </c>
      <c r="T32" s="711" t="s">
        <v>17</v>
      </c>
      <c r="U32" s="712">
        <f t="shared" si="11"/>
        <v>100</v>
      </c>
      <c r="V32" s="711" t="s">
        <v>17</v>
      </c>
      <c r="W32" s="712">
        <f t="shared" si="12"/>
        <v>100</v>
      </c>
      <c r="X32" s="1504"/>
      <c r="Y32" s="3658" t="s">
        <v>2326</v>
      </c>
      <c r="Z32" s="1505">
        <f t="shared" si="13"/>
        <v>111</v>
      </c>
      <c r="AA32" s="1502">
        <f t="shared" si="3"/>
        <v>1</v>
      </c>
      <c r="AB32" s="1502">
        <f t="shared" si="4"/>
        <v>1</v>
      </c>
      <c r="AC32" s="1502">
        <f t="shared" si="5"/>
        <v>1</v>
      </c>
    </row>
    <row r="33" spans="1:31" s="428" customFormat="1" ht="15.75"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658"/>
      <c r="Q33" s="1501">
        <f t="shared" si="8"/>
        <v>111</v>
      </c>
      <c r="R33" s="714" t="s">
        <v>17</v>
      </c>
      <c r="S33" s="715">
        <f t="shared" si="10"/>
        <v>100</v>
      </c>
      <c r="T33" s="714" t="s">
        <v>17</v>
      </c>
      <c r="U33" s="715">
        <f t="shared" si="11"/>
        <v>100</v>
      </c>
      <c r="V33" s="714" t="s">
        <v>17</v>
      </c>
      <c r="W33" s="715">
        <f t="shared" si="12"/>
        <v>100</v>
      </c>
      <c r="X33" s="716"/>
      <c r="Y33" s="3658"/>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658"/>
      <c r="Q34" s="1501" t="str">
        <f>B34</f>
        <v>宗地面积</v>
      </c>
      <c r="R34" s="711" t="s">
        <v>17</v>
      </c>
      <c r="S34" s="712" t="e">
        <f t="shared" si="10"/>
        <v>#N/A</v>
      </c>
      <c r="T34" s="711" t="s">
        <v>17</v>
      </c>
      <c r="U34" s="712" t="e">
        <f t="shared" si="11"/>
        <v>#N/A</v>
      </c>
      <c r="V34" s="711" t="s">
        <v>17</v>
      </c>
      <c r="W34" s="712" t="e">
        <f t="shared" si="12"/>
        <v>#N/A</v>
      </c>
      <c r="X34" s="1504"/>
      <c r="Y34" s="3658"/>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658"/>
      <c r="Q35" s="1501" t="str">
        <f t="shared" ref="Q35:Q40" si="14">B35</f>
        <v>宗地形状</v>
      </c>
      <c r="R35" s="711" t="s">
        <v>17</v>
      </c>
      <c r="S35" s="712">
        <f t="shared" si="10"/>
        <v>100</v>
      </c>
      <c r="T35" s="711" t="s">
        <v>17</v>
      </c>
      <c r="U35" s="712">
        <f t="shared" si="11"/>
        <v>100</v>
      </c>
      <c r="V35" s="711" t="s">
        <v>17</v>
      </c>
      <c r="W35" s="712">
        <f t="shared" si="12"/>
        <v>100</v>
      </c>
      <c r="X35" s="1504"/>
      <c r="Y35" s="3658"/>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658"/>
      <c r="Q36" s="1501" t="str">
        <f t="shared" si="14"/>
        <v>宗地开发程度</v>
      </c>
      <c r="R36" s="707" t="s">
        <v>17</v>
      </c>
      <c r="S36" s="708">
        <f t="shared" si="10"/>
        <v>100</v>
      </c>
      <c r="T36" s="707" t="s">
        <v>17</v>
      </c>
      <c r="U36" s="708">
        <f t="shared" si="11"/>
        <v>100</v>
      </c>
      <c r="V36" s="707" t="s">
        <v>17</v>
      </c>
      <c r="W36" s="708">
        <f t="shared" si="12"/>
        <v>100</v>
      </c>
      <c r="X36" s="709"/>
      <c r="Y36" s="3658"/>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658" t="s">
        <v>2326</v>
      </c>
      <c r="Q37" s="1501" t="str">
        <f t="shared" si="14"/>
        <v>工程地质条件</v>
      </c>
      <c r="R37" s="711" t="s">
        <v>17</v>
      </c>
      <c r="S37" s="712">
        <f t="shared" si="10"/>
        <v>100</v>
      </c>
      <c r="T37" s="711" t="s">
        <v>17</v>
      </c>
      <c r="U37" s="712">
        <f t="shared" si="11"/>
        <v>100</v>
      </c>
      <c r="V37" s="711" t="s">
        <v>17</v>
      </c>
      <c r="W37" s="712">
        <f t="shared" si="12"/>
        <v>100</v>
      </c>
      <c r="X37" s="1504"/>
      <c r="Y37" s="3658"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658"/>
      <c r="Q38" s="1501">
        <f t="shared" si="14"/>
        <v>111</v>
      </c>
      <c r="R38" s="711" t="s">
        <v>17</v>
      </c>
      <c r="S38" s="712">
        <f t="shared" si="10"/>
        <v>100</v>
      </c>
      <c r="T38" s="711" t="s">
        <v>17</v>
      </c>
      <c r="U38" s="712">
        <f t="shared" si="11"/>
        <v>100</v>
      </c>
      <c r="V38" s="711" t="s">
        <v>17</v>
      </c>
      <c r="W38" s="712">
        <f t="shared" si="12"/>
        <v>100</v>
      </c>
      <c r="X38" s="1504"/>
      <c r="Y38" s="3658"/>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658"/>
      <c r="Q39" s="1501">
        <f t="shared" si="14"/>
        <v>111</v>
      </c>
      <c r="R39" s="711" t="s">
        <v>17</v>
      </c>
      <c r="S39" s="712">
        <f t="shared" si="10"/>
        <v>100</v>
      </c>
      <c r="T39" s="711" t="s">
        <v>17</v>
      </c>
      <c r="U39" s="712">
        <f t="shared" si="11"/>
        <v>100</v>
      </c>
      <c r="V39" s="711" t="s">
        <v>17</v>
      </c>
      <c r="W39" s="712">
        <f t="shared" si="12"/>
        <v>100</v>
      </c>
      <c r="X39" s="1504"/>
      <c r="Y39" s="3658"/>
      <c r="Z39" s="1505">
        <f t="shared" si="13"/>
        <v>111</v>
      </c>
      <c r="AA39" s="1502">
        <f t="shared" si="3"/>
        <v>1</v>
      </c>
      <c r="AB39" s="1502">
        <f t="shared" si="4"/>
        <v>1</v>
      </c>
      <c r="AC39" s="1502">
        <f t="shared" si="5"/>
        <v>1</v>
      </c>
    </row>
    <row r="40" spans="1:31" s="428" customFormat="1" ht="15.75"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658"/>
      <c r="Q40" s="1501">
        <f t="shared" si="14"/>
        <v>111</v>
      </c>
      <c r="R40" s="714" t="s">
        <v>17</v>
      </c>
      <c r="S40" s="715">
        <f t="shared" si="10"/>
        <v>100</v>
      </c>
      <c r="T40" s="714" t="s">
        <v>17</v>
      </c>
      <c r="U40" s="715">
        <f t="shared" si="11"/>
        <v>100</v>
      </c>
      <c r="V40" s="714" t="s">
        <v>17</v>
      </c>
      <c r="W40" s="715">
        <f t="shared" si="12"/>
        <v>100</v>
      </c>
      <c r="X40" s="716"/>
      <c r="Y40" s="3658"/>
      <c r="Z40" s="717">
        <f t="shared" si="13"/>
        <v>111</v>
      </c>
      <c r="AA40" s="1502">
        <f t="shared" si="3"/>
        <v>1</v>
      </c>
      <c r="AB40" s="1502">
        <f t="shared" si="4"/>
        <v>1</v>
      </c>
      <c r="AC40" s="1502">
        <f t="shared" si="5"/>
        <v>1</v>
      </c>
    </row>
    <row r="41" spans="1:31" ht="15">
      <c r="A41" s="436" t="s">
        <v>2481</v>
      </c>
      <c r="B41" s="2133" t="s">
        <v>2560</v>
      </c>
      <c r="C41" s="636" t="s">
        <v>1</v>
      </c>
      <c r="D41" s="438"/>
      <c r="E41" s="439"/>
      <c r="F41" s="440"/>
      <c r="G41" s="441"/>
      <c r="H41" s="442"/>
      <c r="I41" s="439"/>
      <c r="J41" s="442"/>
      <c r="K41" s="720"/>
      <c r="L41" s="2916"/>
      <c r="M41" s="2908"/>
      <c r="N41" s="2908"/>
      <c r="O41" s="2917"/>
      <c r="P41" s="3651" t="str">
        <f>A41</f>
        <v>成交单价</v>
      </c>
      <c r="Q41" s="3651"/>
      <c r="R41" s="3683">
        <f>E41</f>
        <v>0</v>
      </c>
      <c r="S41" s="3683"/>
      <c r="T41" s="3683">
        <f>G41</f>
        <v>0</v>
      </c>
      <c r="U41" s="3683"/>
      <c r="V41" s="3683">
        <f>I41</f>
        <v>0</v>
      </c>
      <c r="W41" s="3683"/>
      <c r="X41" s="696"/>
      <c r="Y41" s="718"/>
      <c r="Z41" s="696"/>
      <c r="AA41" s="696"/>
      <c r="AB41" s="696"/>
      <c r="AC41" s="696"/>
    </row>
    <row r="42" spans="1:31" ht="15.7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651" t="str">
        <f>A42</f>
        <v>比较价值（元/平方米）</v>
      </c>
      <c r="Q42" s="3651"/>
      <c r="R42" s="3739" t="e">
        <f>ROUND(PRODUCT(R41,AA7:AA40),0)</f>
        <v>#DIV/0!</v>
      </c>
      <c r="S42" s="3739"/>
      <c r="T42" s="3739" t="e">
        <f>ROUND(PRODUCT(T41,AB7:AB40),0)</f>
        <v>#DIV/0!</v>
      </c>
      <c r="U42" s="3739"/>
      <c r="V42" s="3739" t="e">
        <f>ROUND(PRODUCT(V41,AC7:AC40),0)</f>
        <v>#DIV/0!</v>
      </c>
      <c r="W42" s="3739"/>
      <c r="X42" s="696"/>
      <c r="Y42" s="696"/>
      <c r="Z42" s="696"/>
      <c r="AA42" s="696"/>
      <c r="AB42" s="696"/>
      <c r="AC42" s="696"/>
    </row>
    <row r="43" spans="1:31" ht="15.75" thickBot="1">
      <c r="A43" s="447" t="s">
        <v>2431</v>
      </c>
      <c r="B43" s="448"/>
      <c r="C43" s="449" t="e">
        <f>R43</f>
        <v>#DIV/0!</v>
      </c>
      <c r="D43" s="449"/>
      <c r="E43" s="449"/>
      <c r="F43" s="449"/>
      <c r="G43" s="449"/>
      <c r="H43" s="449"/>
      <c r="I43" s="449"/>
      <c r="J43" s="449"/>
      <c r="K43" s="721"/>
      <c r="L43" s="2916"/>
      <c r="M43" s="2908"/>
      <c r="N43" s="2908"/>
      <c r="O43" s="2917"/>
      <c r="P43" s="3648" t="str">
        <f>A43</f>
        <v>估价对象XX用房的比较价值（楼面单价，元/平方米）</v>
      </c>
      <c r="Q43" s="3649"/>
      <c r="R43" s="3740" t="e">
        <f>ROUND(IF(D42="简单平均",AVERAGE(R42:W42),R42*F42+T42*H42+V42*J42),0)</f>
        <v>#DIV/0!</v>
      </c>
      <c r="S43" s="3740"/>
      <c r="T43" s="3740"/>
      <c r="U43" s="3740"/>
      <c r="V43" s="3740"/>
      <c r="W43" s="3740"/>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2518</v>
      </c>
      <c r="B50" s="639" t="s">
        <v>2519</v>
      </c>
      <c r="C50" s="2134" t="s">
        <v>2520</v>
      </c>
      <c r="D50" s="2135" t="s">
        <v>2521</v>
      </c>
      <c r="E50" s="640" t="s">
        <v>2522</v>
      </c>
      <c r="F50" s="641" t="s">
        <v>2523</v>
      </c>
      <c r="G50" s="3667" t="s">
        <v>2524</v>
      </c>
      <c r="H50" s="3741"/>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47461.850000000006</v>
      </c>
      <c r="F51" s="645" t="e">
        <f t="shared" ref="F51:F60" si="15">ROUND(B51*E51/10000,0)</f>
        <v>#DIV/0!</v>
      </c>
      <c r="G51" s="3662"/>
      <c r="H51" s="3651"/>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0.7</v>
      </c>
      <c r="D52" s="1073">
        <v>0.25</v>
      </c>
      <c r="E52" s="648"/>
      <c r="F52" s="645" t="e">
        <f t="shared" si="15"/>
        <v>#DIV/0!</v>
      </c>
      <c r="G52" s="3742" t="s">
        <v>2529</v>
      </c>
      <c r="H52" s="1015" t="str">
        <f>项目基本情况!B37</f>
        <v>七级</v>
      </c>
      <c r="I52" s="876">
        <f>SUMIF(修正!A45:A56,H52,修正!B45:B56)</f>
        <v>0.7</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0.4</v>
      </c>
      <c r="D53" s="1073">
        <v>0.25</v>
      </c>
      <c r="E53" s="648"/>
      <c r="F53" s="645" t="e">
        <f t="shared" si="15"/>
        <v>#DIV/0!</v>
      </c>
      <c r="G53" s="3742"/>
      <c r="H53" s="1015" t="str">
        <f>项目基本情况!B37</f>
        <v>七级</v>
      </c>
      <c r="I53" s="876">
        <f>SUMIF(修正!A45:A56,H53,修正!C45:C56)</f>
        <v>0.4</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0.28000000000000003</v>
      </c>
      <c r="D54" s="1073">
        <v>0.25</v>
      </c>
      <c r="E54" s="648"/>
      <c r="F54" s="645" t="e">
        <f t="shared" si="15"/>
        <v>#DIV/0!</v>
      </c>
      <c r="G54" s="3742"/>
      <c r="H54" s="1015" t="str">
        <f>项目基本情况!B37</f>
        <v>七级</v>
      </c>
      <c r="I54" s="876">
        <f>SUMIF(修正!A45:A56,H54,修正!D45:D56)</f>
        <v>0.28000000000000003</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0.25</v>
      </c>
      <c r="D55" s="1073">
        <v>0.25</v>
      </c>
      <c r="E55" s="648"/>
      <c r="F55" s="645" t="e">
        <f t="shared" si="15"/>
        <v>#DIV/0!</v>
      </c>
      <c r="G55" s="3742"/>
      <c r="H55" s="1015" t="str">
        <f>项目基本情况!B37</f>
        <v>七级</v>
      </c>
      <c r="I55" s="876">
        <f>SUMIF(修正!A45:A56,H55,修正!E45:E56)</f>
        <v>0.25</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0.25</v>
      </c>
      <c r="D56" s="1073">
        <v>0.25</v>
      </c>
      <c r="E56" s="221">
        <f>'数据-汇总表'!E11</f>
        <v>0</v>
      </c>
      <c r="F56" s="645" t="e">
        <f t="shared" si="15"/>
        <v>#DIV/0!</v>
      </c>
      <c r="G56" s="2138" t="s">
        <v>2534</v>
      </c>
      <c r="H56" s="1015" t="str">
        <f>项目基本情况!C37</f>
        <v>七级</v>
      </c>
      <c r="I56" s="876">
        <f>SUMIF(修正!A45:A56,H56,修正!F45:F56)</f>
        <v>0.25</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0.25</v>
      </c>
      <c r="D57" s="1073">
        <v>0.25</v>
      </c>
      <c r="E57" s="221">
        <f>'数据-汇总表'!E12</f>
        <v>0</v>
      </c>
      <c r="F57" s="645" t="e">
        <f t="shared" si="15"/>
        <v>#DIV/0!</v>
      </c>
      <c r="G57" s="1020" t="s">
        <v>2536</v>
      </c>
      <c r="H57" s="1015" t="str">
        <f>IF(G57="商业",项目基本情况!B37,IF(G57="办公",项目基本情况!C37,IF(G57="住宅",项目基本情况!D37,项目基本情况!E37)))</f>
        <v>七级</v>
      </c>
      <c r="I57" s="876">
        <f>SUMIF(修正!A45:A56,H57,修正!G45:G56)</f>
        <v>0.25</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七级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0.2</v>
      </c>
      <c r="D59" s="1073">
        <v>0.25</v>
      </c>
      <c r="E59" s="221">
        <f>'数据-汇总表'!E14</f>
        <v>0</v>
      </c>
      <c r="F59" s="645" t="e">
        <f t="shared" si="15"/>
        <v>#DIV/0!</v>
      </c>
      <c r="G59" s="2138" t="s">
        <v>2529</v>
      </c>
      <c r="H59" s="1015" t="str">
        <f>项目基本情况!B37</f>
        <v>七级</v>
      </c>
      <c r="I59" s="876">
        <f>SUMIF(修正!A45:A56,H59,修正!H45:H56)</f>
        <v>0.2</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2540</v>
      </c>
      <c r="B60" s="222" t="e">
        <f t="shared" si="17"/>
        <v>#DIV/0!</v>
      </c>
      <c r="C60" s="174">
        <f t="shared" si="16"/>
        <v>0.2</v>
      </c>
      <c r="D60" s="1073">
        <v>0.25</v>
      </c>
      <c r="E60" s="221">
        <f>'数据-汇总表'!E15</f>
        <v>0</v>
      </c>
      <c r="F60" s="645" t="e">
        <f t="shared" si="15"/>
        <v>#DIV/0!</v>
      </c>
      <c r="G60" s="2139" t="s">
        <v>2534</v>
      </c>
      <c r="H60" s="1025" t="str">
        <f>项目基本情况!C37</f>
        <v>七级</v>
      </c>
      <c r="I60" s="876">
        <f>SUMIF(修正!A45:A56,H60,修正!H45:H56)</f>
        <v>0.2</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2541</v>
      </c>
      <c r="B61" s="650" t="s">
        <v>28</v>
      </c>
      <c r="C61" s="650" t="s">
        <v>29</v>
      </c>
      <c r="D61" s="650" t="s">
        <v>997</v>
      </c>
      <c r="E61" s="650">
        <f>IF(B41="楼面地价",SUM(E51:E60),'数据-汇总表'!D3)</f>
        <v>25000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17"/>
      <c r="Q63" s="2917"/>
      <c r="R63" s="2917"/>
      <c r="S63" s="2917"/>
      <c r="T63" s="2917"/>
      <c r="U63" s="2917"/>
      <c r="V63" s="2917"/>
      <c r="W63" s="2917"/>
      <c r="X63" s="2917"/>
      <c r="Y63" s="2917"/>
      <c r="Z63" s="2917"/>
      <c r="AA63" s="2917"/>
      <c r="AB63" s="2917"/>
      <c r="AC63" s="2917"/>
      <c r="AD63" s="2917"/>
      <c r="AE63" s="2917"/>
    </row>
    <row r="64" spans="1:31" ht="21.75"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5">
      <c r="A65" s="2140" t="s">
        <v>2542</v>
      </c>
      <c r="B65" s="1236"/>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北京市平均增长率1.20%</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7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5">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15.75"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7.75"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750" t="s">
        <v>183</v>
      </c>
      <c r="B18" s="818" t="s">
        <v>560</v>
      </c>
      <c r="C18" s="819" t="s">
        <v>561</v>
      </c>
      <c r="D18" s="820"/>
      <c r="E18" s="818">
        <v>1</v>
      </c>
      <c r="F18" s="821" t="s">
        <v>562</v>
      </c>
      <c r="G18" s="822"/>
      <c r="H18" s="814"/>
      <c r="I18" s="814"/>
    </row>
    <row r="19" spans="1:9" s="823" customFormat="1" ht="19.5" customHeight="1">
      <c r="A19" s="3750"/>
      <c r="B19" s="3750" t="s">
        <v>563</v>
      </c>
      <c r="C19" s="819" t="s">
        <v>564</v>
      </c>
      <c r="D19" s="820"/>
      <c r="E19" s="818">
        <v>0.9</v>
      </c>
      <c r="F19" s="821" t="s">
        <v>565</v>
      </c>
      <c r="G19" s="822"/>
      <c r="H19" s="814"/>
      <c r="I19" s="814"/>
    </row>
    <row r="20" spans="1:9" s="823" customFormat="1" ht="19.5" customHeight="1">
      <c r="A20" s="3750"/>
      <c r="B20" s="3750"/>
      <c r="C20" s="819" t="s">
        <v>566</v>
      </c>
      <c r="D20" s="820"/>
      <c r="E20" s="818">
        <v>1.1000000000000001</v>
      </c>
      <c r="F20" s="821" t="s">
        <v>567</v>
      </c>
      <c r="G20" s="822"/>
      <c r="H20" s="814"/>
      <c r="I20" s="814"/>
    </row>
    <row r="21" spans="1:9" s="823" customFormat="1" ht="19.5" customHeight="1">
      <c r="A21" s="3750"/>
      <c r="B21" s="3750"/>
      <c r="C21" s="819" t="s">
        <v>568</v>
      </c>
      <c r="D21" s="820"/>
      <c r="E21" s="818">
        <v>0.8</v>
      </c>
      <c r="F21" s="821" t="s">
        <v>569</v>
      </c>
      <c r="G21" s="822"/>
      <c r="H21" s="814"/>
      <c r="I21" s="814"/>
    </row>
    <row r="22" spans="1:9" s="823" customFormat="1" ht="19.5" customHeight="1">
      <c r="A22" s="3750"/>
      <c r="B22" s="3750"/>
      <c r="C22" s="819" t="s">
        <v>570</v>
      </c>
      <c r="D22" s="820"/>
      <c r="E22" s="818">
        <v>0.5</v>
      </c>
      <c r="F22" s="821"/>
      <c r="G22" s="822"/>
      <c r="H22" s="814"/>
      <c r="I22" s="814"/>
    </row>
    <row r="23" spans="1:9" s="823" customFormat="1" ht="19.5" customHeight="1">
      <c r="A23" s="3750" t="s">
        <v>184</v>
      </c>
      <c r="B23" s="818" t="s">
        <v>560</v>
      </c>
      <c r="C23" s="819" t="s">
        <v>571</v>
      </c>
      <c r="D23" s="820"/>
      <c r="E23" s="818">
        <v>1</v>
      </c>
      <c r="F23" s="821" t="s">
        <v>572</v>
      </c>
      <c r="G23" s="822"/>
      <c r="H23" s="814"/>
      <c r="I23" s="814"/>
    </row>
    <row r="24" spans="1:9" s="823" customFormat="1" ht="19.5" customHeight="1">
      <c r="A24" s="3750"/>
      <c r="B24" s="3750" t="s">
        <v>563</v>
      </c>
      <c r="C24" s="819" t="s">
        <v>573</v>
      </c>
      <c r="D24" s="820"/>
      <c r="E24" s="818">
        <v>0.5</v>
      </c>
      <c r="F24" s="821"/>
      <c r="G24" s="822"/>
      <c r="H24" s="814"/>
      <c r="I24" s="814"/>
    </row>
    <row r="25" spans="1:9" s="823" customFormat="1" ht="19.5" customHeight="1">
      <c r="A25" s="3750"/>
      <c r="B25" s="3750"/>
      <c r="C25" s="819" t="s">
        <v>574</v>
      </c>
      <c r="D25" s="820"/>
      <c r="E25" s="818">
        <v>1.1000000000000001</v>
      </c>
      <c r="F25" s="821"/>
      <c r="G25" s="822"/>
      <c r="H25" s="814"/>
      <c r="I25" s="814"/>
    </row>
    <row r="26" spans="1:9" s="823" customFormat="1" ht="19.5" customHeight="1">
      <c r="A26" s="3750"/>
      <c r="B26" s="3750"/>
      <c r="C26" s="819" t="s">
        <v>575</v>
      </c>
      <c r="D26" s="820"/>
      <c r="E26" s="818">
        <v>1.1000000000000001</v>
      </c>
      <c r="F26" s="821"/>
      <c r="G26" s="822"/>
      <c r="H26" s="814"/>
      <c r="I26" s="814"/>
    </row>
    <row r="27" spans="1:9" s="823" customFormat="1" ht="19.5" customHeight="1">
      <c r="A27" s="3750"/>
      <c r="B27" s="3750"/>
      <c r="C27" s="819" t="s">
        <v>576</v>
      </c>
      <c r="D27" s="820"/>
      <c r="E27" s="818">
        <v>0.9</v>
      </c>
      <c r="F27" s="821" t="s">
        <v>577</v>
      </c>
      <c r="G27" s="822"/>
      <c r="H27" s="814"/>
      <c r="I27" s="814"/>
    </row>
    <row r="28" spans="1:9" s="823" customFormat="1" ht="19.5" customHeight="1">
      <c r="A28" s="3750"/>
      <c r="B28" s="3750"/>
      <c r="C28" s="819" t="s">
        <v>578</v>
      </c>
      <c r="D28" s="820"/>
      <c r="E28" s="818">
        <v>0.9</v>
      </c>
      <c r="F28" s="821" t="s">
        <v>579</v>
      </c>
      <c r="G28" s="822"/>
      <c r="H28" s="814"/>
      <c r="I28" s="814"/>
    </row>
    <row r="29" spans="1:9" s="823" customFormat="1" ht="19.5" customHeight="1">
      <c r="A29" s="3750"/>
      <c r="B29" s="3750"/>
      <c r="C29" s="819" t="s">
        <v>580</v>
      </c>
      <c r="D29" s="820"/>
      <c r="E29" s="818">
        <v>0.9</v>
      </c>
      <c r="F29" s="821" t="s">
        <v>581</v>
      </c>
      <c r="G29" s="822"/>
      <c r="H29" s="814"/>
      <c r="I29" s="814"/>
    </row>
    <row r="30" spans="1:9" s="823" customFormat="1" ht="19.5" customHeight="1">
      <c r="A30" s="3750"/>
      <c r="B30" s="3750"/>
      <c r="C30" s="819" t="s">
        <v>582</v>
      </c>
      <c r="D30" s="820"/>
      <c r="E30" s="818">
        <v>0.9</v>
      </c>
      <c r="F30" s="821" t="s">
        <v>583</v>
      </c>
      <c r="G30" s="822"/>
      <c r="H30" s="814"/>
      <c r="I30" s="814"/>
    </row>
    <row r="31" spans="1:9" s="823" customFormat="1" ht="19.5" customHeight="1">
      <c r="A31" s="3750"/>
      <c r="B31" s="3750"/>
      <c r="C31" s="819" t="s">
        <v>584</v>
      </c>
      <c r="D31" s="820"/>
      <c r="E31" s="818">
        <v>0.8</v>
      </c>
      <c r="F31" s="821" t="s">
        <v>585</v>
      </c>
      <c r="G31" s="822"/>
      <c r="H31" s="814"/>
      <c r="I31" s="814"/>
    </row>
    <row r="32" spans="1:9" s="823" customFormat="1" ht="19.5" customHeight="1">
      <c r="A32" s="3750"/>
      <c r="B32" s="3750"/>
      <c r="C32" s="819" t="s">
        <v>586</v>
      </c>
      <c r="D32" s="820"/>
      <c r="E32" s="818">
        <v>0.8</v>
      </c>
      <c r="F32" s="821" t="s">
        <v>587</v>
      </c>
      <c r="G32" s="822"/>
      <c r="H32" s="814"/>
      <c r="I32" s="814"/>
    </row>
    <row r="33" spans="1:9" s="823" customFormat="1" ht="19.5" customHeight="1">
      <c r="A33" s="3750" t="s">
        <v>185</v>
      </c>
      <c r="B33" s="818" t="s">
        <v>560</v>
      </c>
      <c r="C33" s="819" t="s">
        <v>588</v>
      </c>
      <c r="D33" s="820"/>
      <c r="E33" s="818">
        <v>1</v>
      </c>
      <c r="F33" s="821" t="s">
        <v>589</v>
      </c>
      <c r="G33" s="822"/>
      <c r="H33" s="814"/>
      <c r="I33" s="814"/>
    </row>
    <row r="34" spans="1:9" s="823" customFormat="1" ht="19.5" customHeight="1">
      <c r="A34" s="3750"/>
      <c r="B34" s="818" t="s">
        <v>563</v>
      </c>
      <c r="C34" s="819" t="s">
        <v>590</v>
      </c>
      <c r="D34" s="820"/>
      <c r="E34" s="818">
        <v>1.5</v>
      </c>
      <c r="F34" s="821" t="s">
        <v>591</v>
      </c>
      <c r="G34" s="822"/>
      <c r="H34" s="814"/>
      <c r="I34" s="814"/>
    </row>
    <row r="35" spans="1:9" s="823" customFormat="1" ht="19.5" customHeight="1">
      <c r="A35" s="3750" t="s">
        <v>186</v>
      </c>
      <c r="B35" s="818" t="s">
        <v>560</v>
      </c>
      <c r="C35" s="819" t="s">
        <v>592</v>
      </c>
      <c r="D35" s="820"/>
      <c r="E35" s="818">
        <v>1</v>
      </c>
      <c r="F35" s="821" t="s">
        <v>593</v>
      </c>
      <c r="G35" s="822"/>
      <c r="H35" s="814"/>
      <c r="I35" s="814"/>
    </row>
    <row r="36" spans="1:9" s="823" customFormat="1" ht="19.5" customHeight="1">
      <c r="A36" s="3750"/>
      <c r="B36" s="3750" t="s">
        <v>563</v>
      </c>
      <c r="C36" s="819" t="s">
        <v>594</v>
      </c>
      <c r="D36" s="820"/>
      <c r="E36" s="818">
        <v>1</v>
      </c>
      <c r="F36" s="821" t="s">
        <v>595</v>
      </c>
      <c r="G36" s="822"/>
      <c r="H36" s="814"/>
      <c r="I36" s="814"/>
    </row>
    <row r="37" spans="1:9" s="823" customFormat="1" ht="19.5" customHeight="1">
      <c r="A37" s="3750"/>
      <c r="B37" s="3750"/>
      <c r="C37" s="819" t="s">
        <v>596</v>
      </c>
      <c r="D37" s="820"/>
      <c r="E37" s="818">
        <v>1.5</v>
      </c>
      <c r="F37" s="821" t="s">
        <v>597</v>
      </c>
      <c r="G37" s="822"/>
      <c r="H37" s="814"/>
      <c r="I37" s="814"/>
    </row>
    <row r="38" spans="1:9" s="823" customFormat="1" ht="19.5" customHeight="1">
      <c r="A38" s="3750"/>
      <c r="B38" s="3750"/>
      <c r="C38" s="819" t="s">
        <v>598</v>
      </c>
      <c r="D38" s="820"/>
      <c r="E38" s="818">
        <v>1</v>
      </c>
      <c r="F38" s="821" t="s">
        <v>599</v>
      </c>
      <c r="G38" s="822"/>
      <c r="H38" s="814"/>
      <c r="I38" s="814"/>
    </row>
    <row r="39" spans="1:9" s="823" customFormat="1" ht="19.5" customHeight="1">
      <c r="A39" s="3750"/>
      <c r="B39" s="375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750" t="s">
        <v>614</v>
      </c>
      <c r="C61" s="754" t="s">
        <v>615</v>
      </c>
      <c r="D61" s="754" t="s">
        <v>616</v>
      </c>
      <c r="E61" s="831">
        <v>0.5</v>
      </c>
      <c r="F61" s="818">
        <v>80</v>
      </c>
    </row>
    <row r="62" spans="1:8" s="814" customFormat="1" ht="24">
      <c r="A62" s="818">
        <v>2</v>
      </c>
      <c r="B62" s="3750"/>
      <c r="C62" s="754" t="s">
        <v>617</v>
      </c>
      <c r="D62" s="754" t="s">
        <v>618</v>
      </c>
      <c r="E62" s="831">
        <v>0.5</v>
      </c>
      <c r="F62" s="818">
        <v>80</v>
      </c>
    </row>
    <row r="63" spans="1:8" s="814" customFormat="1" ht="36">
      <c r="A63" s="818">
        <v>3</v>
      </c>
      <c r="B63" s="3750"/>
      <c r="C63" s="754" t="s">
        <v>619</v>
      </c>
      <c r="D63" s="754" t="s">
        <v>620</v>
      </c>
      <c r="E63" s="831">
        <v>0.5</v>
      </c>
      <c r="F63" s="818">
        <v>80</v>
      </c>
    </row>
    <row r="64" spans="1:8" s="814" customFormat="1" ht="36">
      <c r="A64" s="818">
        <v>4</v>
      </c>
      <c r="B64" s="3750"/>
      <c r="C64" s="754" t="s">
        <v>621</v>
      </c>
      <c r="D64" s="754" t="s">
        <v>622</v>
      </c>
      <c r="E64" s="831">
        <v>0.4</v>
      </c>
      <c r="F64" s="818">
        <v>60</v>
      </c>
    </row>
    <row r="65" spans="1:6" s="814" customFormat="1" ht="36">
      <c r="A65" s="818">
        <v>5</v>
      </c>
      <c r="B65" s="3750"/>
      <c r="C65" s="754" t="s">
        <v>623</v>
      </c>
      <c r="D65" s="754" t="s">
        <v>624</v>
      </c>
      <c r="E65" s="831">
        <v>0.2</v>
      </c>
      <c r="F65" s="818">
        <v>30</v>
      </c>
    </row>
    <row r="66" spans="1:6" s="814" customFormat="1" ht="36">
      <c r="A66" s="818">
        <v>6</v>
      </c>
      <c r="B66" s="3750"/>
      <c r="C66" s="754" t="s">
        <v>625</v>
      </c>
      <c r="D66" s="754" t="s">
        <v>626</v>
      </c>
      <c r="E66" s="831">
        <v>0.3</v>
      </c>
      <c r="F66" s="818">
        <v>50</v>
      </c>
    </row>
    <row r="67" spans="1:6" s="814" customFormat="1" ht="36">
      <c r="A67" s="818">
        <v>7</v>
      </c>
      <c r="B67" s="3750"/>
      <c r="C67" s="754" t="s">
        <v>627</v>
      </c>
      <c r="D67" s="754" t="s">
        <v>628</v>
      </c>
      <c r="E67" s="831">
        <v>0.2</v>
      </c>
      <c r="F67" s="818">
        <v>30</v>
      </c>
    </row>
    <row r="68" spans="1:6" s="814" customFormat="1" ht="36">
      <c r="A68" s="818">
        <v>8</v>
      </c>
      <c r="B68" s="3750"/>
      <c r="C68" s="754" t="s">
        <v>629</v>
      </c>
      <c r="D68" s="754" t="s">
        <v>630</v>
      </c>
      <c r="E68" s="831">
        <v>0.2</v>
      </c>
      <c r="F68" s="818">
        <v>30</v>
      </c>
    </row>
    <row r="69" spans="1:6" s="814" customFormat="1" ht="36">
      <c r="A69" s="818">
        <v>9</v>
      </c>
      <c r="B69" s="3750"/>
      <c r="C69" s="754" t="s">
        <v>631</v>
      </c>
      <c r="D69" s="754" t="s">
        <v>632</v>
      </c>
      <c r="E69" s="831">
        <v>0.2</v>
      </c>
      <c r="F69" s="818">
        <v>30</v>
      </c>
    </row>
    <row r="70" spans="1:6" s="814" customFormat="1" ht="48">
      <c r="A70" s="818">
        <v>10</v>
      </c>
      <c r="B70" s="3750"/>
      <c r="C70" s="754" t="s">
        <v>633</v>
      </c>
      <c r="D70" s="754" t="s">
        <v>634</v>
      </c>
      <c r="E70" s="831">
        <v>0.2</v>
      </c>
      <c r="F70" s="818">
        <v>30</v>
      </c>
    </row>
    <row r="71" spans="1:6" s="814" customFormat="1" ht="48">
      <c r="A71" s="818">
        <v>11</v>
      </c>
      <c r="B71" s="3750"/>
      <c r="C71" s="754" t="s">
        <v>635</v>
      </c>
      <c r="D71" s="754" t="s">
        <v>636</v>
      </c>
      <c r="E71" s="831">
        <v>0.2</v>
      </c>
      <c r="F71" s="818">
        <v>30</v>
      </c>
    </row>
    <row r="72" spans="1:6" s="814" customFormat="1" ht="36">
      <c r="A72" s="818">
        <v>12</v>
      </c>
      <c r="B72" s="3750"/>
      <c r="C72" s="754" t="s">
        <v>637</v>
      </c>
      <c r="D72" s="754" t="s">
        <v>638</v>
      </c>
      <c r="E72" s="831">
        <v>0.5</v>
      </c>
      <c r="F72" s="818">
        <v>80</v>
      </c>
    </row>
    <row r="73" spans="1:6" s="814" customFormat="1" ht="24">
      <c r="A73" s="818">
        <v>13</v>
      </c>
      <c r="B73" s="3750"/>
      <c r="C73" s="754" t="s">
        <v>639</v>
      </c>
      <c r="D73" s="754" t="s">
        <v>640</v>
      </c>
      <c r="E73" s="831">
        <v>0.4</v>
      </c>
      <c r="F73" s="818">
        <v>60</v>
      </c>
    </row>
    <row r="74" spans="1:6" s="814" customFormat="1" ht="24">
      <c r="A74" s="818">
        <v>14</v>
      </c>
      <c r="B74" s="3750"/>
      <c r="C74" s="754" t="s">
        <v>641</v>
      </c>
      <c r="D74" s="754" t="s">
        <v>642</v>
      </c>
      <c r="E74" s="831">
        <v>0.2</v>
      </c>
      <c r="F74" s="818">
        <v>30</v>
      </c>
    </row>
    <row r="75" spans="1:6" s="814" customFormat="1" ht="24">
      <c r="A75" s="818">
        <v>15</v>
      </c>
      <c r="B75" s="3750"/>
      <c r="C75" s="754" t="s">
        <v>643</v>
      </c>
      <c r="D75" s="754" t="s">
        <v>644</v>
      </c>
      <c r="E75" s="831">
        <v>0.2</v>
      </c>
      <c r="F75" s="818">
        <v>30</v>
      </c>
    </row>
    <row r="76" spans="1:6" s="814" customFormat="1" ht="24">
      <c r="A76" s="818">
        <v>16</v>
      </c>
      <c r="B76" s="3750" t="s">
        <v>645</v>
      </c>
      <c r="C76" s="754" t="s">
        <v>646</v>
      </c>
      <c r="D76" s="754" t="s">
        <v>647</v>
      </c>
      <c r="E76" s="831">
        <v>0.5</v>
      </c>
      <c r="F76" s="818">
        <v>80</v>
      </c>
    </row>
    <row r="77" spans="1:6" s="814" customFormat="1" ht="24">
      <c r="A77" s="818">
        <v>17</v>
      </c>
      <c r="B77" s="3750"/>
      <c r="C77" s="754" t="s">
        <v>648</v>
      </c>
      <c r="D77" s="754" t="s">
        <v>649</v>
      </c>
      <c r="E77" s="831">
        <v>0.5</v>
      </c>
      <c r="F77" s="818">
        <v>80</v>
      </c>
    </row>
    <row r="78" spans="1:6" s="814" customFormat="1" ht="24">
      <c r="A78" s="818">
        <v>18</v>
      </c>
      <c r="B78" s="3750"/>
      <c r="C78" s="754" t="s">
        <v>650</v>
      </c>
      <c r="D78" s="754" t="s">
        <v>651</v>
      </c>
      <c r="E78" s="831">
        <v>0.2</v>
      </c>
      <c r="F78" s="818">
        <v>30</v>
      </c>
    </row>
    <row r="79" spans="1:6" s="814" customFormat="1" ht="24">
      <c r="A79" s="818">
        <v>19</v>
      </c>
      <c r="B79" s="3750"/>
      <c r="C79" s="754" t="s">
        <v>652</v>
      </c>
      <c r="D79" s="754" t="s">
        <v>653</v>
      </c>
      <c r="E79" s="831">
        <v>0.5</v>
      </c>
      <c r="F79" s="818">
        <v>80</v>
      </c>
    </row>
    <row r="80" spans="1:6" s="814" customFormat="1" ht="36">
      <c r="A80" s="818">
        <v>20</v>
      </c>
      <c r="B80" s="3750"/>
      <c r="C80" s="754" t="s">
        <v>654</v>
      </c>
      <c r="D80" s="754" t="s">
        <v>655</v>
      </c>
      <c r="E80" s="831">
        <v>0.2</v>
      </c>
      <c r="F80" s="818">
        <v>30</v>
      </c>
    </row>
    <row r="81" spans="1:6" s="814" customFormat="1" ht="36">
      <c r="A81" s="818">
        <v>21</v>
      </c>
      <c r="B81" s="3750"/>
      <c r="C81" s="754" t="s">
        <v>656</v>
      </c>
      <c r="D81" s="754" t="s">
        <v>657</v>
      </c>
      <c r="E81" s="831">
        <v>0.2</v>
      </c>
      <c r="F81" s="818">
        <v>30</v>
      </c>
    </row>
    <row r="82" spans="1:6" s="814" customFormat="1" ht="48">
      <c r="A82" s="818">
        <v>22</v>
      </c>
      <c r="B82" s="3750"/>
      <c r="C82" s="754" t="s">
        <v>658</v>
      </c>
      <c r="D82" s="754" t="s">
        <v>659</v>
      </c>
      <c r="E82" s="831">
        <v>0.2</v>
      </c>
      <c r="F82" s="818">
        <v>30</v>
      </c>
    </row>
    <row r="83" spans="1:6" s="814" customFormat="1" ht="48">
      <c r="A83" s="818">
        <v>23</v>
      </c>
      <c r="B83" s="3750"/>
      <c r="C83" s="754" t="s">
        <v>660</v>
      </c>
      <c r="D83" s="754" t="s">
        <v>661</v>
      </c>
      <c r="E83" s="831">
        <v>0.2</v>
      </c>
      <c r="F83" s="818">
        <v>30</v>
      </c>
    </row>
    <row r="84" spans="1:6" s="814" customFormat="1" ht="36">
      <c r="A84" s="818">
        <v>24</v>
      </c>
      <c r="B84" s="3750"/>
      <c r="C84" s="754" t="s">
        <v>662</v>
      </c>
      <c r="D84" s="754" t="s">
        <v>663</v>
      </c>
      <c r="E84" s="831">
        <v>0.2</v>
      </c>
      <c r="F84" s="818">
        <v>30</v>
      </c>
    </row>
    <row r="85" spans="1:6" s="814" customFormat="1" ht="36">
      <c r="A85" s="818">
        <v>25</v>
      </c>
      <c r="B85" s="3750"/>
      <c r="C85" s="754" t="s">
        <v>664</v>
      </c>
      <c r="D85" s="754" t="s">
        <v>665</v>
      </c>
      <c r="E85" s="831">
        <v>0.5</v>
      </c>
      <c r="F85" s="818">
        <v>80</v>
      </c>
    </row>
    <row r="86" spans="1:6" s="814" customFormat="1" ht="36">
      <c r="A86" s="818">
        <v>26</v>
      </c>
      <c r="B86" s="3750"/>
      <c r="C86" s="754" t="s">
        <v>666</v>
      </c>
      <c r="D86" s="754" t="s">
        <v>667</v>
      </c>
      <c r="E86" s="831">
        <v>0.2</v>
      </c>
      <c r="F86" s="818">
        <v>30</v>
      </c>
    </row>
    <row r="87" spans="1:6" s="814" customFormat="1" ht="36">
      <c r="A87" s="818">
        <v>27</v>
      </c>
      <c r="B87" s="3750"/>
      <c r="C87" s="754" t="s">
        <v>668</v>
      </c>
      <c r="D87" s="754" t="s">
        <v>669</v>
      </c>
      <c r="E87" s="831">
        <v>0.2</v>
      </c>
      <c r="F87" s="818">
        <v>30</v>
      </c>
    </row>
    <row r="88" spans="1:6" s="814" customFormat="1" ht="36">
      <c r="A88" s="818">
        <v>28</v>
      </c>
      <c r="B88" s="3750"/>
      <c r="C88" s="754" t="s">
        <v>670</v>
      </c>
      <c r="D88" s="754" t="s">
        <v>671</v>
      </c>
      <c r="E88" s="831">
        <v>0.2</v>
      </c>
      <c r="F88" s="818">
        <v>30</v>
      </c>
    </row>
    <row r="89" spans="1:6" s="814" customFormat="1" ht="24">
      <c r="A89" s="818">
        <v>29</v>
      </c>
      <c r="B89" s="3750"/>
      <c r="C89" s="754" t="s">
        <v>672</v>
      </c>
      <c r="D89" s="754" t="s">
        <v>673</v>
      </c>
      <c r="E89" s="831">
        <v>0.2</v>
      </c>
      <c r="F89" s="818">
        <v>30</v>
      </c>
    </row>
    <row r="90" spans="1:6" s="814" customFormat="1" ht="24">
      <c r="A90" s="818">
        <v>30</v>
      </c>
      <c r="B90" s="3750"/>
      <c r="C90" s="754" t="s">
        <v>674</v>
      </c>
      <c r="D90" s="754" t="s">
        <v>675</v>
      </c>
      <c r="E90" s="831">
        <v>0.2</v>
      </c>
      <c r="F90" s="818">
        <v>30</v>
      </c>
    </row>
    <row r="91" spans="1:6" s="814" customFormat="1" ht="36">
      <c r="A91" s="818">
        <v>31</v>
      </c>
      <c r="B91" s="3750"/>
      <c r="C91" s="754" t="s">
        <v>676</v>
      </c>
      <c r="D91" s="754" t="s">
        <v>677</v>
      </c>
      <c r="E91" s="831">
        <v>0.2</v>
      </c>
      <c r="F91" s="818">
        <v>30</v>
      </c>
    </row>
    <row r="92" spans="1:6" s="814" customFormat="1" ht="24">
      <c r="A92" s="818">
        <v>32</v>
      </c>
      <c r="B92" s="3750" t="s">
        <v>678</v>
      </c>
      <c r="C92" s="818" t="s">
        <v>679</v>
      </c>
      <c r="D92" s="754" t="s">
        <v>680</v>
      </c>
      <c r="E92" s="831">
        <v>0.2</v>
      </c>
      <c r="F92" s="818">
        <v>30</v>
      </c>
    </row>
    <row r="93" spans="1:6" s="814" customFormat="1" ht="36">
      <c r="A93" s="818">
        <v>33</v>
      </c>
      <c r="B93" s="3750"/>
      <c r="C93" s="818" t="s">
        <v>681</v>
      </c>
      <c r="D93" s="754" t="s">
        <v>682</v>
      </c>
      <c r="E93" s="831">
        <v>0.2</v>
      </c>
      <c r="F93" s="818">
        <v>30</v>
      </c>
    </row>
    <row r="94" spans="1:6" s="814" customFormat="1" ht="48">
      <c r="A94" s="818">
        <v>34</v>
      </c>
      <c r="B94" s="3750"/>
      <c r="C94" s="818" t="s">
        <v>683</v>
      </c>
      <c r="D94" s="754" t="s">
        <v>684</v>
      </c>
      <c r="E94" s="831">
        <v>0.2</v>
      </c>
      <c r="F94" s="818">
        <v>30</v>
      </c>
    </row>
    <row r="95" spans="1:6" s="814" customFormat="1" ht="36">
      <c r="A95" s="818">
        <v>35</v>
      </c>
      <c r="B95" s="3750"/>
      <c r="C95" s="818" t="s">
        <v>685</v>
      </c>
      <c r="D95" s="754" t="s">
        <v>686</v>
      </c>
      <c r="E95" s="831">
        <v>0.2</v>
      </c>
      <c r="F95" s="818">
        <v>30</v>
      </c>
    </row>
    <row r="96" spans="1:6" s="814" customFormat="1" ht="48">
      <c r="A96" s="818">
        <v>36</v>
      </c>
      <c r="B96" s="3750"/>
      <c r="C96" s="754" t="s">
        <v>687</v>
      </c>
      <c r="D96" s="754" t="s">
        <v>688</v>
      </c>
      <c r="E96" s="831">
        <v>0.2</v>
      </c>
      <c r="F96" s="818">
        <v>30</v>
      </c>
    </row>
    <row r="97" spans="1:6" s="814" customFormat="1" ht="36">
      <c r="A97" s="818">
        <v>37</v>
      </c>
      <c r="B97" s="3750"/>
      <c r="C97" s="818" t="s">
        <v>689</v>
      </c>
      <c r="D97" s="754" t="s">
        <v>690</v>
      </c>
      <c r="E97" s="831">
        <v>0.2</v>
      </c>
      <c r="F97" s="818">
        <v>30</v>
      </c>
    </row>
    <row r="98" spans="1:6" s="814" customFormat="1" ht="36">
      <c r="A98" s="818">
        <v>38</v>
      </c>
      <c r="B98" s="3750"/>
      <c r="C98" s="818" t="s">
        <v>691</v>
      </c>
      <c r="D98" s="754" t="s">
        <v>692</v>
      </c>
      <c r="E98" s="831">
        <v>0.2</v>
      </c>
      <c r="F98" s="818">
        <v>30</v>
      </c>
    </row>
    <row r="99" spans="1:6" s="814" customFormat="1" ht="36">
      <c r="A99" s="818">
        <v>39</v>
      </c>
      <c r="B99" s="3750" t="s">
        <v>693</v>
      </c>
      <c r="C99" s="818" t="s">
        <v>694</v>
      </c>
      <c r="D99" s="754" t="s">
        <v>695</v>
      </c>
      <c r="E99" s="831">
        <v>0.3</v>
      </c>
      <c r="F99" s="818">
        <v>50</v>
      </c>
    </row>
    <row r="100" spans="1:6" s="814" customFormat="1" ht="24">
      <c r="A100" s="818">
        <v>40</v>
      </c>
      <c r="B100" s="3750"/>
      <c r="C100" s="818" t="s">
        <v>696</v>
      </c>
      <c r="D100" s="754" t="s">
        <v>697</v>
      </c>
      <c r="E100" s="831">
        <v>0.2</v>
      </c>
      <c r="F100" s="818">
        <v>30</v>
      </c>
    </row>
    <row r="101" spans="1:6" s="814" customFormat="1" ht="36">
      <c r="A101" s="818">
        <v>41</v>
      </c>
      <c r="B101" s="375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750" t="s">
        <v>708</v>
      </c>
      <c r="C105" s="818" t="s">
        <v>709</v>
      </c>
      <c r="D105" s="754" t="s">
        <v>710</v>
      </c>
      <c r="E105" s="831">
        <v>0.2</v>
      </c>
      <c r="F105" s="818">
        <v>30</v>
      </c>
    </row>
    <row r="106" spans="1:6" s="814" customFormat="1" ht="36">
      <c r="A106" s="818">
        <v>46</v>
      </c>
      <c r="B106" s="3750"/>
      <c r="C106" s="818" t="s">
        <v>711</v>
      </c>
      <c r="D106" s="754" t="s">
        <v>712</v>
      </c>
      <c r="E106" s="831">
        <v>0.2</v>
      </c>
      <c r="F106" s="818">
        <v>30</v>
      </c>
    </row>
    <row r="107" spans="1:6" s="814" customFormat="1" ht="36">
      <c r="A107" s="818">
        <v>47</v>
      </c>
      <c r="B107" s="3750" t="s">
        <v>713</v>
      </c>
      <c r="C107" s="818" t="s">
        <v>714</v>
      </c>
      <c r="D107" s="754" t="s">
        <v>715</v>
      </c>
      <c r="E107" s="831">
        <v>0.3</v>
      </c>
      <c r="F107" s="818">
        <v>50</v>
      </c>
    </row>
    <row r="108" spans="1:6" s="814" customFormat="1" ht="36">
      <c r="A108" s="818">
        <v>48</v>
      </c>
      <c r="B108" s="375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750" t="s">
        <v>724</v>
      </c>
      <c r="C111" s="818" t="s">
        <v>725</v>
      </c>
      <c r="D111" s="754" t="s">
        <v>726</v>
      </c>
      <c r="E111" s="831">
        <v>0.2</v>
      </c>
      <c r="F111" s="818">
        <v>30</v>
      </c>
    </row>
    <row r="112" spans="1:6" s="814" customFormat="1" ht="24">
      <c r="A112" s="818">
        <v>52</v>
      </c>
      <c r="B112" s="3750"/>
      <c r="C112" s="818" t="s">
        <v>727</v>
      </c>
      <c r="D112" s="754" t="s">
        <v>728</v>
      </c>
      <c r="E112" s="831">
        <v>0.2</v>
      </c>
      <c r="F112" s="818">
        <v>30</v>
      </c>
    </row>
    <row r="113" spans="1:6" s="814" customFormat="1" ht="24">
      <c r="A113" s="818">
        <v>53</v>
      </c>
      <c r="B113" s="375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750" t="s">
        <v>737</v>
      </c>
      <c r="C116" s="818" t="s">
        <v>738</v>
      </c>
      <c r="D116" s="754" t="s">
        <v>739</v>
      </c>
      <c r="E116" s="831">
        <v>0.2</v>
      </c>
      <c r="F116" s="818">
        <v>30</v>
      </c>
    </row>
    <row r="117" spans="1:6" ht="36">
      <c r="A117" s="818">
        <v>57</v>
      </c>
      <c r="B117" s="375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1.0901000000000001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643"/>
      <c r="B4" s="3462" t="s">
        <v>1535</v>
      </c>
      <c r="C4" s="3462"/>
      <c r="D4" s="3462"/>
      <c r="E4" s="1643"/>
    </row>
    <row r="5" spans="1:5" ht="16.5" thickTop="1">
      <c r="A5" s="1641"/>
      <c r="B5" s="3460" t="s">
        <v>1527</v>
      </c>
      <c r="C5" s="1644" t="s">
        <v>1528</v>
      </c>
      <c r="D5" s="956" t="e">
        <f ca="1">结果表!H101</f>
        <v>#REF!</v>
      </c>
      <c r="E5" s="1641"/>
    </row>
    <row r="6" spans="1:5" ht="15.75">
      <c r="A6" s="1641"/>
      <c r="B6" s="3460"/>
      <c r="C6" s="1644" t="s">
        <v>1529</v>
      </c>
      <c r="D6" s="956" t="e">
        <f ca="1">NUMBERSTRING(INT(D5*10000),2)&amp;"元整"</f>
        <v>#REF!</v>
      </c>
      <c r="E6" s="1641"/>
    </row>
    <row r="7" spans="1:5" ht="15.75">
      <c r="A7" s="1641"/>
      <c r="B7" s="3465"/>
      <c r="C7" s="1645" t="s">
        <v>1530</v>
      </c>
      <c r="D7" s="957" t="e">
        <f ca="1">结果表!H102</f>
        <v>#REF!</v>
      </c>
      <c r="E7" s="1641"/>
    </row>
    <row r="8" spans="1:5" ht="15.75">
      <c r="A8" s="1641"/>
      <c r="B8" s="3466" t="str">
        <f>结果表!E103</f>
        <v>2.估价师知悉的法定优先受偿款</v>
      </c>
      <c r="C8" s="1646" t="s">
        <v>1531</v>
      </c>
      <c r="D8" s="957">
        <f>结果表!H103</f>
        <v>0</v>
      </c>
      <c r="E8" s="1641"/>
    </row>
    <row r="9" spans="1:5" ht="15.75">
      <c r="A9" s="1641"/>
      <c r="B9" s="3468"/>
      <c r="C9" s="1644" t="s">
        <v>1529</v>
      </c>
      <c r="D9" s="956" t="str">
        <f>NUMBERSTRING(INT(D8*10000),2)&amp;"元整"</f>
        <v>零元整</v>
      </c>
      <c r="E9" s="1641"/>
    </row>
    <row r="10" spans="1:5" ht="15">
      <c r="A10" s="1641"/>
      <c r="B10" s="1647" t="s">
        <v>1534</v>
      </c>
      <c r="C10" s="1648" t="s">
        <v>1532</v>
      </c>
      <c r="D10" s="958">
        <f>结果表!H104</f>
        <v>0</v>
      </c>
      <c r="E10" s="1641"/>
    </row>
    <row r="11" spans="1:5" ht="15">
      <c r="A11" s="1641"/>
      <c r="B11" s="1647" t="s">
        <v>1536</v>
      </c>
      <c r="C11" s="1648" t="s">
        <v>1537</v>
      </c>
      <c r="D11" s="958">
        <f>结果表!H105</f>
        <v>0</v>
      </c>
      <c r="E11" s="1641"/>
    </row>
    <row r="12" spans="1:5" ht="15">
      <c r="A12" s="1641"/>
      <c r="B12" s="1647" t="s">
        <v>1538</v>
      </c>
      <c r="C12" s="1648" t="s">
        <v>1537</v>
      </c>
      <c r="D12" s="958">
        <f>结果表!H106</f>
        <v>0</v>
      </c>
      <c r="E12" s="1641"/>
    </row>
    <row r="13" spans="1:5" ht="15.75">
      <c r="A13" s="1641"/>
      <c r="B13" s="3459" t="str">
        <f>结果表!E107</f>
        <v>3.房地产抵押价值</v>
      </c>
      <c r="C13" s="1649" t="s">
        <v>1528</v>
      </c>
      <c r="D13" s="959" t="e">
        <f ca="1">结果表!H107</f>
        <v>#REF!</v>
      </c>
      <c r="E13" s="1641"/>
    </row>
    <row r="14" spans="1:5" ht="15.75">
      <c r="A14" s="1641"/>
      <c r="B14" s="3460"/>
      <c r="C14" s="1644" t="s">
        <v>1529</v>
      </c>
      <c r="D14" s="956" t="e">
        <f ca="1">NUMBERSTRING(INT(D13*10000),2)&amp;"元整"</f>
        <v>#REF!</v>
      </c>
      <c r="E14" s="1641"/>
    </row>
    <row r="15" spans="1:5" ht="15">
      <c r="A15" s="1641"/>
      <c r="B15" s="3465"/>
      <c r="C15" s="1645" t="s">
        <v>1539</v>
      </c>
      <c r="D15" s="965" t="e">
        <f ca="1">结果表!H108</f>
        <v>#REF!</v>
      </c>
      <c r="E15" s="1641"/>
    </row>
    <row r="16" spans="1:5" ht="15">
      <c r="A16" s="1641"/>
      <c r="B16" s="3466" t="str">
        <f>结果表!E109</f>
        <v>——</v>
      </c>
      <c r="C16" s="1649" t="s">
        <v>1540</v>
      </c>
      <c r="D16" s="1650" t="str">
        <f>结果表!H109</f>
        <v>——</v>
      </c>
      <c r="E16" s="1641"/>
    </row>
    <row r="17" spans="1:5" ht="15.75">
      <c r="A17" s="1641"/>
      <c r="B17" s="3467"/>
      <c r="C17" s="1644" t="s">
        <v>1541</v>
      </c>
      <c r="D17" s="956" t="e">
        <f>NUMBERSTRING(INT(D16*10000),2)&amp;"元整"</f>
        <v>#VALUE!</v>
      </c>
      <c r="E17" s="1641"/>
    </row>
    <row r="18" spans="1:5" ht="15">
      <c r="A18" s="1641"/>
      <c r="B18" s="3468"/>
      <c r="C18" s="1645" t="s">
        <v>1530</v>
      </c>
      <c r="D18" s="965" t="str">
        <f>结果表!H110</f>
        <v>——</v>
      </c>
      <c r="E18" s="1641"/>
    </row>
    <row r="19" spans="1:5" ht="15.75">
      <c r="A19" s="1641"/>
      <c r="B19" s="3459" t="str">
        <f>结果表!E111</f>
        <v>——</v>
      </c>
      <c r="C19" s="1649" t="s">
        <v>1528</v>
      </c>
      <c r="D19" s="957" t="str">
        <f>结果表!H111</f>
        <v>——</v>
      </c>
      <c r="E19" s="1641"/>
    </row>
    <row r="20" spans="1:5" ht="15.75">
      <c r="A20" s="1641"/>
      <c r="B20" s="3460"/>
      <c r="C20" s="1644" t="s">
        <v>1541</v>
      </c>
      <c r="D20" s="956" t="e">
        <f>NUMBERSTRING(INT(D19*10000),2)&amp;"元整"</f>
        <v>#VALUE!</v>
      </c>
      <c r="E20" s="1641"/>
    </row>
    <row r="21" spans="1:5" ht="15.75" thickBot="1">
      <c r="A21" s="1641"/>
      <c r="B21" s="3461"/>
      <c r="C21" s="1651" t="s">
        <v>1539</v>
      </c>
      <c r="D21" s="966"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2760</v>
      </c>
      <c r="B1" s="2327"/>
      <c r="C1" s="2327"/>
      <c r="D1" s="2327"/>
      <c r="E1" s="2327"/>
      <c r="F1" s="2987"/>
      <c r="G1" s="2987"/>
      <c r="H1" s="2987"/>
      <c r="I1" s="2987"/>
      <c r="J1" s="2987"/>
      <c r="K1" s="2987"/>
      <c r="L1" s="2987"/>
      <c r="M1" s="2987"/>
      <c r="N1" s="2987"/>
      <c r="O1" s="2987"/>
      <c r="P1" s="2987"/>
    </row>
    <row r="2" spans="1:16" ht="15.75">
      <c r="A2" s="2325" t="s">
        <v>2752</v>
      </c>
      <c r="B2" s="2791">
        <f ca="1">SUMIF(B6:B13,"&lt;&gt;#ref!",B6:B13)</f>
        <v>79857</v>
      </c>
      <c r="C2" s="2325" t="s">
        <v>2753</v>
      </c>
      <c r="D2" s="2325" t="s">
        <v>2754</v>
      </c>
      <c r="E2" s="2801">
        <f ca="1">SUMIF(E6:E13,"&lt;&gt;#ref!",E6:E13)</f>
        <v>56496.820000000007</v>
      </c>
      <c r="F2" s="2987"/>
      <c r="G2" s="2987"/>
      <c r="H2" s="2987"/>
      <c r="I2" s="2987"/>
      <c r="J2" s="2987"/>
      <c r="K2" s="2987"/>
      <c r="L2" s="2987"/>
      <c r="M2" s="2987"/>
      <c r="N2" s="2987"/>
      <c r="O2" s="2987"/>
      <c r="P2" s="2987"/>
    </row>
    <row r="3" spans="1:16" ht="15.75">
      <c r="A3" s="2325" t="s">
        <v>2755</v>
      </c>
      <c r="B3" s="2791">
        <f ca="1">ROUND(B2*10000/E2,0)</f>
        <v>14135</v>
      </c>
      <c r="C3" s="2325" t="s">
        <v>2761</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2756</v>
      </c>
      <c r="B5" s="2799" t="s">
        <v>2757</v>
      </c>
      <c r="C5" s="2326"/>
      <c r="D5" s="2987"/>
      <c r="E5" s="2800" t="s">
        <v>2758</v>
      </c>
      <c r="F5" s="2987"/>
      <c r="G5" s="2987"/>
      <c r="H5" s="2987"/>
      <c r="I5" s="2987"/>
      <c r="J5" s="2987"/>
      <c r="K5" s="2987"/>
      <c r="L5" s="2987"/>
      <c r="M5" s="2987"/>
      <c r="N5" s="2987"/>
      <c r="O5" s="2987"/>
      <c r="P5" s="2987"/>
    </row>
    <row r="6" spans="1:16" ht="15.75">
      <c r="A6" s="2798" t="s">
        <v>2759</v>
      </c>
      <c r="B6" s="2791">
        <f ca="1">SUMIF(INDIRECT("'"&amp;A6&amp;"'"&amp;"!A:A"),"总价",INDIRECT("'"&amp;A6&amp;"'"&amp;"!B:B"))</f>
        <v>79857</v>
      </c>
      <c r="C6" s="2325" t="s">
        <v>2753</v>
      </c>
      <c r="D6" s="2987"/>
      <c r="E6" s="2801">
        <f ca="1">SUMIF(INDIRECT("'"&amp;A6&amp;"'"&amp;"!C:C"),"建筑面积",INDIRECT("'"&amp;A6&amp;"'"&amp;"!D:D"))</f>
        <v>56496.820000000007</v>
      </c>
      <c r="F6" s="2987"/>
      <c r="G6" s="2987"/>
      <c r="H6" s="2987"/>
      <c r="I6" s="2987"/>
      <c r="J6" s="2987"/>
      <c r="K6" s="2987"/>
      <c r="L6" s="2987"/>
      <c r="M6" s="2987"/>
      <c r="N6" s="2987"/>
      <c r="O6" s="2987"/>
      <c r="P6" s="2987"/>
    </row>
    <row r="7" spans="1:16" ht="15.75">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75">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754" t="s">
        <v>2763</v>
      </c>
      <c r="D1" s="3755"/>
      <c r="E1" s="3755"/>
      <c r="F1" s="3755"/>
      <c r="G1" s="3755"/>
      <c r="H1" s="3755"/>
      <c r="I1" s="3755"/>
      <c r="J1" s="3755"/>
      <c r="K1" s="3755"/>
      <c r="L1" s="3755"/>
      <c r="M1" s="3755"/>
      <c r="N1" s="3755"/>
      <c r="O1" s="3755"/>
      <c r="P1" s="3755"/>
      <c r="Q1" s="3755"/>
      <c r="R1" s="3755"/>
      <c r="S1" s="3756"/>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5"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5"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5"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5"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75">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751" t="s">
        <v>33</v>
      </c>
      <c r="D22" s="3752"/>
      <c r="E22" s="3752"/>
      <c r="F22" s="3752"/>
      <c r="G22" s="3752"/>
      <c r="H22" s="3752"/>
      <c r="I22" s="3752"/>
      <c r="J22" s="3752"/>
      <c r="K22" s="3752"/>
      <c r="L22" s="3752"/>
      <c r="M22" s="3752"/>
      <c r="N22" s="3752"/>
      <c r="O22" s="3752"/>
      <c r="P22" s="3752"/>
      <c r="Q22" s="3753"/>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t="e">
        <f>C52</f>
        <v>#DIV/0!</v>
      </c>
      <c r="C2" s="2" t="s">
        <v>133</v>
      </c>
      <c r="D2" s="203"/>
      <c r="E2" s="203"/>
      <c r="F2" s="203"/>
      <c r="G2" s="203"/>
    </row>
    <row r="3" spans="1:7" s="204" customFormat="1" ht="18" customHeight="1" thickBot="1">
      <c r="A3" s="207" t="s">
        <v>85</v>
      </c>
      <c r="B3" s="208" t="e">
        <f>ROUND(B2*10000/'数据-汇总表'!E3,0)</f>
        <v>#DIV/0!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759</v>
      </c>
      <c r="D9" s="951">
        <f>'数据-汇总表'!E5</f>
        <v>47461.850000000006</v>
      </c>
      <c r="E9" s="229">
        <f>'数据-取费表'!B27</f>
        <v>160</v>
      </c>
      <c r="F9" s="225"/>
      <c r="G9" s="230"/>
    </row>
    <row r="10" spans="1:7" s="218" customFormat="1" ht="13.5" customHeight="1">
      <c r="A10" s="884" t="s">
        <v>801</v>
      </c>
      <c r="B10" s="228" t="s">
        <v>94</v>
      </c>
      <c r="C10" s="229">
        <f>ROUND(D10*E10/10000,0)</f>
        <v>326</v>
      </c>
      <c r="D10" s="951">
        <f>'数据-汇总表'!E6</f>
        <v>16299.169999999991</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1275</v>
      </c>
      <c r="D19" s="955">
        <f>'数据-汇总表'!E3</f>
        <v>63761.02</v>
      </c>
      <c r="E19" s="215">
        <f>'数据-取费表'!B31</f>
        <v>200</v>
      </c>
      <c r="F19" s="235"/>
      <c r="G19" s="1" t="s">
        <v>1042</v>
      </c>
    </row>
    <row r="20" spans="1:7" s="218" customFormat="1" ht="13.5" customHeight="1">
      <c r="A20" s="882" t="s">
        <v>1025</v>
      </c>
      <c r="B20" s="214" t="s">
        <v>104</v>
      </c>
      <c r="C20" s="236">
        <f>ROUND((C5+C19)*F20,0)</f>
        <v>438</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3268</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157</v>
      </c>
      <c r="D24" s="242"/>
      <c r="E24" s="242"/>
      <c r="F24" s="243"/>
      <c r="G24" s="244" t="s">
        <v>109</v>
      </c>
    </row>
    <row r="25" spans="1:7" s="218" customFormat="1" ht="24">
      <c r="A25" s="885" t="s">
        <v>793</v>
      </c>
      <c r="B25" s="219" t="s">
        <v>1026</v>
      </c>
      <c r="C25" s="1232">
        <f>ROUND(IF('数据-取费表'!B22&lt;=1,C20*F22*'数据-取费表'!B23/2,C20*(POWER((1+F22),'数据-取费表'!B23/2)-1)),0)</f>
        <v>32</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4.75">
      <c r="A27" s="882" t="s">
        <v>787</v>
      </c>
      <c r="B27" s="248" t="s">
        <v>112</v>
      </c>
      <c r="C27" s="249" t="e">
        <f>C28</f>
        <v>#DIV/0!</v>
      </c>
      <c r="D27" s="239" t="e">
        <f>C29</f>
        <v>#DIV/0!</v>
      </c>
      <c r="E27" s="240" t="s">
        <v>126</v>
      </c>
      <c r="F27" s="250" t="e">
        <f>'数据-取费表'!Q16</f>
        <v>#DIV/0!</v>
      </c>
      <c r="G27" s="251" t="s">
        <v>1037</v>
      </c>
    </row>
    <row r="28" spans="1:7" s="218" customFormat="1" ht="13.5" customHeight="1">
      <c r="A28" s="885" t="s">
        <v>794</v>
      </c>
      <c r="B28" s="252" t="s">
        <v>1030</v>
      </c>
      <c r="C28" s="253" t="e">
        <f>ROUND((C5+C19+C20)*F27*'数据-取费表'!B21/'数据-取费表'!B20,0)</f>
        <v>#DIV/0!</v>
      </c>
      <c r="D28" s="239"/>
      <c r="E28" s="240"/>
      <c r="F28" s="250"/>
      <c r="G28" s="251"/>
    </row>
    <row r="29" spans="1:7" s="218" customFormat="1" ht="13.5" customHeight="1">
      <c r="A29" s="885" t="s">
        <v>792</v>
      </c>
      <c r="B29" s="252" t="s">
        <v>1031</v>
      </c>
      <c r="C29" s="242" t="e">
        <f>ROUND(C21*F27*'数据-取费表'!B21/'数据-取费表'!B20,4)</f>
        <v>#DIV/0!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t="e">
        <f>ROUND((C5+C19+C20+C22+C27)/(1-C21-D22-D27-C30/(1+'数据-取费表'!B42)),0)</f>
        <v>#DIV/0!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34177</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28487</v>
      </c>
      <c r="D34" s="221"/>
      <c r="E34" s="224"/>
      <c r="F34" s="261">
        <f>IF('数据-取费表'!B24=0,1,'数据-取费表'!N16)</f>
        <v>1</v>
      </c>
      <c r="G34" s="223" t="s">
        <v>116</v>
      </c>
    </row>
    <row r="35" spans="1:7" ht="13.5" customHeight="1">
      <c r="A35" s="885" t="s">
        <v>796</v>
      </c>
      <c r="B35" s="219" t="s">
        <v>60</v>
      </c>
      <c r="C35" s="224">
        <f>ROUND(C34*F35,0)</f>
        <v>2849</v>
      </c>
      <c r="D35" s="224"/>
      <c r="E35" s="224"/>
      <c r="F35" s="263">
        <f>'数据-取费表'!B33</f>
        <v>0.1</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1139</v>
      </c>
      <c r="D36" s="224"/>
      <c r="E36" s="224"/>
      <c r="F36" s="263">
        <f>'数据-取费表'!B34</f>
        <v>0.05</v>
      </c>
      <c r="G36" s="264" t="s">
        <v>62</v>
      </c>
    </row>
    <row r="37" spans="1:7" s="262" customFormat="1" ht="13.5" customHeight="1">
      <c r="A37" s="885" t="s">
        <v>798</v>
      </c>
      <c r="B37" s="219" t="s">
        <v>118</v>
      </c>
      <c r="C37" s="253">
        <f>ROUND(E37*D37*F34/10000,0)</f>
        <v>1275</v>
      </c>
      <c r="D37" s="221">
        <f>'数据-汇总表'!E3</f>
        <v>63761.02</v>
      </c>
      <c r="E37" s="253">
        <f>'数据-取费表'!B35</f>
        <v>200</v>
      </c>
      <c r="F37" s="263"/>
      <c r="G37" s="265" t="s">
        <v>119</v>
      </c>
    </row>
    <row r="38" spans="1:7" ht="13.5" customHeight="1">
      <c r="A38" s="885" t="s">
        <v>799</v>
      </c>
      <c r="B38" s="219" t="s">
        <v>63</v>
      </c>
      <c r="C38" s="224">
        <f>ROUND(C34*F38,0)</f>
        <v>427</v>
      </c>
      <c r="D38" s="224"/>
      <c r="E38" s="224"/>
      <c r="F38" s="263">
        <f>'数据-取费表'!B36</f>
        <v>1.4999999999999999E-2</v>
      </c>
      <c r="G38" s="223" t="s">
        <v>117</v>
      </c>
    </row>
    <row r="39" spans="1:7" s="218" customFormat="1" ht="13.5" customHeight="1">
      <c r="A39" s="882" t="s">
        <v>783</v>
      </c>
      <c r="B39" s="214" t="s">
        <v>104</v>
      </c>
      <c r="C39" s="236">
        <f>ROUND(C33*F20,0)</f>
        <v>684</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1655</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1623</v>
      </c>
      <c r="D42" s="242"/>
      <c r="E42" s="242"/>
      <c r="F42" s="243"/>
      <c r="G42" s="3619" t="s">
        <v>121</v>
      </c>
    </row>
    <row r="43" spans="1:7" ht="13.5" customHeight="1">
      <c r="A43" s="885" t="s">
        <v>792</v>
      </c>
      <c r="B43" s="219" t="s">
        <v>1032</v>
      </c>
      <c r="C43" s="242">
        <f>ROUND(IF('数据-取费表'!B22&lt;=1,C39*F22*'数据-取费表'!B21/2,C39*(POWER((1+F22),'数据-取费表'!B21/2)-1)),0)</f>
        <v>32</v>
      </c>
      <c r="D43" s="242"/>
      <c r="E43" s="242"/>
      <c r="F43" s="243"/>
      <c r="G43" s="3620"/>
    </row>
    <row r="44" spans="1:7" ht="13.5" customHeight="1">
      <c r="A44" s="885" t="s">
        <v>793</v>
      </c>
      <c r="B44" s="219" t="s">
        <v>1034</v>
      </c>
      <c r="C44" s="242">
        <f>ROUND(IF('数据-取费表'!B22&lt;=1,C40*F22*'数据-取费表'!B21/2,C40*(POWER((1+F22),'数据-取费表'!B21/2)-1)),4)</f>
        <v>0</v>
      </c>
      <c r="D44" s="242"/>
      <c r="E44" s="242"/>
      <c r="F44" s="243"/>
      <c r="G44" s="3621"/>
    </row>
    <row r="45" spans="1:7" s="218" customFormat="1" ht="13.5" customHeight="1">
      <c r="A45" s="882" t="s">
        <v>786</v>
      </c>
      <c r="B45" s="248" t="s">
        <v>112</v>
      </c>
      <c r="C45" s="249" t="e">
        <f>C46</f>
        <v>#DIV/0!</v>
      </c>
      <c r="D45" s="239" t="e">
        <f>C47</f>
        <v>#DIV/0!</v>
      </c>
      <c r="E45" s="240" t="s">
        <v>129</v>
      </c>
      <c r="F45" s="250"/>
      <c r="G45" s="251" t="s">
        <v>1040</v>
      </c>
    </row>
    <row r="46" spans="1:7" s="218" customFormat="1" ht="13.5" customHeight="1">
      <c r="A46" s="885" t="s">
        <v>794</v>
      </c>
      <c r="B46" s="252" t="s">
        <v>1033</v>
      </c>
      <c r="C46" s="253" t="e">
        <f>ROUND((C33+C39)*F27,0)</f>
        <v>#DIV/0!</v>
      </c>
      <c r="D46" s="267"/>
      <c r="E46" s="240"/>
      <c r="F46" s="250"/>
      <c r="G46" s="251"/>
    </row>
    <row r="47" spans="1:7" s="218" customFormat="1" ht="13.5" customHeight="1">
      <c r="A47" s="885" t="s">
        <v>792</v>
      </c>
      <c r="B47" s="252" t="s">
        <v>1035</v>
      </c>
      <c r="C47" s="242" t="e">
        <f>ROUND(C40*F27,4)</f>
        <v>#DIV/0!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t="e">
        <f>ROUND((C33+C39+C41+C45)/(1-C40-D41-D45-C48/(1+'数据-取费表'!B42)),0)</f>
        <v>#DIV/0!</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t="e">
        <f>ROUND(C49*F50,0)</f>
        <v>#DIV/0!</v>
      </c>
      <c r="D51" s="236"/>
      <c r="E51" s="236"/>
      <c r="F51" s="268"/>
      <c r="G51" s="238" t="s">
        <v>64</v>
      </c>
    </row>
    <row r="52" spans="1:7" s="212" customFormat="1" ht="16.5" thickBot="1">
      <c r="A52" s="269" t="s">
        <v>65</v>
      </c>
      <c r="B52" s="270"/>
      <c r="C52" s="271" t="e">
        <f>C31+C51</f>
        <v>#DIV/0!</v>
      </c>
      <c r="D52" s="270"/>
      <c r="E52" s="270"/>
      <c r="F52" s="270"/>
      <c r="G52" s="272"/>
    </row>
    <row r="55" spans="1:7" ht="15">
      <c r="B55" s="274" t="s">
        <v>66</v>
      </c>
      <c r="C55" s="275"/>
    </row>
    <row r="56" spans="1:7">
      <c r="B56" s="277" t="s">
        <v>67</v>
      </c>
      <c r="C56" s="278" t="e">
        <f>ROUND(C51/C52,3)</f>
        <v>#DIV/0!</v>
      </c>
    </row>
    <row r="57" spans="1:7">
      <c r="B57" s="277" t="s">
        <v>68</v>
      </c>
      <c r="C57" s="279" t="e">
        <f>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57" t="s">
        <v>156</v>
      </c>
      <c r="B1" s="3757"/>
      <c r="C1" s="3757"/>
      <c r="D1" s="3757"/>
      <c r="E1" s="3757"/>
      <c r="F1" s="375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58" t="s">
        <v>169</v>
      </c>
      <c r="B2" s="3758"/>
      <c r="C2" s="3758"/>
      <c r="D2" s="3758"/>
      <c r="E2" s="3758"/>
      <c r="F2" s="375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5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76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57" t="s">
        <v>839</v>
      </c>
      <c r="B1" s="375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44617</v>
      </c>
      <c r="D1" s="1437" t="s">
        <v>1209</v>
      </c>
      <c r="E1" s="1432">
        <f>'数据-取费表'!B22</f>
        <v>3</v>
      </c>
      <c r="F1" s="1437" t="s">
        <v>1210</v>
      </c>
      <c r="G1" s="1433">
        <f ca="1">INDIRECT("d"&amp;$K$1)/100</f>
        <v>3.7000000000000005E-2</v>
      </c>
      <c r="H1" s="1437" t="s">
        <v>1240</v>
      </c>
      <c r="I1" s="1433">
        <f ca="1">F4/100</f>
        <v>1.4999999999999999E-2</v>
      </c>
      <c r="J1" s="1438">
        <f>IF(C1&gt;C13,0,MATCH(C1,C$13:C$107,-1))+IF(SUMIF(C13:C107,C1,D13:D107)=0,13,12)</f>
        <v>13</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3.7</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3.7</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3.7</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3.7</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4.5999999999999996</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5">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4.25">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3220" customWidth="1"/>
    <col min="2" max="2" width="6.125" style="3220" customWidth="1"/>
    <col min="3" max="3" width="6.375" style="3220" customWidth="1"/>
    <col min="4" max="4" width="0" style="3220" hidden="1" customWidth="1"/>
    <col min="5" max="5" width="6.5" style="3220" customWidth="1"/>
    <col min="6" max="6" width="6.875" style="3220" customWidth="1"/>
    <col min="7" max="7" width="15.125" style="3220" customWidth="1"/>
    <col min="8" max="8" width="8.75" style="3220" customWidth="1"/>
    <col min="9" max="9" width="4.375" style="3220" customWidth="1"/>
    <col min="10" max="10" width="9" style="3220"/>
    <col min="11" max="11" width="19.375" style="3220" customWidth="1"/>
    <col min="12" max="12" width="8.25" style="3220" customWidth="1"/>
    <col min="13" max="13" width="12.875" style="3220" customWidth="1"/>
    <col min="14" max="14" width="13" style="3220" customWidth="1"/>
    <col min="15" max="15" width="0" style="3220" hidden="1" customWidth="1"/>
    <col min="16" max="16" width="9.75" style="3220" customWidth="1"/>
    <col min="17" max="18" width="11.375" style="3220" customWidth="1"/>
    <col min="19" max="19" width="9" style="3220"/>
    <col min="20" max="20" width="12.75" style="3220" bestFit="1" customWidth="1"/>
    <col min="21" max="16384" width="9" style="3220"/>
  </cols>
  <sheetData>
    <row r="1" spans="2:18" ht="17.25">
      <c r="B1" s="3763" t="s">
        <v>3190</v>
      </c>
      <c r="C1" s="3764"/>
      <c r="D1" s="3764"/>
      <c r="E1" s="3764"/>
      <c r="F1" s="3764"/>
      <c r="G1" s="3764"/>
      <c r="H1" s="3764"/>
      <c r="I1" s="3764"/>
      <c r="J1" s="3764"/>
      <c r="K1" s="3764"/>
      <c r="L1" s="3764"/>
      <c r="M1" s="3764"/>
      <c r="N1" s="3764"/>
      <c r="O1" s="3227" t="s">
        <v>3191</v>
      </c>
      <c r="P1" s="3227"/>
    </row>
    <row r="2" spans="2:18">
      <c r="B2" s="3761" t="s">
        <v>3192</v>
      </c>
      <c r="C2" s="3761" t="s">
        <v>3193</v>
      </c>
      <c r="D2" s="3761" t="s">
        <v>3194</v>
      </c>
      <c r="E2" s="3765" t="s">
        <v>609</v>
      </c>
      <c r="F2" s="3765" t="s">
        <v>3195</v>
      </c>
      <c r="G2" s="3761" t="s">
        <v>3196</v>
      </c>
      <c r="H2" s="3761" t="s">
        <v>3197</v>
      </c>
      <c r="I2" s="3761" t="s">
        <v>3198</v>
      </c>
      <c r="J2" s="3761" t="s">
        <v>3199</v>
      </c>
      <c r="K2" s="3761" t="s">
        <v>3200</v>
      </c>
      <c r="L2" s="3762" t="s">
        <v>3201</v>
      </c>
      <c r="M2" s="3762" t="s">
        <v>3202</v>
      </c>
      <c r="N2" s="3762"/>
      <c r="O2" s="3227"/>
      <c r="P2" s="3227"/>
    </row>
    <row r="3" spans="2:18" ht="22.5">
      <c r="B3" s="3761"/>
      <c r="C3" s="3761"/>
      <c r="D3" s="3761"/>
      <c r="E3" s="3765"/>
      <c r="F3" s="3765"/>
      <c r="G3" s="3761"/>
      <c r="H3" s="3761"/>
      <c r="I3" s="3761"/>
      <c r="J3" s="3761"/>
      <c r="K3" s="3761"/>
      <c r="L3" s="3762"/>
      <c r="M3" s="3228" t="s">
        <v>3203</v>
      </c>
      <c r="N3" s="3228" t="s">
        <v>3204</v>
      </c>
      <c r="O3" s="3227" t="s">
        <v>3205</v>
      </c>
      <c r="P3" s="3227" t="s">
        <v>3206</v>
      </c>
      <c r="R3" s="3220" t="s">
        <v>3398</v>
      </c>
    </row>
    <row r="4" spans="2:18" ht="96" hidden="1">
      <c r="B4" s="3229">
        <v>2016</v>
      </c>
      <c r="C4" s="3222" t="s">
        <v>3207</v>
      </c>
      <c r="D4" s="3222" t="s">
        <v>3208</v>
      </c>
      <c r="E4" s="3218" t="s">
        <v>3209</v>
      </c>
      <c r="F4" s="3218" t="s">
        <v>3210</v>
      </c>
      <c r="G4" s="3230" t="s">
        <v>3211</v>
      </c>
      <c r="H4" s="3218" t="s">
        <v>3212</v>
      </c>
      <c r="I4" s="3218" t="s">
        <v>3213</v>
      </c>
      <c r="J4" s="3218" t="s">
        <v>185</v>
      </c>
      <c r="K4" s="3218" t="s">
        <v>3214</v>
      </c>
      <c r="L4" s="3231">
        <v>16.73</v>
      </c>
      <c r="M4" s="3218">
        <v>15586.51</v>
      </c>
      <c r="N4" s="3218">
        <v>24154.36</v>
      </c>
      <c r="O4" s="3219"/>
      <c r="P4" s="3219">
        <f>ROUND((N4+M4)/L4,2)</f>
        <v>2375.4299999999998</v>
      </c>
    </row>
    <row r="5" spans="2:18" ht="96" hidden="1">
      <c r="B5" s="3229">
        <v>2016</v>
      </c>
      <c r="C5" s="3222" t="s">
        <v>3207</v>
      </c>
      <c r="D5" s="3222" t="s">
        <v>3208</v>
      </c>
      <c r="E5" s="3218" t="s">
        <v>3209</v>
      </c>
      <c r="F5" s="3218" t="s">
        <v>3210</v>
      </c>
      <c r="G5" s="3230" t="s">
        <v>3215</v>
      </c>
      <c r="H5" s="3218" t="s">
        <v>3212</v>
      </c>
      <c r="I5" s="3218" t="s">
        <v>3213</v>
      </c>
      <c r="J5" s="3218" t="s">
        <v>3216</v>
      </c>
      <c r="K5" s="3218" t="s">
        <v>3214</v>
      </c>
      <c r="L5" s="3215">
        <v>39.770000000000003</v>
      </c>
      <c r="M5" s="3218">
        <v>17716.41</v>
      </c>
      <c r="N5" s="3218">
        <v>2390.64</v>
      </c>
      <c r="O5" s="3219"/>
      <c r="P5" s="3219">
        <f t="shared" ref="P5:P32" si="0">ROUND((N5+M5)/L5,2)</f>
        <v>505.58</v>
      </c>
    </row>
    <row r="6" spans="2:18" ht="144" hidden="1">
      <c r="B6" s="3229">
        <v>2016</v>
      </c>
      <c r="C6" s="3222" t="s">
        <v>3207</v>
      </c>
      <c r="D6" s="3222" t="s">
        <v>3208</v>
      </c>
      <c r="E6" s="3218" t="s">
        <v>3209</v>
      </c>
      <c r="F6" s="3232" t="s">
        <v>3217</v>
      </c>
      <c r="G6" s="3230" t="s">
        <v>3218</v>
      </c>
      <c r="H6" s="3232" t="s">
        <v>3219</v>
      </c>
      <c r="I6" s="3232" t="s">
        <v>3213</v>
      </c>
      <c r="J6" s="3232" t="s">
        <v>3220</v>
      </c>
      <c r="K6" s="3218" t="s">
        <v>3221</v>
      </c>
      <c r="L6" s="3215">
        <v>663.6</v>
      </c>
      <c r="M6" s="3218">
        <v>191909.86</v>
      </c>
      <c r="N6" s="3218">
        <v>204137.8</v>
      </c>
      <c r="O6" s="3219"/>
      <c r="P6" s="3219">
        <f t="shared" si="0"/>
        <v>596.82000000000005</v>
      </c>
    </row>
    <row r="7" spans="2:18" ht="120" hidden="1">
      <c r="B7" s="3229">
        <v>2016</v>
      </c>
      <c r="C7" s="3222" t="s">
        <v>3222</v>
      </c>
      <c r="D7" s="3222" t="s">
        <v>3223</v>
      </c>
      <c r="E7" s="3233" t="s">
        <v>3209</v>
      </c>
      <c r="F7" s="3233" t="s">
        <v>3217</v>
      </c>
      <c r="G7" s="3230" t="s">
        <v>3224</v>
      </c>
      <c r="H7" s="3234" t="s">
        <v>3225</v>
      </c>
      <c r="I7" s="3233" t="s">
        <v>3226</v>
      </c>
      <c r="J7" s="3233" t="s">
        <v>3227</v>
      </c>
      <c r="K7" s="3233" t="s">
        <v>3228</v>
      </c>
      <c r="L7" s="3215">
        <v>129.57</v>
      </c>
      <c r="M7" s="3218">
        <v>122822.85</v>
      </c>
      <c r="N7" s="3218">
        <v>403475</v>
      </c>
      <c r="O7" s="3219"/>
      <c r="P7" s="3219">
        <f t="shared" si="0"/>
        <v>4061.88</v>
      </c>
    </row>
    <row r="8" spans="2:18" ht="120" hidden="1">
      <c r="B8" s="3229">
        <v>2017</v>
      </c>
      <c r="C8" s="3223" t="s">
        <v>3229</v>
      </c>
      <c r="D8" s="3223" t="s">
        <v>3230</v>
      </c>
      <c r="E8" s="3233" t="s">
        <v>3209</v>
      </c>
      <c r="F8" s="3233" t="s">
        <v>3217</v>
      </c>
      <c r="G8" s="3230" t="s">
        <v>3231</v>
      </c>
      <c r="H8" s="3234" t="s">
        <v>3225</v>
      </c>
      <c r="I8" s="3233" t="s">
        <v>3226</v>
      </c>
      <c r="J8" s="3233" t="s">
        <v>3232</v>
      </c>
      <c r="K8" s="3232" t="s">
        <v>3233</v>
      </c>
      <c r="L8" s="3215">
        <v>34.26</v>
      </c>
      <c r="M8" s="3218">
        <v>38931.19</v>
      </c>
      <c r="N8" s="3218">
        <v>64775.53</v>
      </c>
      <c r="O8" s="3225"/>
      <c r="P8" s="3219">
        <f t="shared" si="0"/>
        <v>3027.05</v>
      </c>
    </row>
    <row r="9" spans="2:18" ht="120" hidden="1">
      <c r="B9" s="3229">
        <v>2017</v>
      </c>
      <c r="C9" s="3223" t="s">
        <v>3229</v>
      </c>
      <c r="D9" s="3223" t="s">
        <v>3230</v>
      </c>
      <c r="E9" s="3233" t="s">
        <v>3209</v>
      </c>
      <c r="F9" s="3233" t="s">
        <v>3217</v>
      </c>
      <c r="G9" s="3230" t="s">
        <v>3234</v>
      </c>
      <c r="H9" s="3233" t="s">
        <v>3225</v>
      </c>
      <c r="I9" s="3233" t="s">
        <v>3226</v>
      </c>
      <c r="J9" s="3233" t="s">
        <v>185</v>
      </c>
      <c r="K9" s="3233" t="s">
        <v>3235</v>
      </c>
      <c r="L9" s="3215">
        <v>51.07</v>
      </c>
      <c r="M9" s="3218">
        <v>33012.44</v>
      </c>
      <c r="N9" s="3218">
        <v>46402.36</v>
      </c>
      <c r="O9" s="3225"/>
      <c r="P9" s="3219">
        <f t="shared" si="0"/>
        <v>1555.02</v>
      </c>
    </row>
    <row r="10" spans="2:18" ht="96" hidden="1">
      <c r="B10" s="3229">
        <v>2017</v>
      </c>
      <c r="C10" s="3223" t="s">
        <v>3229</v>
      </c>
      <c r="D10" s="3223" t="s">
        <v>3230</v>
      </c>
      <c r="E10" s="3234" t="s">
        <v>3236</v>
      </c>
      <c r="F10" s="3234" t="s">
        <v>3217</v>
      </c>
      <c r="G10" s="3230" t="s">
        <v>3237</v>
      </c>
      <c r="H10" s="3234" t="s">
        <v>3238</v>
      </c>
      <c r="I10" s="3234" t="s">
        <v>3213</v>
      </c>
      <c r="J10" s="3234" t="s">
        <v>3239</v>
      </c>
      <c r="K10" s="3234" t="s">
        <v>3240</v>
      </c>
      <c r="L10" s="3218">
        <v>96.99</v>
      </c>
      <c r="M10" s="3218">
        <v>51676.39</v>
      </c>
      <c r="N10" s="3218">
        <v>172115.08</v>
      </c>
      <c r="O10" s="3225">
        <f>ROUND((M10+N10)/(L10*15),0)</f>
        <v>154</v>
      </c>
      <c r="P10" s="3219">
        <f t="shared" si="0"/>
        <v>2307.37</v>
      </c>
    </row>
    <row r="11" spans="2:18" ht="108" hidden="1">
      <c r="B11" s="3229">
        <v>2017</v>
      </c>
      <c r="C11" s="3223" t="s">
        <v>3229</v>
      </c>
      <c r="D11" s="3223" t="s">
        <v>3230</v>
      </c>
      <c r="E11" s="3234" t="s">
        <v>3236</v>
      </c>
      <c r="F11" s="3234" t="s">
        <v>3217</v>
      </c>
      <c r="G11" s="3230" t="s">
        <v>3241</v>
      </c>
      <c r="H11" s="3234" t="s">
        <v>3242</v>
      </c>
      <c r="I11" s="3234" t="s">
        <v>3213</v>
      </c>
      <c r="J11" s="3234" t="s">
        <v>3243</v>
      </c>
      <c r="K11" s="3218" t="s">
        <v>3244</v>
      </c>
      <c r="L11" s="3235">
        <v>49.52</v>
      </c>
      <c r="M11" s="3218">
        <v>25737.439999999999</v>
      </c>
      <c r="N11" s="3218">
        <v>180122.23999999999</v>
      </c>
      <c r="O11" s="3225">
        <f>ROUND((M11+N11)/(L11*15),0)</f>
        <v>277</v>
      </c>
      <c r="P11" s="3219">
        <f t="shared" si="0"/>
        <v>4157.1000000000004</v>
      </c>
    </row>
    <row r="12" spans="2:18" ht="72" hidden="1">
      <c r="B12" s="3229">
        <v>2017</v>
      </c>
      <c r="C12" s="3223" t="s">
        <v>3229</v>
      </c>
      <c r="D12" s="3223" t="s">
        <v>3230</v>
      </c>
      <c r="E12" s="3234" t="s">
        <v>3245</v>
      </c>
      <c r="F12" s="3234" t="s">
        <v>3217</v>
      </c>
      <c r="G12" s="3230" t="s">
        <v>3246</v>
      </c>
      <c r="H12" s="3234" t="s">
        <v>3247</v>
      </c>
      <c r="I12" s="3233" t="s">
        <v>3226</v>
      </c>
      <c r="J12" s="3234" t="s">
        <v>3248</v>
      </c>
      <c r="K12" s="3218" t="s">
        <v>3249</v>
      </c>
      <c r="L12" s="3215">
        <v>116.6</v>
      </c>
      <c r="M12" s="3218">
        <v>138739.75</v>
      </c>
      <c r="N12" s="3218">
        <v>441601.69</v>
      </c>
      <c r="O12" s="3225"/>
      <c r="P12" s="3219">
        <f t="shared" si="0"/>
        <v>4977.2</v>
      </c>
    </row>
    <row r="13" spans="2:18" ht="144" hidden="1">
      <c r="B13" s="3229">
        <v>2017</v>
      </c>
      <c r="C13" s="3233" t="s">
        <v>3250</v>
      </c>
      <c r="D13" s="3233" t="s">
        <v>3251</v>
      </c>
      <c r="E13" s="3233" t="s">
        <v>3252</v>
      </c>
      <c r="F13" s="3233" t="s">
        <v>3210</v>
      </c>
      <c r="G13" s="3234" t="s">
        <v>3253</v>
      </c>
      <c r="H13" s="3234" t="s">
        <v>3254</v>
      </c>
      <c r="I13" s="3234" t="s">
        <v>3213</v>
      </c>
      <c r="J13" s="3234" t="s">
        <v>3255</v>
      </c>
      <c r="K13" s="3218" t="s">
        <v>3256</v>
      </c>
      <c r="L13" s="3231">
        <v>33.36</v>
      </c>
      <c r="M13" s="3218">
        <v>16588.11</v>
      </c>
      <c r="N13" s="3218">
        <v>13953.2</v>
      </c>
      <c r="O13" s="3236"/>
      <c r="P13" s="3219">
        <f t="shared" si="0"/>
        <v>915.51</v>
      </c>
    </row>
    <row r="14" spans="2:18" ht="96" hidden="1">
      <c r="B14" s="3229">
        <v>2017</v>
      </c>
      <c r="C14" s="3214" t="s">
        <v>3257</v>
      </c>
      <c r="D14" s="3214" t="s">
        <v>3258</v>
      </c>
      <c r="E14" s="3234" t="s">
        <v>3236</v>
      </c>
      <c r="F14" s="3234" t="s">
        <v>3217</v>
      </c>
      <c r="G14" s="3233" t="s">
        <v>3259</v>
      </c>
      <c r="H14" s="3234" t="s">
        <v>3260</v>
      </c>
      <c r="I14" s="3234" t="s">
        <v>3213</v>
      </c>
      <c r="J14" s="3234" t="s">
        <v>3261</v>
      </c>
      <c r="K14" s="3234" t="s">
        <v>3262</v>
      </c>
      <c r="L14" s="3218">
        <v>19.994820000000001</v>
      </c>
      <c r="M14" s="3218">
        <v>4110.28</v>
      </c>
      <c r="N14" s="3218">
        <v>1634.87</v>
      </c>
      <c r="O14" s="3225">
        <f>ROUND((M14+N14)/(L14*15),0)</f>
        <v>19</v>
      </c>
      <c r="P14" s="3219">
        <f t="shared" si="0"/>
        <v>287.33</v>
      </c>
    </row>
    <row r="15" spans="2:18" ht="96" hidden="1">
      <c r="B15" s="3229">
        <v>2017</v>
      </c>
      <c r="C15" s="3223" t="s">
        <v>3263</v>
      </c>
      <c r="D15" s="3223" t="s">
        <v>3264</v>
      </c>
      <c r="E15" s="3234" t="s">
        <v>3265</v>
      </c>
      <c r="F15" s="3234" t="s">
        <v>3217</v>
      </c>
      <c r="G15" s="3234" t="s">
        <v>3266</v>
      </c>
      <c r="H15" s="3234" t="s">
        <v>3267</v>
      </c>
      <c r="I15" s="3234" t="s">
        <v>3226</v>
      </c>
      <c r="J15" s="3234" t="s">
        <v>3268</v>
      </c>
      <c r="K15" s="3218" t="s">
        <v>3269</v>
      </c>
      <c r="L15" s="3229">
        <v>72.180000000000007</v>
      </c>
      <c r="M15" s="3218">
        <v>20148.59</v>
      </c>
      <c r="N15" s="3218">
        <v>195592.13</v>
      </c>
      <c r="O15" s="3236"/>
      <c r="P15" s="3219">
        <f t="shared" si="0"/>
        <v>2988.93</v>
      </c>
    </row>
    <row r="16" spans="2:18" ht="168" hidden="1">
      <c r="B16" s="3229">
        <v>2017</v>
      </c>
      <c r="C16" s="3223" t="s">
        <v>3263</v>
      </c>
      <c r="D16" s="3223" t="s">
        <v>3264</v>
      </c>
      <c r="E16" s="3234" t="s">
        <v>3265</v>
      </c>
      <c r="F16" s="3234" t="s">
        <v>3217</v>
      </c>
      <c r="G16" s="3234" t="s">
        <v>3270</v>
      </c>
      <c r="H16" s="3234" t="s">
        <v>3271</v>
      </c>
      <c r="I16" s="3234" t="s">
        <v>3226</v>
      </c>
      <c r="J16" s="3234" t="s">
        <v>3272</v>
      </c>
      <c r="K16" s="3212" t="s">
        <v>3273</v>
      </c>
      <c r="L16" s="3215">
        <v>148.19999999999999</v>
      </c>
      <c r="M16" s="3218">
        <v>46469.07</v>
      </c>
      <c r="N16" s="3218">
        <v>462882.97</v>
      </c>
      <c r="O16" s="3236"/>
      <c r="P16" s="3219">
        <f t="shared" si="0"/>
        <v>3436.92</v>
      </c>
    </row>
    <row r="17" spans="1:18" ht="96" hidden="1">
      <c r="B17" s="3229">
        <v>2017</v>
      </c>
      <c r="C17" s="3214" t="s">
        <v>3274</v>
      </c>
      <c r="D17" s="3214" t="s">
        <v>3223</v>
      </c>
      <c r="E17" s="3234" t="s">
        <v>3275</v>
      </c>
      <c r="F17" s="3234" t="s">
        <v>3217</v>
      </c>
      <c r="G17" s="3234" t="s">
        <v>3276</v>
      </c>
      <c r="H17" s="3234" t="s">
        <v>3277</v>
      </c>
      <c r="I17" s="3234" t="s">
        <v>3226</v>
      </c>
      <c r="J17" s="3234" t="s">
        <v>3278</v>
      </c>
      <c r="K17" s="3234" t="s">
        <v>3279</v>
      </c>
      <c r="L17" s="3215">
        <v>89.78</v>
      </c>
      <c r="M17" s="3218">
        <v>52725.51</v>
      </c>
      <c r="N17" s="3218">
        <v>150160.9</v>
      </c>
      <c r="O17" s="3237"/>
      <c r="P17" s="3219">
        <f t="shared" si="0"/>
        <v>2259.8200000000002</v>
      </c>
    </row>
    <row r="18" spans="1:18" ht="168" hidden="1">
      <c r="B18" s="3229">
        <v>2017</v>
      </c>
      <c r="C18" s="3214" t="s">
        <v>3274</v>
      </c>
      <c r="D18" s="3214" t="s">
        <v>3223</v>
      </c>
      <c r="E18" s="3234" t="s">
        <v>3275</v>
      </c>
      <c r="F18" s="3234" t="s">
        <v>3217</v>
      </c>
      <c r="G18" s="3234" t="s">
        <v>3280</v>
      </c>
      <c r="H18" s="3234" t="s">
        <v>3281</v>
      </c>
      <c r="I18" s="3234" t="s">
        <v>3226</v>
      </c>
      <c r="J18" s="3234" t="s">
        <v>3282</v>
      </c>
      <c r="K18" s="3238" t="s">
        <v>3283</v>
      </c>
      <c r="L18" s="3215">
        <v>146.24</v>
      </c>
      <c r="M18" s="3218">
        <v>73331.179999999993</v>
      </c>
      <c r="N18" s="3218">
        <v>459399.64</v>
      </c>
      <c r="O18" s="3236"/>
      <c r="P18" s="3219">
        <f t="shared" si="0"/>
        <v>3642.85</v>
      </c>
    </row>
    <row r="19" spans="1:18" ht="96" hidden="1">
      <c r="B19" s="3229">
        <v>2017</v>
      </c>
      <c r="C19" s="3214" t="s">
        <v>3284</v>
      </c>
      <c r="D19" s="3214" t="s">
        <v>3223</v>
      </c>
      <c r="E19" s="3234" t="s">
        <v>3236</v>
      </c>
      <c r="F19" s="3234" t="s">
        <v>3217</v>
      </c>
      <c r="G19" s="3234" t="s">
        <v>3285</v>
      </c>
      <c r="H19" s="3234" t="s">
        <v>3286</v>
      </c>
      <c r="I19" s="3234" t="s">
        <v>3213</v>
      </c>
      <c r="J19" s="3234" t="s">
        <v>3287</v>
      </c>
      <c r="K19" s="3234" t="s">
        <v>3288</v>
      </c>
      <c r="L19" s="3218">
        <v>132.25</v>
      </c>
      <c r="M19" s="3218">
        <v>24298.5</v>
      </c>
      <c r="N19" s="3218">
        <v>107594.55</v>
      </c>
      <c r="O19" s="3225">
        <f>ROUND((M19+N19)/(L19*15),0)</f>
        <v>66</v>
      </c>
      <c r="P19" s="3224">
        <f t="shared" si="0"/>
        <v>997.3</v>
      </c>
    </row>
    <row r="20" spans="1:18" ht="108" hidden="1">
      <c r="B20" s="3229">
        <v>2017</v>
      </c>
      <c r="C20" s="3214" t="s">
        <v>3284</v>
      </c>
      <c r="D20" s="3239" t="s">
        <v>3223</v>
      </c>
      <c r="E20" s="3240" t="s">
        <v>3289</v>
      </c>
      <c r="F20" s="3234" t="s">
        <v>3210</v>
      </c>
      <c r="G20" s="3241" t="s">
        <v>3290</v>
      </c>
      <c r="H20" s="3234" t="s">
        <v>3267</v>
      </c>
      <c r="I20" s="3234" t="s">
        <v>3226</v>
      </c>
      <c r="J20" s="3242" t="s">
        <v>3291</v>
      </c>
      <c r="K20" s="3242" t="s">
        <v>3292</v>
      </c>
      <c r="L20" s="3215">
        <v>217.58</v>
      </c>
      <c r="M20" s="3218">
        <v>106922.18</v>
      </c>
      <c r="N20" s="3218">
        <v>1002860.16</v>
      </c>
      <c r="O20" s="3243"/>
      <c r="P20" s="3219">
        <f t="shared" si="0"/>
        <v>5100.57</v>
      </c>
    </row>
    <row r="21" spans="1:18" ht="144" hidden="1">
      <c r="B21" s="3221">
        <v>2018</v>
      </c>
      <c r="C21" s="3214" t="s">
        <v>3293</v>
      </c>
      <c r="D21" s="3214" t="s">
        <v>3258</v>
      </c>
      <c r="E21" s="3213" t="s">
        <v>3252</v>
      </c>
      <c r="F21" s="3213" t="s">
        <v>3210</v>
      </c>
      <c r="G21" s="3213" t="s">
        <v>3294</v>
      </c>
      <c r="H21" s="3213" t="s">
        <v>3295</v>
      </c>
      <c r="I21" s="3213" t="s">
        <v>3213</v>
      </c>
      <c r="J21" s="3233" t="s">
        <v>3296</v>
      </c>
      <c r="K21" s="3230" t="s">
        <v>3297</v>
      </c>
      <c r="L21" s="3213">
        <v>726.3</v>
      </c>
      <c r="M21" s="3218">
        <v>281939.06</v>
      </c>
      <c r="N21" s="3218">
        <v>704305.38</v>
      </c>
      <c r="O21" s="3219"/>
      <c r="P21" s="3224">
        <f t="shared" si="0"/>
        <v>1357.9</v>
      </c>
    </row>
    <row r="22" spans="1:18" ht="60.75" customHeight="1">
      <c r="A22" s="3220" t="s">
        <v>3401</v>
      </c>
      <c r="B22" s="3279">
        <v>2018</v>
      </c>
      <c r="C22" s="3280" t="s">
        <v>3298</v>
      </c>
      <c r="D22" s="3281" t="s">
        <v>3208</v>
      </c>
      <c r="E22" s="3282" t="s">
        <v>3289</v>
      </c>
      <c r="F22" s="3282" t="s">
        <v>3217</v>
      </c>
      <c r="G22" s="3282" t="s">
        <v>3395</v>
      </c>
      <c r="H22" s="3282" t="s">
        <v>3267</v>
      </c>
      <c r="I22" s="3282" t="s">
        <v>3226</v>
      </c>
      <c r="J22" s="3282" t="s">
        <v>3299</v>
      </c>
      <c r="K22" s="3283" t="s">
        <v>3300</v>
      </c>
      <c r="L22" s="3284">
        <v>193.55</v>
      </c>
      <c r="M22" s="3285">
        <v>230654.05</v>
      </c>
      <c r="N22" s="3285">
        <v>598903.21</v>
      </c>
      <c r="O22" s="3286"/>
      <c r="P22" s="3287">
        <f t="shared" si="0"/>
        <v>4286.01</v>
      </c>
      <c r="Q22" s="3220">
        <f>ROUND(287073.18/7.9276913,2)</f>
        <v>36211.449999999997</v>
      </c>
      <c r="R22" s="3220" t="s">
        <v>3406</v>
      </c>
    </row>
    <row r="23" spans="1:18" ht="16.5" customHeight="1">
      <c r="B23" s="3213">
        <v>2018</v>
      </c>
      <c r="C23" s="3214" t="s">
        <v>3298</v>
      </c>
      <c r="D23" s="3244" t="s">
        <v>3208</v>
      </c>
      <c r="E23" s="3233" t="s">
        <v>3289</v>
      </c>
      <c r="F23" s="3233" t="s">
        <v>3217</v>
      </c>
      <c r="G23" s="3233" t="s">
        <v>3301</v>
      </c>
      <c r="H23" s="3233" t="s">
        <v>3302</v>
      </c>
      <c r="I23" s="3233" t="s">
        <v>3226</v>
      </c>
      <c r="J23" s="3233" t="s">
        <v>3303</v>
      </c>
      <c r="K23" s="3230" t="s">
        <v>3304</v>
      </c>
      <c r="L23" s="3217">
        <v>210.43</v>
      </c>
      <c r="M23" s="3218">
        <v>23862.83</v>
      </c>
      <c r="N23" s="3218">
        <v>602931.53</v>
      </c>
      <c r="O23" s="3226"/>
      <c r="P23" s="3219">
        <f t="shared" si="0"/>
        <v>2978.64</v>
      </c>
    </row>
    <row r="24" spans="1:18" ht="63.75" customHeight="1">
      <c r="A24" s="3220" t="s">
        <v>3400</v>
      </c>
      <c r="B24" s="3279">
        <v>2018</v>
      </c>
      <c r="C24" s="3280" t="s">
        <v>3298</v>
      </c>
      <c r="D24" s="3281" t="s">
        <v>3208</v>
      </c>
      <c r="E24" s="3282" t="s">
        <v>3289</v>
      </c>
      <c r="F24" s="3282" t="s">
        <v>3217</v>
      </c>
      <c r="G24" s="3282" t="s">
        <v>3396</v>
      </c>
      <c r="H24" s="3282" t="s">
        <v>3267</v>
      </c>
      <c r="I24" s="3282" t="s">
        <v>3226</v>
      </c>
      <c r="J24" s="3282" t="s">
        <v>3305</v>
      </c>
      <c r="K24" s="3283" t="s">
        <v>3306</v>
      </c>
      <c r="L24" s="3288">
        <v>74.25</v>
      </c>
      <c r="M24" s="3285">
        <v>13520.67</v>
      </c>
      <c r="N24" s="3285">
        <v>291651.92</v>
      </c>
      <c r="O24" s="3286"/>
      <c r="P24" s="3287">
        <f t="shared" si="0"/>
        <v>4110.07</v>
      </c>
      <c r="Q24" s="3220">
        <f>ROUND(96109.98/3.4940022,2)</f>
        <v>27507.13</v>
      </c>
      <c r="R24" s="3220" t="s">
        <v>3407</v>
      </c>
    </row>
    <row r="25" spans="1:18" ht="96" hidden="1">
      <c r="B25" s="3213">
        <v>2018</v>
      </c>
      <c r="C25" s="3214" t="s">
        <v>3298</v>
      </c>
      <c r="D25" s="3244" t="s">
        <v>3208</v>
      </c>
      <c r="E25" s="3233" t="s">
        <v>3307</v>
      </c>
      <c r="F25" s="3233" t="s">
        <v>3217</v>
      </c>
      <c r="G25" s="3233" t="s">
        <v>3308</v>
      </c>
      <c r="H25" s="3233" t="s">
        <v>3309</v>
      </c>
      <c r="I25" s="3233" t="s">
        <v>3226</v>
      </c>
      <c r="J25" s="3233" t="s">
        <v>3310</v>
      </c>
      <c r="K25" s="3230" t="s">
        <v>3311</v>
      </c>
      <c r="L25" s="3217">
        <v>29.09</v>
      </c>
      <c r="M25" s="3218">
        <v>12773.36</v>
      </c>
      <c r="N25" s="3218">
        <v>231746.85</v>
      </c>
      <c r="O25" s="3225">
        <f>ROUND((M25+N25)/(L25*15),0)</f>
        <v>560</v>
      </c>
      <c r="P25" s="3245">
        <f>ROUND((N25+M25)/L25,2)</f>
        <v>8405.64</v>
      </c>
    </row>
    <row r="26" spans="1:18" ht="17.25" customHeight="1">
      <c r="B26" s="3213">
        <v>2018</v>
      </c>
      <c r="C26" s="3214" t="s">
        <v>3312</v>
      </c>
      <c r="D26" s="3246" t="s">
        <v>3313</v>
      </c>
      <c r="E26" s="3217" t="s">
        <v>3289</v>
      </c>
      <c r="F26" s="3217" t="s">
        <v>3217</v>
      </c>
      <c r="G26" s="3217" t="s">
        <v>3314</v>
      </c>
      <c r="H26" s="3217" t="s">
        <v>3267</v>
      </c>
      <c r="I26" s="3217" t="s">
        <v>3226</v>
      </c>
      <c r="J26" s="3217" t="s">
        <v>3315</v>
      </c>
      <c r="K26" s="3217" t="s">
        <v>3316</v>
      </c>
      <c r="L26" s="3217">
        <v>165.53</v>
      </c>
      <c r="M26" s="3218">
        <v>55495.91</v>
      </c>
      <c r="N26" s="3218">
        <v>418159.92</v>
      </c>
      <c r="O26" s="3226"/>
      <c r="P26" s="3224">
        <f t="shared" si="0"/>
        <v>2861.45</v>
      </c>
    </row>
    <row r="27" spans="1:18" ht="18" customHeight="1">
      <c r="B27" s="3213">
        <v>2018</v>
      </c>
      <c r="C27" s="3214" t="s">
        <v>3317</v>
      </c>
      <c r="D27" s="3246" t="s">
        <v>3313</v>
      </c>
      <c r="E27" s="3217" t="s">
        <v>3289</v>
      </c>
      <c r="F27" s="3217" t="s">
        <v>3217</v>
      </c>
      <c r="G27" s="3217" t="s">
        <v>3318</v>
      </c>
      <c r="H27" s="3217" t="s">
        <v>3319</v>
      </c>
      <c r="I27" s="3217" t="s">
        <v>3226</v>
      </c>
      <c r="J27" s="3217" t="s">
        <v>3320</v>
      </c>
      <c r="K27" s="3217" t="s">
        <v>3321</v>
      </c>
      <c r="L27" s="3247">
        <v>175.57</v>
      </c>
      <c r="M27" s="3218">
        <v>157294.39999999999</v>
      </c>
      <c r="N27" s="3218">
        <v>394653.43</v>
      </c>
      <c r="O27" s="3226"/>
      <c r="P27" s="3219">
        <f t="shared" si="0"/>
        <v>3143.75</v>
      </c>
    </row>
    <row r="28" spans="1:18" ht="18" customHeight="1">
      <c r="B28" s="3213">
        <v>2018</v>
      </c>
      <c r="C28" s="3214" t="s">
        <v>3322</v>
      </c>
      <c r="D28" s="3248" t="s">
        <v>3323</v>
      </c>
      <c r="E28" s="3216" t="s">
        <v>3245</v>
      </c>
      <c r="F28" s="3216" t="s">
        <v>3217</v>
      </c>
      <c r="G28" s="3216" t="s">
        <v>3324</v>
      </c>
      <c r="H28" s="3216" t="s">
        <v>3325</v>
      </c>
      <c r="I28" s="3216" t="s">
        <v>3226</v>
      </c>
      <c r="J28" s="3216" t="s">
        <v>3326</v>
      </c>
      <c r="K28" s="3216" t="s">
        <v>3327</v>
      </c>
      <c r="L28" s="3217">
        <v>49.58</v>
      </c>
      <c r="M28" s="3218">
        <v>61873.95</v>
      </c>
      <c r="N28" s="3218">
        <v>240341.82</v>
      </c>
      <c r="O28" s="3219"/>
      <c r="P28" s="3219">
        <f t="shared" si="0"/>
        <v>6095.52</v>
      </c>
    </row>
    <row r="29" spans="1:18" ht="18" customHeight="1">
      <c r="B29" s="3213">
        <v>2018</v>
      </c>
      <c r="C29" s="3214" t="s">
        <v>3322</v>
      </c>
      <c r="D29" s="3248" t="s">
        <v>3323</v>
      </c>
      <c r="E29" s="3216" t="s">
        <v>3328</v>
      </c>
      <c r="F29" s="3216" t="s">
        <v>3217</v>
      </c>
      <c r="G29" s="3216" t="s">
        <v>3329</v>
      </c>
      <c r="H29" s="3216" t="s">
        <v>3330</v>
      </c>
      <c r="I29" s="3216" t="s">
        <v>3226</v>
      </c>
      <c r="J29" s="3216" t="s">
        <v>3331</v>
      </c>
      <c r="K29" s="3216" t="s">
        <v>3332</v>
      </c>
      <c r="L29" s="3249">
        <v>113.32</v>
      </c>
      <c r="M29" s="3218">
        <v>84598.35</v>
      </c>
      <c r="N29" s="3218">
        <v>378467.53</v>
      </c>
      <c r="O29" s="3219"/>
      <c r="P29" s="3219">
        <f t="shared" si="0"/>
        <v>4086.36</v>
      </c>
    </row>
    <row r="30" spans="1:18" ht="45.75" customHeight="1">
      <c r="A30" s="3220" t="s">
        <v>3399</v>
      </c>
      <c r="B30" s="3279">
        <v>2018</v>
      </c>
      <c r="C30" s="3280" t="s">
        <v>3322</v>
      </c>
      <c r="D30" s="3284">
        <v>12</v>
      </c>
      <c r="E30" s="3289" t="s">
        <v>3289</v>
      </c>
      <c r="F30" s="3289" t="s">
        <v>3217</v>
      </c>
      <c r="G30" s="3289" t="s">
        <v>3397</v>
      </c>
      <c r="H30" s="3289" t="s">
        <v>3267</v>
      </c>
      <c r="I30" s="3289" t="s">
        <v>3226</v>
      </c>
      <c r="J30" s="3289" t="s">
        <v>3333</v>
      </c>
      <c r="K30" s="3289" t="s">
        <v>3334</v>
      </c>
      <c r="L30" s="3288">
        <v>239.14</v>
      </c>
      <c r="M30" s="3285">
        <v>61695.44</v>
      </c>
      <c r="N30" s="3285">
        <v>859650.5</v>
      </c>
      <c r="O30" s="3287"/>
      <c r="P30" s="3287">
        <f t="shared" si="0"/>
        <v>3852.75</v>
      </c>
      <c r="Q30" s="3220">
        <f>ROUND(248940.24/8.8404401,2)</f>
        <v>28159.26</v>
      </c>
      <c r="R30" s="3220" t="s">
        <v>3409</v>
      </c>
    </row>
    <row r="31" spans="1:18" ht="23.25" customHeight="1">
      <c r="B31" s="3213">
        <v>2018</v>
      </c>
      <c r="C31" s="3214" t="s">
        <v>3322</v>
      </c>
      <c r="D31" s="3215" t="s">
        <v>3323</v>
      </c>
      <c r="E31" s="3216" t="s">
        <v>3275</v>
      </c>
      <c r="F31" s="3216" t="s">
        <v>3217</v>
      </c>
      <c r="G31" s="3216" t="s">
        <v>3408</v>
      </c>
      <c r="H31" s="3216" t="s">
        <v>3335</v>
      </c>
      <c r="I31" s="3216" t="s">
        <v>3226</v>
      </c>
      <c r="J31" s="3216" t="s">
        <v>3336</v>
      </c>
      <c r="K31" s="3216" t="s">
        <v>3337</v>
      </c>
      <c r="L31" s="3217">
        <v>129.57</v>
      </c>
      <c r="M31" s="3218">
        <v>164075.88</v>
      </c>
      <c r="N31" s="3218">
        <v>363152.48</v>
      </c>
      <c r="O31" s="3219"/>
      <c r="P31" s="3219">
        <f t="shared" si="0"/>
        <v>4069.06</v>
      </c>
    </row>
    <row r="32" spans="1:18" ht="21" customHeight="1">
      <c r="B32" s="3213">
        <v>2018</v>
      </c>
      <c r="C32" s="3214" t="s">
        <v>3317</v>
      </c>
      <c r="D32" s="3215" t="s">
        <v>3323</v>
      </c>
      <c r="E32" s="3216" t="s">
        <v>3289</v>
      </c>
      <c r="F32" s="3216" t="s">
        <v>3217</v>
      </c>
      <c r="G32" s="3216" t="s">
        <v>3338</v>
      </c>
      <c r="H32" s="3216" t="s">
        <v>3267</v>
      </c>
      <c r="I32" s="3216" t="s">
        <v>3226</v>
      </c>
      <c r="J32" s="3216" t="s">
        <v>3339</v>
      </c>
      <c r="K32" s="3216" t="s">
        <v>3340</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ROUND(O34*'[3]数据-汇总表'!D3,0)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2374"/>
    <col min="2" max="6" width="9" style="2374" customWidth="1"/>
    <col min="7" max="7" width="9" style="2412"/>
    <col min="8" max="8" width="9" style="2374"/>
    <col min="9" max="12" width="9" style="2374" customWidth="1"/>
    <col min="13" max="13" width="2.25" style="2374" customWidth="1"/>
    <col min="14" max="14" width="9" style="2412" customWidth="1"/>
    <col min="15" max="17" width="9" style="2374" customWidth="1"/>
    <col min="18" max="18" width="2.375" style="2374" customWidth="1"/>
    <col min="19" max="19" width="7.125" style="2412" customWidth="1"/>
    <col min="20" max="22" width="7.125" style="2374" customWidth="1"/>
    <col min="23" max="23" width="24.25" style="2374" customWidth="1"/>
    <col min="24" max="25" width="9" style="2374"/>
    <col min="26" max="27" width="11.625" style="2374" customWidth="1"/>
    <col min="28" max="28" width="9" style="2374"/>
    <col min="29" max="29" width="2" style="2374" customWidth="1"/>
    <col min="30" max="16384" width="9" style="2374"/>
  </cols>
  <sheetData>
    <row r="1" spans="1:34" s="2353" customFormat="1">
      <c r="B1" s="3771" t="s">
        <v>1058</v>
      </c>
      <c r="C1" s="3771"/>
      <c r="D1" s="3771"/>
      <c r="E1" s="3771"/>
      <c r="F1" s="3771"/>
      <c r="G1" s="3770" t="s">
        <v>1059</v>
      </c>
      <c r="H1" s="3770"/>
      <c r="I1" s="3770"/>
      <c r="J1" s="3770"/>
      <c r="K1" s="3770"/>
      <c r="L1" s="3770"/>
      <c r="N1" s="3770" t="s">
        <v>1060</v>
      </c>
      <c r="O1" s="3770"/>
      <c r="P1" s="3770"/>
      <c r="Q1" s="3770"/>
      <c r="S1" s="3770" t="s">
        <v>1061</v>
      </c>
      <c r="T1" s="3770"/>
      <c r="U1" s="3770"/>
      <c r="V1" s="3770"/>
      <c r="X1" s="3769" t="s">
        <v>1062</v>
      </c>
      <c r="Y1" s="3770"/>
      <c r="Z1" s="3770"/>
      <c r="AA1" s="3770"/>
      <c r="AB1" s="3770"/>
      <c r="AD1" s="3769" t="s">
        <v>1063</v>
      </c>
      <c r="AE1" s="3770"/>
      <c r="AF1" s="3770"/>
      <c r="AG1" s="3770"/>
      <c r="AH1" s="3770"/>
    </row>
    <row r="2" spans="1:34" s="2354" customFormat="1" ht="14.2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25">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25">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5"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5"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767">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5"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767"/>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5"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767"/>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776"/>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772">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5"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767"/>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5"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767"/>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776"/>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772">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767"/>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767"/>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5"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768"/>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5" thickBot="1">
      <c r="A30" s="2387" t="s">
        <v>151</v>
      </c>
      <c r="B30" s="2402">
        <v>333</v>
      </c>
      <c r="C30" s="2402">
        <v>277</v>
      </c>
      <c r="D30" s="2402">
        <f t="shared" si="210"/>
        <v>277</v>
      </c>
      <c r="E30" s="2402">
        <v>459</v>
      </c>
      <c r="F30" s="2403">
        <v>249</v>
      </c>
      <c r="G30" s="3766">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767"/>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767"/>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768"/>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5" thickBot="1">
      <c r="A34" s="2387" t="s">
        <v>147</v>
      </c>
      <c r="B34" s="2416">
        <v>318</v>
      </c>
      <c r="C34" s="2416">
        <v>268</v>
      </c>
      <c r="D34" s="2416">
        <f t="shared" si="210"/>
        <v>268</v>
      </c>
      <c r="E34" s="2416">
        <v>437</v>
      </c>
      <c r="F34" s="2417">
        <v>237</v>
      </c>
      <c r="G34" s="3766">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767"/>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5"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767"/>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5"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768"/>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5" thickBot="1">
      <c r="A38" s="2387" t="s">
        <v>1071</v>
      </c>
      <c r="B38" s="2402">
        <v>299</v>
      </c>
      <c r="C38" s="2402">
        <v>252</v>
      </c>
      <c r="D38" s="2402">
        <f t="shared" si="210"/>
        <v>252</v>
      </c>
      <c r="E38" s="2402">
        <v>409</v>
      </c>
      <c r="F38" s="2403">
        <v>227</v>
      </c>
      <c r="G38" s="3773">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774"/>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774"/>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775"/>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5" thickBot="1">
      <c r="A42" s="2387" t="s">
        <v>1075</v>
      </c>
      <c r="B42" s="2437">
        <v>278</v>
      </c>
      <c r="C42" s="2437">
        <v>234</v>
      </c>
      <c r="D42" s="2437">
        <f t="shared" si="210"/>
        <v>234</v>
      </c>
      <c r="E42" s="2437">
        <v>379</v>
      </c>
      <c r="F42" s="2438">
        <v>220</v>
      </c>
      <c r="G42" s="3766">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767"/>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767"/>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5" thickBot="1">
      <c r="A45" s="2387" t="s">
        <v>1078</v>
      </c>
      <c r="B45" s="2388">
        <f>B44/(1+N44)</f>
        <v>275.19025476197027</v>
      </c>
      <c r="C45" s="2439">
        <v>232</v>
      </c>
      <c r="D45" s="2439">
        <f t="shared" si="210"/>
        <v>232</v>
      </c>
      <c r="E45" s="2388">
        <f t="shared" si="221"/>
        <v>375.65990977608692</v>
      </c>
      <c r="F45" s="2388">
        <f t="shared" si="221"/>
        <v>214.12518283971252</v>
      </c>
      <c r="G45" s="3768"/>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5" thickBot="1">
      <c r="A46" s="2387" t="s">
        <v>1079</v>
      </c>
      <c r="B46" s="2402">
        <v>275</v>
      </c>
      <c r="C46" s="2402">
        <v>232</v>
      </c>
      <c r="D46" s="2402">
        <f t="shared" si="210"/>
        <v>232</v>
      </c>
      <c r="E46" s="2402">
        <v>376</v>
      </c>
      <c r="F46" s="2403">
        <v>213</v>
      </c>
      <c r="G46" s="3766">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767">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767">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5"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768">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5" thickBot="1">
      <c r="A50" s="2387" t="s">
        <v>1083</v>
      </c>
      <c r="B50" s="2402">
        <v>269</v>
      </c>
      <c r="C50" s="2402">
        <v>221</v>
      </c>
      <c r="D50" s="2402">
        <f t="shared" si="210"/>
        <v>221</v>
      </c>
      <c r="E50" s="2402">
        <v>373</v>
      </c>
      <c r="F50" s="2403">
        <v>196</v>
      </c>
      <c r="G50" s="3766">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767">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767">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5"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768">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5" thickBot="1">
      <c r="A54" s="2387" t="s">
        <v>1087</v>
      </c>
      <c r="B54" s="2402">
        <v>220</v>
      </c>
      <c r="C54" s="2402">
        <v>187</v>
      </c>
      <c r="D54" s="2402">
        <f t="shared" si="210"/>
        <v>187</v>
      </c>
      <c r="E54" s="2402">
        <v>301</v>
      </c>
      <c r="F54" s="2403">
        <v>168</v>
      </c>
      <c r="G54" s="3766">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767">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767">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768">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5" thickBot="1">
      <c r="A58" s="2387" t="s">
        <v>1091</v>
      </c>
      <c r="B58" s="2437">
        <v>214</v>
      </c>
      <c r="C58" s="2437">
        <v>188</v>
      </c>
      <c r="D58" s="2437">
        <f t="shared" si="210"/>
        <v>188</v>
      </c>
      <c r="E58" s="2437">
        <v>289</v>
      </c>
      <c r="F58" s="2438">
        <v>166</v>
      </c>
      <c r="G58" s="3766">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767">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767">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5"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768">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5" thickBot="1">
      <c r="A62" s="2387" t="s">
        <v>1095</v>
      </c>
      <c r="B62" s="2402">
        <v>188</v>
      </c>
      <c r="C62" s="2402">
        <v>165</v>
      </c>
      <c r="D62" s="2402">
        <f t="shared" si="210"/>
        <v>165</v>
      </c>
      <c r="E62" s="2402">
        <v>254</v>
      </c>
      <c r="F62" s="2403">
        <v>148</v>
      </c>
      <c r="G62" s="3766">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767">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767">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768">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5" thickBot="1">
      <c r="A66" s="2387" t="s">
        <v>1099</v>
      </c>
      <c r="B66" s="2416">
        <v>159</v>
      </c>
      <c r="C66" s="2416">
        <v>141</v>
      </c>
      <c r="D66" s="2416">
        <f t="shared" si="210"/>
        <v>141</v>
      </c>
      <c r="E66" s="2416">
        <v>195</v>
      </c>
      <c r="F66" s="2417">
        <v>122</v>
      </c>
      <c r="G66" s="3766">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767">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767">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768">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5" thickBot="1">
      <c r="A70" s="2387" t="s">
        <v>1103</v>
      </c>
      <c r="B70" s="2416">
        <v>138</v>
      </c>
      <c r="C70" s="2416">
        <v>131</v>
      </c>
      <c r="D70" s="2416">
        <f t="shared" si="210"/>
        <v>131</v>
      </c>
      <c r="E70" s="2416">
        <v>155</v>
      </c>
      <c r="F70" s="2417">
        <v>114</v>
      </c>
      <c r="G70" s="3766">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767">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767">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768">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5" thickBot="1">
      <c r="A74" s="2387" t="s">
        <v>1107</v>
      </c>
      <c r="B74" s="2437">
        <v>121</v>
      </c>
      <c r="C74" s="2437">
        <v>122</v>
      </c>
      <c r="D74" s="2437">
        <f t="shared" si="210"/>
        <v>122</v>
      </c>
      <c r="E74" s="2437">
        <v>124</v>
      </c>
      <c r="F74" s="2438">
        <v>107</v>
      </c>
      <c r="G74" s="3766">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767">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767">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5"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768">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5" thickBot="1">
      <c r="A78" s="2387" t="s">
        <v>1111</v>
      </c>
      <c r="B78" s="2457">
        <v>111</v>
      </c>
      <c r="C78" s="2457">
        <v>114</v>
      </c>
      <c r="D78" s="2457">
        <f t="shared" si="210"/>
        <v>114</v>
      </c>
      <c r="E78" s="2457">
        <v>108</v>
      </c>
      <c r="F78" s="2458">
        <v>104</v>
      </c>
      <c r="G78" s="3766">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767">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767">
        <v>2003</v>
      </c>
      <c r="H80" s="2400">
        <v>2</v>
      </c>
      <c r="I80" s="2459"/>
      <c r="J80" s="2459"/>
      <c r="K80" s="2459"/>
      <c r="L80" s="2459"/>
      <c r="X80" s="2451"/>
      <c r="Y80" s="2451"/>
      <c r="Z80" s="2451"/>
    </row>
    <row r="81" spans="1:26" ht="13.5" thickBot="1">
      <c r="A81" s="2387" t="s">
        <v>1114</v>
      </c>
      <c r="B81" s="2461">
        <f t="shared" si="246"/>
        <v>107.25</v>
      </c>
      <c r="C81" s="2461">
        <f t="shared" si="246"/>
        <v>108.75</v>
      </c>
      <c r="D81" s="2461">
        <f t="shared" si="210"/>
        <v>108.75</v>
      </c>
      <c r="E81" s="2461">
        <f t="shared" si="247"/>
        <v>105.75</v>
      </c>
      <c r="F81" s="2461">
        <f t="shared" si="247"/>
        <v>102.5</v>
      </c>
      <c r="G81" s="3768">
        <v>2003</v>
      </c>
      <c r="H81" s="2462">
        <v>1</v>
      </c>
      <c r="I81" s="2459"/>
      <c r="J81" s="2459"/>
      <c r="K81" s="2459"/>
      <c r="L81" s="2459"/>
      <c r="S81" s="2390"/>
      <c r="T81" s="2375"/>
      <c r="U81" s="2375"/>
      <c r="X81" s="2451"/>
      <c r="Y81" s="2451"/>
      <c r="Z81" s="2451"/>
    </row>
    <row r="82" spans="1:26" ht="13.5" thickBot="1">
      <c r="A82" s="2387" t="s">
        <v>1115</v>
      </c>
      <c r="B82" s="2463">
        <v>106</v>
      </c>
      <c r="C82" s="2463">
        <v>107</v>
      </c>
      <c r="D82" s="2463">
        <f t="shared" si="210"/>
        <v>107</v>
      </c>
      <c r="E82" s="2463">
        <v>105</v>
      </c>
      <c r="F82" s="2464">
        <v>102</v>
      </c>
      <c r="G82" s="3766">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767">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767">
        <v>2002</v>
      </c>
      <c r="H84" s="2400">
        <v>2</v>
      </c>
      <c r="I84" s="2459"/>
      <c r="J84" s="2459"/>
      <c r="K84" s="2459"/>
      <c r="L84" s="2459"/>
      <c r="X84" s="2451"/>
      <c r="Y84" s="2451"/>
      <c r="Z84" s="2451"/>
    </row>
    <row r="85" spans="1:26" s="2424" customFormat="1" ht="13.5" thickBot="1">
      <c r="A85" s="2420" t="s">
        <v>1118</v>
      </c>
      <c r="B85" s="2427">
        <f t="shared" si="248"/>
        <v>103</v>
      </c>
      <c r="C85" s="2427">
        <f t="shared" si="248"/>
        <v>104</v>
      </c>
      <c r="D85" s="2427">
        <f t="shared" si="210"/>
        <v>104</v>
      </c>
      <c r="E85" s="2427">
        <f t="shared" si="249"/>
        <v>103.5</v>
      </c>
      <c r="F85" s="2427">
        <f t="shared" si="249"/>
        <v>100.5</v>
      </c>
      <c r="G85" s="3768">
        <v>2002</v>
      </c>
      <c r="H85" s="2465">
        <v>1</v>
      </c>
      <c r="I85" s="2466"/>
      <c r="J85" s="2466"/>
      <c r="K85" s="2466"/>
      <c r="L85" s="2466"/>
      <c r="N85" s="2467"/>
      <c r="S85" s="2467"/>
      <c r="X85" s="2468"/>
      <c r="Y85" s="2468"/>
      <c r="Z85" s="2468"/>
    </row>
    <row r="86" spans="1:26" ht="13.5"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5"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5"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25" defaultRowHeight="21.75" customHeight="1"/>
  <cols>
    <col min="1" max="2" width="12.625" style="1904"/>
    <col min="3" max="4" width="12.625" style="1904" customWidth="1"/>
    <col min="5" max="9" width="12.625" style="1904"/>
    <col min="10" max="11" width="12.625" style="731" customWidth="1"/>
    <col min="12" max="12" width="12.625" style="731"/>
    <col min="13" max="13" width="14.125" style="731" bestFit="1" customWidth="1"/>
    <col min="14" max="26" width="12.625" style="731"/>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810" t="str">
        <f>项目基本情况!S2</f>
        <v>北京市房地产</v>
      </c>
      <c r="B2" s="3811"/>
      <c r="C2" s="3811"/>
      <c r="D2" s="3811"/>
      <c r="E2" s="3811"/>
      <c r="F2" s="3811"/>
      <c r="G2" s="3811"/>
      <c r="H2" s="3811"/>
      <c r="I2" s="3812"/>
    </row>
    <row r="3" spans="1:12" ht="12.75">
      <c r="A3" s="3814" t="s">
        <v>1890</v>
      </c>
      <c r="B3" s="3815"/>
      <c r="C3" s="3815"/>
      <c r="D3" s="3815"/>
      <c r="E3" s="3815"/>
      <c r="F3" s="3815"/>
      <c r="G3" s="3815"/>
      <c r="H3" s="3815"/>
      <c r="I3" s="3815"/>
    </row>
    <row r="4" spans="1:12" ht="14.25">
      <c r="A4" s="1905" t="s">
        <v>1891</v>
      </c>
      <c r="B4" s="1906" t="s">
        <v>1892</v>
      </c>
      <c r="C4" s="1907"/>
      <c r="D4" s="1907"/>
      <c r="E4" s="3816" t="s">
        <v>1893</v>
      </c>
      <c r="F4" s="3817"/>
      <c r="G4" s="3817"/>
      <c r="H4" s="3817"/>
      <c r="I4" s="3818"/>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90" t="s">
        <v>1894</v>
      </c>
      <c r="B5" s="3663">
        <v>25</v>
      </c>
      <c r="C5" s="3793"/>
      <c r="D5" s="3813"/>
      <c r="E5" s="134" t="s">
        <v>1895</v>
      </c>
      <c r="F5" s="1908"/>
      <c r="G5" s="1908"/>
      <c r="H5" s="1908"/>
      <c r="I5" s="1522"/>
    </row>
    <row r="6" spans="1:12" ht="12.75">
      <c r="A6" s="3790"/>
      <c r="B6" s="3663"/>
      <c r="C6" s="3794"/>
      <c r="D6" s="3813"/>
      <c r="E6" s="134" t="s">
        <v>1896</v>
      </c>
      <c r="F6" s="1908"/>
      <c r="G6" s="1908"/>
      <c r="H6" s="1908"/>
      <c r="I6" s="1522"/>
    </row>
    <row r="7" spans="1:12" ht="12.75">
      <c r="A7" s="3790"/>
      <c r="B7" s="3663"/>
      <c r="C7" s="3795"/>
      <c r="D7" s="3813"/>
      <c r="E7" s="134" t="s">
        <v>1897</v>
      </c>
      <c r="F7" s="1908"/>
      <c r="G7" s="1908"/>
      <c r="H7" s="1908"/>
      <c r="I7" s="1522"/>
    </row>
    <row r="8" spans="1:12" ht="12.75">
      <c r="A8" s="3790" t="s">
        <v>1898</v>
      </c>
      <c r="B8" s="3663">
        <v>15</v>
      </c>
      <c r="C8" s="3793"/>
      <c r="D8" s="3813"/>
      <c r="E8" s="134" t="s">
        <v>1899</v>
      </c>
      <c r="F8" s="1908"/>
      <c r="G8" s="1908"/>
      <c r="H8" s="1908"/>
      <c r="I8" s="1522"/>
    </row>
    <row r="9" spans="1:12" ht="12.75">
      <c r="A9" s="3790"/>
      <c r="B9" s="3663"/>
      <c r="C9" s="3795"/>
      <c r="D9" s="3813"/>
      <c r="E9" s="134" t="s">
        <v>1900</v>
      </c>
      <c r="F9" s="1908"/>
      <c r="G9" s="1908"/>
      <c r="H9" s="1908"/>
      <c r="I9" s="1522"/>
    </row>
    <row r="10" spans="1:12" ht="12.75">
      <c r="A10" s="3790" t="s">
        <v>1901</v>
      </c>
      <c r="B10" s="3663">
        <v>15</v>
      </c>
      <c r="C10" s="3793"/>
      <c r="D10" s="3813"/>
      <c r="E10" s="134" t="s">
        <v>1902</v>
      </c>
      <c r="F10" s="1908"/>
      <c r="G10" s="1908"/>
      <c r="H10" s="1908"/>
      <c r="I10" s="1522"/>
    </row>
    <row r="11" spans="1:12" ht="12.75">
      <c r="A11" s="3790"/>
      <c r="B11" s="3663"/>
      <c r="C11" s="3795"/>
      <c r="D11" s="3813"/>
      <c r="E11" s="134" t="s">
        <v>1903</v>
      </c>
      <c r="F11" s="1908"/>
      <c r="G11" s="1908"/>
      <c r="H11" s="1908"/>
      <c r="I11" s="1522"/>
    </row>
    <row r="12" spans="1:12" ht="12.75">
      <c r="A12" s="3790" t="s">
        <v>1904</v>
      </c>
      <c r="B12" s="3663">
        <v>15</v>
      </c>
      <c r="C12" s="3793"/>
      <c r="D12" s="3813"/>
      <c r="E12" s="134" t="s">
        <v>1905</v>
      </c>
      <c r="F12" s="1908"/>
      <c r="G12" s="1908"/>
      <c r="H12" s="1908"/>
      <c r="I12" s="1522"/>
    </row>
    <row r="13" spans="1:12" ht="12.75">
      <c r="A13" s="3790"/>
      <c r="B13" s="3663"/>
      <c r="C13" s="3795"/>
      <c r="D13" s="3813"/>
      <c r="E13" s="134" t="s">
        <v>1906</v>
      </c>
      <c r="F13" s="1908"/>
      <c r="G13" s="1908"/>
      <c r="H13" s="1908"/>
      <c r="I13" s="1522"/>
    </row>
    <row r="14" spans="1:12" ht="12.75">
      <c r="A14" s="3790" t="s">
        <v>1907</v>
      </c>
      <c r="B14" s="3663">
        <v>30</v>
      </c>
      <c r="C14" s="3793"/>
      <c r="D14" s="3813"/>
      <c r="E14" s="134" t="s">
        <v>1908</v>
      </c>
      <c r="F14" s="1908"/>
      <c r="G14" s="1908"/>
      <c r="H14" s="1908"/>
      <c r="I14" s="1522"/>
    </row>
    <row r="15" spans="1:12" ht="12.75">
      <c r="A15" s="3790"/>
      <c r="B15" s="3663"/>
      <c r="C15" s="3794"/>
      <c r="D15" s="3813"/>
      <c r="E15" s="134" t="s">
        <v>1909</v>
      </c>
      <c r="F15" s="1908"/>
      <c r="G15" s="1908"/>
      <c r="H15" s="1908"/>
      <c r="I15" s="1522"/>
    </row>
    <row r="16" spans="1:12" ht="12.75">
      <c r="A16" s="3790"/>
      <c r="B16" s="3663"/>
      <c r="C16" s="3795"/>
      <c r="D16" s="3813"/>
      <c r="E16" s="134" t="s">
        <v>1910</v>
      </c>
      <c r="F16" s="1908"/>
      <c r="G16" s="1908"/>
      <c r="H16" s="1908"/>
      <c r="I16" s="1522"/>
    </row>
    <row r="17" spans="1:36" ht="15">
      <c r="A17" s="1909" t="s">
        <v>1911</v>
      </c>
      <c r="B17" s="60"/>
      <c r="C17" s="135">
        <f>SUM(C5:C16)</f>
        <v>0</v>
      </c>
      <c r="D17" s="135">
        <f>SUM(D5:D16)</f>
        <v>0</v>
      </c>
      <c r="E17" s="132"/>
      <c r="F17" s="132"/>
      <c r="G17" s="132"/>
      <c r="H17" s="132"/>
      <c r="I17" s="132"/>
      <c r="K17" s="306"/>
      <c r="L17" s="306" t="s">
        <v>1912</v>
      </c>
      <c r="M17" s="306" t="s">
        <v>1913</v>
      </c>
    </row>
    <row r="18" spans="1:36" ht="31.9" customHeight="1" thickBot="1">
      <c r="A18" s="1910" t="s">
        <v>1914</v>
      </c>
      <c r="B18" s="1911"/>
      <c r="C18" s="136" t="e">
        <f>ROUND(C17/SUM(C17:D17),2)</f>
        <v>#DIV/0!</v>
      </c>
      <c r="D18" s="136" t="e">
        <f>1-C18</f>
        <v>#DIV/0!</v>
      </c>
      <c r="E18" s="3800" t="s">
        <v>2811</v>
      </c>
      <c r="F18" s="3801"/>
      <c r="G18" s="3801"/>
      <c r="H18" s="3801"/>
      <c r="I18" s="3801"/>
      <c r="K18" s="306" t="s">
        <v>1915</v>
      </c>
      <c r="L18" s="306">
        <f>IF(C1="",'数据-汇总表'!E3,SUMIF(项目类型,C1,'数据-汇总表'!E17:E26)+SUMIF(项目类型,C1,'数据-汇总表'!I17:I26))</f>
        <v>63761.02</v>
      </c>
      <c r="M18" s="306">
        <f>IF(C1="",'数据-汇总表'!E3,SUMIF(项目类型,C1,'数据-汇总表'!E17:E26))</f>
        <v>63761.02</v>
      </c>
    </row>
    <row r="19" spans="1:36" ht="15">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25000</v>
      </c>
      <c r="M19" s="306">
        <f>IF(C1="",'数据-汇总表'!D3,SUMIF(项目类型,C1,'数据-汇总表'!D17:D26))</f>
        <v>25000</v>
      </c>
    </row>
    <row r="20" spans="1:36" ht="15">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5" thickBot="1">
      <c r="A23" s="1898"/>
      <c r="B23" s="1898"/>
      <c r="C23" s="1898"/>
      <c r="D23" s="1898"/>
      <c r="E23" s="132"/>
      <c r="F23" s="132"/>
      <c r="G23" s="132"/>
      <c r="H23" s="132"/>
      <c r="I23" s="132"/>
    </row>
    <row r="24" spans="1:36" ht="14.25">
      <c r="A24" s="3784" t="s">
        <v>1925</v>
      </c>
      <c r="B24" s="1913" t="s">
        <v>1917</v>
      </c>
      <c r="C24" s="139">
        <f>IF(B30=0,0,D30)</f>
        <v>0</v>
      </c>
      <c r="D24" s="1920"/>
      <c r="E24" s="132"/>
      <c r="F24" s="132"/>
      <c r="G24" s="132"/>
      <c r="H24" s="132"/>
      <c r="I24" s="132"/>
    </row>
    <row r="25" spans="1:36" ht="14.25">
      <c r="A25" s="3785"/>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4.25">
      <c r="A27" s="1922"/>
      <c r="B27" s="145">
        <v>0</v>
      </c>
      <c r="C27" s="145">
        <v>0</v>
      </c>
      <c r="D27" s="146">
        <f>ROUND(C27*B27/10000,0)</f>
        <v>0</v>
      </c>
      <c r="E27" s="132"/>
      <c r="F27" s="132"/>
      <c r="G27" s="132"/>
      <c r="H27" s="132"/>
      <c r="I27" s="132"/>
    </row>
    <row r="28" spans="1:36" ht="14.25">
      <c r="A28" s="1922"/>
      <c r="B28" s="145"/>
      <c r="C28" s="145"/>
      <c r="D28" s="146"/>
      <c r="E28" s="132"/>
      <c r="F28" s="132"/>
      <c r="G28" s="132"/>
      <c r="H28" s="132"/>
      <c r="I28" s="132"/>
    </row>
    <row r="29" spans="1:36" ht="14.25">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5"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6.5" thickTop="1" thickBot="1">
      <c r="A32" s="1924" t="s">
        <v>1931</v>
      </c>
      <c r="B32" s="1925"/>
      <c r="C32" s="147" t="e">
        <f ca="1">IF(D32="总价",G19-C24,G20-C25)</f>
        <v>#REF!</v>
      </c>
      <c r="D32" s="1926"/>
      <c r="E32" s="132"/>
      <c r="F32" s="132"/>
      <c r="G32" s="132"/>
      <c r="H32" s="132"/>
      <c r="I32" s="132"/>
    </row>
    <row r="33" spans="1:15" ht="15">
      <c r="A33" s="891" t="s">
        <v>1932</v>
      </c>
      <c r="B33" s="1927"/>
      <c r="C33" s="1928"/>
      <c r="D33" s="1929"/>
      <c r="E33" s="1930" t="s">
        <v>1933</v>
      </c>
      <c r="F33" s="1931" t="str">
        <f>IF(D32="楼面单价","取值（单价）","取值（总价）")</f>
        <v>取值（总价）</v>
      </c>
      <c r="G33" s="132"/>
      <c r="H33" s="132"/>
      <c r="I33" s="132"/>
    </row>
    <row r="34" spans="1:15" ht="15">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7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75" thickBot="1">
      <c r="A36" s="3804" t="s">
        <v>1938</v>
      </c>
      <c r="B36" s="1938" t="s">
        <v>1939</v>
      </c>
      <c r="C36" s="148"/>
      <c r="D36" s="1939"/>
      <c r="E36" s="1940"/>
      <c r="F36" s="1941"/>
      <c r="G36" s="132"/>
      <c r="H36" s="132"/>
      <c r="I36" s="132"/>
    </row>
    <row r="37" spans="1:15" ht="15.75" thickBot="1">
      <c r="A37" s="3805"/>
      <c r="B37" s="1825" t="s">
        <v>1940</v>
      </c>
      <c r="C37" s="150"/>
      <c r="D37" s="1268"/>
      <c r="E37" s="1268"/>
      <c r="F37" s="1941"/>
      <c r="G37" s="132"/>
      <c r="H37" s="132"/>
      <c r="I37" s="132"/>
    </row>
    <row r="38" spans="1:15" ht="15.75" thickBot="1">
      <c r="A38" s="3806"/>
      <c r="B38" s="1942" t="s">
        <v>1941</v>
      </c>
      <c r="C38" s="680"/>
      <c r="D38" s="1943" t="s">
        <v>1942</v>
      </c>
      <c r="E38" s="1268"/>
      <c r="F38" s="1941"/>
      <c r="G38" s="132"/>
      <c r="H38" s="132"/>
      <c r="I38" s="132"/>
    </row>
    <row r="39" spans="1:15" ht="15">
      <c r="A39" s="1915" t="s">
        <v>1943</v>
      </c>
      <c r="B39" s="1944" t="s">
        <v>1944</v>
      </c>
      <c r="C39" s="1945" t="s">
        <v>1945</v>
      </c>
      <c r="D39" s="1945" t="s">
        <v>1946</v>
      </c>
      <c r="E39" s="1946" t="s">
        <v>1947</v>
      </c>
      <c r="F39" s="1941"/>
      <c r="G39" s="132"/>
      <c r="H39" s="132"/>
      <c r="I39" s="132"/>
    </row>
    <row r="40" spans="1:15" ht="14.25">
      <c r="A40" s="1947" t="s">
        <v>1948</v>
      </c>
      <c r="B40" s="152"/>
      <c r="C40" s="153"/>
      <c r="D40" s="153"/>
      <c r="E40" s="154"/>
      <c r="F40" s="1941"/>
      <c r="G40" s="132"/>
      <c r="H40" s="132"/>
      <c r="I40" s="132"/>
    </row>
    <row r="41" spans="1:15" ht="14.25">
      <c r="A41" s="1947" t="s">
        <v>1949</v>
      </c>
      <c r="B41" s="152"/>
      <c r="C41" s="153"/>
      <c r="D41" s="153"/>
      <c r="E41" s="154"/>
      <c r="F41" s="1941"/>
      <c r="G41" s="132"/>
      <c r="H41" s="132"/>
      <c r="I41" s="132"/>
    </row>
    <row r="42" spans="1:15" ht="15" thickBot="1">
      <c r="A42" s="1948"/>
      <c r="B42" s="155"/>
      <c r="C42" s="156"/>
      <c r="D42" s="156"/>
      <c r="E42" s="157"/>
      <c r="F42" s="1941"/>
      <c r="G42" s="132"/>
      <c r="H42" s="132"/>
      <c r="I42" s="132"/>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781" t="s">
        <v>1952</v>
      </c>
      <c r="B45" s="3782"/>
      <c r="C45" s="3783"/>
      <c r="D45" s="158" t="e">
        <f ca="1">ROUND(H101*F45,0)</f>
        <v>#REF!</v>
      </c>
      <c r="E45" s="159" t="s">
        <v>1953</v>
      </c>
      <c r="F45" s="160">
        <v>1</v>
      </c>
      <c r="G45" s="161" t="s">
        <v>1954</v>
      </c>
      <c r="H45" s="132"/>
      <c r="I45" s="132"/>
      <c r="J45" s="3862" t="s">
        <v>1955</v>
      </c>
      <c r="K45" s="3862"/>
      <c r="L45" s="3862"/>
      <c r="M45" s="3862"/>
      <c r="N45" s="3862"/>
      <c r="O45" s="3862"/>
    </row>
    <row r="46" spans="1:15" ht="14.25" customHeight="1">
      <c r="A46" s="3778" t="s">
        <v>1956</v>
      </c>
      <c r="B46" s="3779"/>
      <c r="C46" s="3779"/>
      <c r="D46" s="3779"/>
      <c r="E46" s="3779"/>
      <c r="F46" s="3779"/>
      <c r="G46" s="3780"/>
      <c r="H46" s="1957"/>
      <c r="I46" s="162"/>
      <c r="J46" s="2712">
        <v>1</v>
      </c>
      <c r="K46" s="3843" t="s">
        <v>1957</v>
      </c>
      <c r="L46" s="3843"/>
      <c r="M46" s="3863"/>
      <c r="N46" s="3863"/>
      <c r="O46" s="3863"/>
    </row>
    <row r="47" spans="1:15" ht="12" customHeight="1">
      <c r="A47" s="163" t="s">
        <v>1958</v>
      </c>
      <c r="B47" s="164"/>
      <c r="C47" s="165"/>
      <c r="D47" s="1214" t="s">
        <v>1959</v>
      </c>
      <c r="E47" s="306" t="s">
        <v>1960</v>
      </c>
      <c r="F47" s="166" t="s">
        <v>1961</v>
      </c>
      <c r="G47" s="2735" t="s">
        <v>1962</v>
      </c>
      <c r="H47" s="2736"/>
      <c r="I47" s="162"/>
      <c r="J47" s="2712">
        <v>2</v>
      </c>
      <c r="K47" s="3843" t="s">
        <v>1963</v>
      </c>
      <c r="L47" s="3843"/>
      <c r="M47" s="3864">
        <f>'数据-取费表'!B2</f>
        <v>44617</v>
      </c>
      <c r="N47" s="3864"/>
      <c r="O47" s="3864"/>
    </row>
    <row r="48" spans="1:15" ht="25.5">
      <c r="A48" s="3809" t="s">
        <v>1964</v>
      </c>
      <c r="B48" s="3792"/>
      <c r="C48" s="3792"/>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843" t="s">
        <v>1966</v>
      </c>
      <c r="L48" s="3843"/>
      <c r="M48" s="3865" t="e">
        <f ca="1">H101</f>
        <v>#REF!</v>
      </c>
      <c r="N48" s="3865"/>
      <c r="O48" s="3865"/>
    </row>
    <row r="49" spans="1:35" ht="25.5" customHeight="1">
      <c r="A49" s="2520" t="s">
        <v>1967</v>
      </c>
      <c r="B49" s="3777" t="s">
        <v>1968</v>
      </c>
      <c r="C49" s="3777"/>
      <c r="D49" s="1740">
        <v>0</v>
      </c>
      <c r="E49" s="328" t="s">
        <v>1969</v>
      </c>
      <c r="F49" s="2613" t="s">
        <v>34</v>
      </c>
      <c r="G49" s="3849"/>
      <c r="H49" s="2492" t="s">
        <v>2814</v>
      </c>
      <c r="I49" s="2493"/>
      <c r="J49" s="2712">
        <v>4</v>
      </c>
      <c r="K49" s="3843" t="str">
        <f>IF(项目基本情况!E8="房地产抵押价值","房地产抵押价值","抵押担保权已注销时的房地产抵押价值")</f>
        <v>抵押担保权已注销时的房地产抵押价值</v>
      </c>
      <c r="L49" s="3843"/>
      <c r="M49" s="3865" t="str">
        <f>IF(项目基本情况!E8="房地产抵押价值",H107,H109)</f>
        <v>——</v>
      </c>
      <c r="N49" s="3865"/>
      <c r="O49" s="3865"/>
    </row>
    <row r="50" spans="1:35" ht="25.5" customHeight="1">
      <c r="A50" s="2740"/>
      <c r="B50" s="3777" t="s">
        <v>1970</v>
      </c>
      <c r="C50" s="3777"/>
      <c r="D50" s="2741"/>
      <c r="E50" s="336"/>
      <c r="F50" s="2613"/>
      <c r="G50" s="3850"/>
      <c r="H50" s="2494" t="s">
        <v>2815</v>
      </c>
      <c r="I50" s="2493"/>
      <c r="J50" s="3862" t="s">
        <v>1971</v>
      </c>
      <c r="K50" s="3862"/>
      <c r="L50" s="3862"/>
      <c r="M50" s="3862"/>
      <c r="N50" s="3862"/>
      <c r="O50" s="3862"/>
    </row>
    <row r="51" spans="1:35" ht="20.45" customHeight="1">
      <c r="A51" s="2742"/>
      <c r="B51" s="3777" t="s">
        <v>1972</v>
      </c>
      <c r="C51" s="3777"/>
      <c r="D51" s="1214"/>
      <c r="E51" s="331"/>
      <c r="F51" s="2613"/>
      <c r="G51" s="3851"/>
      <c r="H51" s="2494" t="s">
        <v>2816</v>
      </c>
      <c r="I51" s="2493"/>
      <c r="J51" s="2713" t="s">
        <v>1973</v>
      </c>
      <c r="K51" s="3843" t="s">
        <v>1974</v>
      </c>
      <c r="L51" s="3843"/>
      <c r="M51" s="2713" t="s">
        <v>1975</v>
      </c>
      <c r="N51" s="2713" t="s">
        <v>1976</v>
      </c>
      <c r="O51" s="2713" t="s">
        <v>1977</v>
      </c>
    </row>
    <row r="52" spans="1:35" ht="24" customHeight="1">
      <c r="A52" s="2522" t="s">
        <v>1978</v>
      </c>
      <c r="B52" s="3777" t="s">
        <v>1979</v>
      </c>
      <c r="C52" s="3777"/>
      <c r="D52" s="1214" t="e">
        <f ca="1">ROUND(D45*'数据-取费表'!B41/(1+'数据-取费表'!C42),0)</f>
        <v>#REF!</v>
      </c>
      <c r="E52" s="2521" t="s">
        <v>1980</v>
      </c>
      <c r="F52" s="2743">
        <f>'数据-取费表'!B41</f>
        <v>0</v>
      </c>
      <c r="G52" s="2744"/>
      <c r="H52" s="2733"/>
      <c r="I52" s="1958"/>
      <c r="J52" s="2712">
        <v>1</v>
      </c>
      <c r="K52" s="3844" t="s">
        <v>1981</v>
      </c>
      <c r="L52" s="3844"/>
      <c r="M52" s="2714" t="b">
        <f>D48</f>
        <v>0</v>
      </c>
      <c r="N52" s="2712" t="str">
        <f>E48</f>
        <v>销售额×税（费）率</v>
      </c>
      <c r="O52" s="2715">
        <f>F48</f>
        <v>0</v>
      </c>
    </row>
    <row r="53" spans="1:35" ht="12" customHeight="1">
      <c r="A53" s="2522" t="s">
        <v>1982</v>
      </c>
      <c r="B53" s="3802" t="s">
        <v>2975</v>
      </c>
      <c r="C53" s="3803"/>
      <c r="D53" s="1214" t="e">
        <f ca="1">ROUND(D45*'数据-取费表'!B41/(1+'数据-取费表'!C42),0)</f>
        <v>#REF!</v>
      </c>
      <c r="E53" s="2521" t="s">
        <v>1980</v>
      </c>
      <c r="F53" s="2743">
        <f>'数据-取费表'!B41</f>
        <v>0</v>
      </c>
      <c r="G53" s="2744"/>
      <c r="H53" s="2733"/>
      <c r="I53" s="1958"/>
      <c r="J53" s="2712">
        <v>2</v>
      </c>
      <c r="K53" s="3844" t="s">
        <v>1983</v>
      </c>
      <c r="L53" s="3844"/>
      <c r="M53" s="2714" t="e">
        <f t="shared" ref="M53:O54" ca="1" si="0">D55</f>
        <v>#REF!</v>
      </c>
      <c r="N53" s="2712" t="str">
        <f t="shared" si="0"/>
        <v>销售额×税（费）率</v>
      </c>
      <c r="O53" s="2715" t="str">
        <f t="shared" si="0"/>
        <v>免征</v>
      </c>
    </row>
    <row r="54" spans="1:35" ht="12" customHeight="1">
      <c r="A54" s="2522" t="s">
        <v>1984</v>
      </c>
      <c r="B54" s="3802" t="s">
        <v>2976</v>
      </c>
      <c r="C54" s="3803"/>
      <c r="D54" s="1214" t="e">
        <f ca="1">C68</f>
        <v>#REF!</v>
      </c>
      <c r="E54" s="331" t="s">
        <v>1985</v>
      </c>
      <c r="F54" s="2743">
        <f>'数据-取费表'!B41</f>
        <v>0</v>
      </c>
      <c r="G54" s="2744"/>
      <c r="H54" s="2745"/>
      <c r="I54" s="1958"/>
      <c r="J54" s="2712">
        <v>3</v>
      </c>
      <c r="K54" s="3844" t="s">
        <v>1986</v>
      </c>
      <c r="L54" s="3844"/>
      <c r="M54" s="2714" t="e">
        <f t="shared" ca="1" si="0"/>
        <v>#REF!</v>
      </c>
      <c r="N54" s="2712" t="str">
        <f t="shared" si="0"/>
        <v>增值额×税（费）率</v>
      </c>
      <c r="O54" s="2716" t="str">
        <f t="shared" si="0"/>
        <v>免征</v>
      </c>
    </row>
    <row r="55" spans="1:35" ht="24" customHeight="1">
      <c r="A55" s="3791" t="s">
        <v>1987</v>
      </c>
      <c r="B55" s="3792"/>
      <c r="C55" s="3792"/>
      <c r="D55" s="2511" t="e">
        <f ca="1">IF(H55="个人住宅",0,ROUND(D45*I55,0))</f>
        <v>#REF!</v>
      </c>
      <c r="E55" s="2521" t="s">
        <v>1988</v>
      </c>
      <c r="F55" s="2743" t="str">
        <f>IF(H55="正常",I55,"免征")</f>
        <v>免征</v>
      </c>
      <c r="G55" s="2744"/>
      <c r="H55" s="2739"/>
      <c r="I55" s="168">
        <f>'数据-取费表'!B49</f>
        <v>5.0000000000000001E-4</v>
      </c>
      <c r="J55" s="2712">
        <f>IF(H59="非个人房产","",4)</f>
        <v>4</v>
      </c>
      <c r="K55" s="3844" t="str">
        <f>IF(H59="非个人房产","——","个人所得税")</f>
        <v>个人所得税</v>
      </c>
      <c r="L55" s="3844"/>
      <c r="M55" s="2717" t="e">
        <f ca="1">D59</f>
        <v>#REF!</v>
      </c>
      <c r="N55" s="2193" t="str">
        <f>E59</f>
        <v>差额计税</v>
      </c>
      <c r="O55" s="2718">
        <f>F59</f>
        <v>0.01</v>
      </c>
    </row>
    <row r="56" spans="1:35" ht="24.75">
      <c r="A56" s="3791" t="s">
        <v>1989</v>
      </c>
      <c r="B56" s="3792"/>
      <c r="C56" s="3792"/>
      <c r="D56" s="2511" t="e">
        <f ca="1">IF(H56="个人住宅",D57,D58)</f>
        <v>#REF!</v>
      </c>
      <c r="E56" s="2521" t="s">
        <v>1990</v>
      </c>
      <c r="F56" s="2743" t="str">
        <f>IF(H56="正常",F58,"免征")</f>
        <v>免征</v>
      </c>
      <c r="G56" s="2746" t="s">
        <v>1991</v>
      </c>
      <c r="H56" s="2747"/>
      <c r="I56" s="1959"/>
      <c r="J56" s="2712" t="str">
        <f>IF(项目基本情况!K6="上海银行",IF(J55="",4,J55+1),"")</f>
        <v/>
      </c>
      <c r="K56" s="3867" t="str">
        <f>IF(项目基本情况!K6="上海银行","其他处置费用","")</f>
        <v/>
      </c>
      <c r="L56" s="3868"/>
      <c r="M56" s="2714" t="str">
        <f>IF(项目基本情况!K6="上海银行",M69,"")</f>
        <v/>
      </c>
      <c r="N56" s="3867" t="str">
        <f>IF(项目基本情况!K6="上海银行","包含处置中涉及的律师、诉讼、拍卖、评估等费用","")</f>
        <v/>
      </c>
      <c r="O56" s="3870"/>
    </row>
    <row r="57" spans="1:35" ht="12.75">
      <c r="A57" s="2522" t="s">
        <v>1967</v>
      </c>
      <c r="B57" s="3802" t="s">
        <v>1992</v>
      </c>
      <c r="C57" s="3803"/>
      <c r="D57" s="1740">
        <v>0</v>
      </c>
      <c r="E57" s="328" t="s">
        <v>1969</v>
      </c>
      <c r="F57" s="306"/>
      <c r="G57" s="2744"/>
      <c r="H57" s="2748"/>
      <c r="I57" s="1959"/>
      <c r="J57" s="3844">
        <f>IF(AND(J55="",J56=""),4,IF(项目基本情况!K6="上海银行",结果表!J56+1,结果表!J55+1))</f>
        <v>5</v>
      </c>
      <c r="K57" s="3844" t="s">
        <v>1993</v>
      </c>
      <c r="L57" s="2719" t="s">
        <v>1994</v>
      </c>
      <c r="M57" s="2720"/>
      <c r="N57" s="2721">
        <f ca="1">SUMIF(M52:M56,"&lt;9e307")</f>
        <v>0</v>
      </c>
      <c r="O57" s="2722"/>
      <c r="P57" s="2882" t="e">
        <f ca="1">N57/M49</f>
        <v>#VALUE!</v>
      </c>
    </row>
    <row r="58" spans="1:35" ht="24.75">
      <c r="A58" s="2522" t="s">
        <v>1978</v>
      </c>
      <c r="B58" s="3802" t="s">
        <v>1995</v>
      </c>
      <c r="C58" s="3777"/>
      <c r="D58" s="2511" t="e">
        <f ca="1">IF(H58="转让取得",C81,C97)</f>
        <v>#REF!</v>
      </c>
      <c r="E58" s="2521" t="s">
        <v>1990</v>
      </c>
      <c r="F58" s="306" t="s">
        <v>34</v>
      </c>
      <c r="G58" s="2744"/>
      <c r="H58" s="2747"/>
      <c r="I58" s="1959"/>
      <c r="J58" s="3844"/>
      <c r="K58" s="3844"/>
      <c r="L58" s="2719" t="s">
        <v>1996</v>
      </c>
      <c r="M58" s="2723"/>
      <c r="N58" s="2724" t="str">
        <f ca="1">NUMBERSTRING(INT(N57*10000),2)&amp;"元整"</f>
        <v>零元整</v>
      </c>
      <c r="O58" s="2725"/>
    </row>
    <row r="59" spans="1:35" ht="24.75" thickBot="1">
      <c r="A59" s="3847" t="s">
        <v>1997</v>
      </c>
      <c r="B59" s="3848"/>
      <c r="C59" s="3848"/>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845">
        <f>J57+1</f>
        <v>6</v>
      </c>
      <c r="K59" s="3844" t="s">
        <v>1998</v>
      </c>
      <c r="L59" s="2712" t="s">
        <v>1994</v>
      </c>
      <c r="M59" s="2726"/>
      <c r="N59" s="2727" t="e">
        <f ca="1">M49-N57</f>
        <v>#VALUE!</v>
      </c>
      <c r="O59" s="2728"/>
    </row>
    <row r="60" spans="1:35" ht="12" customHeight="1">
      <c r="A60" s="1960"/>
      <c r="B60" s="1898"/>
      <c r="C60" s="1898"/>
      <c r="D60" s="1898"/>
      <c r="E60" s="1728"/>
      <c r="F60" s="1959"/>
      <c r="G60" s="1959"/>
      <c r="H60" s="1961"/>
      <c r="I60" s="132"/>
      <c r="J60" s="3846"/>
      <c r="K60" s="3844"/>
      <c r="L60" s="2719" t="s">
        <v>1996</v>
      </c>
      <c r="M60" s="2723"/>
      <c r="N60" s="2724" t="e">
        <f ca="1">NUMBERSTRING(INT(N59*10000),2)&amp;"元整"</f>
        <v>#VALUE!</v>
      </c>
      <c r="O60" s="2725"/>
    </row>
    <row r="61" spans="1:35" ht="13.5" thickBot="1">
      <c r="A61" s="3789" t="s">
        <v>1999</v>
      </c>
      <c r="B61" s="3789"/>
      <c r="C61" s="3789"/>
      <c r="D61" s="3789"/>
      <c r="E61" s="3789"/>
      <c r="F61" s="1959"/>
      <c r="G61" s="1959"/>
      <c r="H61" s="1961"/>
      <c r="I61" s="132"/>
      <c r="J61" s="2712">
        <f>J59+1</f>
        <v>7</v>
      </c>
      <c r="K61" s="3844" t="s">
        <v>2000</v>
      </c>
      <c r="L61" s="3844"/>
      <c r="M61" s="2729"/>
      <c r="N61" s="2730" t="e">
        <f ca="1">ROUND(N59*10000/'数据-汇总表'!E3,0)</f>
        <v>#VALUE!</v>
      </c>
      <c r="O61" s="2731"/>
    </row>
    <row r="62" spans="1:35" ht="12.75">
      <c r="A62" s="3807" t="s">
        <v>2001</v>
      </c>
      <c r="B62" s="3808"/>
      <c r="C62" s="2174"/>
      <c r="D62" s="2174" t="s">
        <v>2002</v>
      </c>
      <c r="E62" s="169" t="s">
        <v>2003</v>
      </c>
      <c r="F62" s="1959"/>
      <c r="G62" s="1959"/>
      <c r="H62" s="1961"/>
      <c r="I62" s="132"/>
    </row>
    <row r="63" spans="1:35" ht="12.75">
      <c r="A63" s="176" t="s">
        <v>775</v>
      </c>
      <c r="B63" s="170" t="s">
        <v>2004</v>
      </c>
      <c r="C63" s="2753" t="e">
        <f ca="1">ROUND((C64+C65)/(1+'数据-取费表'!C42),0)</f>
        <v>#REF!</v>
      </c>
      <c r="D63" s="170"/>
      <c r="E63" s="171"/>
      <c r="F63" s="1959"/>
      <c r="G63" s="1959"/>
      <c r="H63" s="1961"/>
      <c r="I63" s="132"/>
      <c r="J63" s="3869"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869"/>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869"/>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869"/>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869"/>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869"/>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869"/>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5" thickBot="1">
      <c r="A70" s="3828" t="s">
        <v>2020</v>
      </c>
      <c r="B70" s="3829"/>
      <c r="C70" s="3829"/>
      <c r="D70" s="3829"/>
      <c r="E70" s="3829"/>
      <c r="F70" s="3829"/>
      <c r="G70" s="3829"/>
      <c r="H70" s="3829"/>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807" t="s">
        <v>2001</v>
      </c>
      <c r="B71" s="3808"/>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802" t="s">
        <v>2028</v>
      </c>
      <c r="F76" s="3777"/>
      <c r="G76" s="3777"/>
      <c r="H76" s="3827"/>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786" t="s">
        <v>2032</v>
      </c>
      <c r="F78" s="3787"/>
      <c r="G78" s="3787"/>
      <c r="H78" s="3796"/>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828" t="s">
        <v>2036</v>
      </c>
      <c r="B83" s="3829"/>
      <c r="C83" s="3829"/>
      <c r="D83" s="3829"/>
      <c r="E83" s="3829"/>
      <c r="F83" s="3829"/>
      <c r="G83" s="3829"/>
      <c r="H83" s="3829"/>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807" t="s">
        <v>2001</v>
      </c>
      <c r="B84" s="3808"/>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2" t="s">
        <v>771</v>
      </c>
      <c r="B90" s="173" t="s">
        <v>2042</v>
      </c>
      <c r="C90" s="2771"/>
      <c r="D90" s="2766"/>
      <c r="E90" s="197" t="str">
        <f>IF(H88="-","土地取得成本中已包含该笔费用"," ")</f>
        <v xml:space="preserve"> </v>
      </c>
      <c r="F90" s="2514"/>
      <c r="G90" s="3871" t="s">
        <v>2809</v>
      </c>
      <c r="H90" s="3872"/>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786" t="s">
        <v>2045</v>
      </c>
      <c r="F91" s="3787"/>
      <c r="G91" s="3787"/>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786" t="s">
        <v>2048</v>
      </c>
      <c r="F92" s="3787"/>
      <c r="G92" s="3787"/>
      <c r="H92" s="3796"/>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786" t="s">
        <v>2032</v>
      </c>
      <c r="F93" s="3787"/>
      <c r="G93" s="3787"/>
      <c r="H93" s="3796"/>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797" t="s">
        <v>2052</v>
      </c>
      <c r="F94" s="3798"/>
      <c r="G94" s="3798"/>
      <c r="H94" s="3799"/>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544" t="s">
        <v>2054</v>
      </c>
      <c r="B100" s="3545"/>
      <c r="C100" s="3545"/>
      <c r="D100" s="3788"/>
      <c r="E100" s="3545" t="s">
        <v>2055</v>
      </c>
      <c r="F100" s="3545"/>
      <c r="G100" s="3545"/>
      <c r="H100" s="3788"/>
      <c r="I100" s="132"/>
    </row>
    <row r="101" spans="1:35" ht="18.75" customHeight="1">
      <c r="A101" s="3852" t="s">
        <v>2056</v>
      </c>
      <c r="B101" s="3853"/>
      <c r="C101" s="2774">
        <f>C4</f>
        <v>0</v>
      </c>
      <c r="D101" s="2775">
        <f>D4</f>
        <v>0</v>
      </c>
      <c r="E101" s="3866" t="s">
        <v>2057</v>
      </c>
      <c r="F101" s="3820"/>
      <c r="G101" s="1978" t="s">
        <v>2058</v>
      </c>
      <c r="H101" s="2784" t="e">
        <f ca="1">H118</f>
        <v>#REF!</v>
      </c>
      <c r="I101" s="132"/>
    </row>
    <row r="102" spans="1:35" ht="18.75" customHeight="1">
      <c r="A102" s="3822" t="s">
        <v>2059</v>
      </c>
      <c r="B102" s="2773" t="s">
        <v>2058</v>
      </c>
      <c r="C102" s="2774" t="e">
        <f ca="1">C19</f>
        <v>#REF!</v>
      </c>
      <c r="D102" s="2775" t="e">
        <f ca="1">D19</f>
        <v>#REF!</v>
      </c>
      <c r="E102" s="3866"/>
      <c r="F102" s="3820"/>
      <c r="G102" s="1978" t="s">
        <v>2060</v>
      </c>
      <c r="H102" s="2744" t="e">
        <f ca="1">I118</f>
        <v>#REF!</v>
      </c>
      <c r="I102" s="132"/>
    </row>
    <row r="103" spans="1:35" ht="42.75" customHeight="1">
      <c r="A103" s="3822"/>
      <c r="B103" s="2773" t="s">
        <v>2060</v>
      </c>
      <c r="C103" s="2776" t="e">
        <f ca="1">C20</f>
        <v>#REF!</v>
      </c>
      <c r="D103" s="2777" t="e">
        <f ca="1">D20</f>
        <v>#REF!</v>
      </c>
      <c r="E103" s="3860" t="s">
        <v>2061</v>
      </c>
      <c r="F103" s="3861"/>
      <c r="G103" s="1979" t="s">
        <v>2062</v>
      </c>
      <c r="H103" s="2784">
        <f>IF(D36="正常操作",H104+H105+H106,H105+H106)</f>
        <v>0</v>
      </c>
      <c r="I103" s="132"/>
    </row>
    <row r="104" spans="1:35" ht="18.75" customHeight="1">
      <c r="A104" s="3822"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823"/>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819" t="str">
        <f>IF(项目基本情况!E8="已注销","——","3.房地产抵押价值")</f>
        <v>3.房地产抵押价值</v>
      </c>
      <c r="F107" s="3820"/>
      <c r="G107" s="1978" t="s">
        <v>2058</v>
      </c>
      <c r="H107" s="2784" t="e">
        <f ca="1">IF(E107="——","——",H101-H103)</f>
        <v>#REF!</v>
      </c>
      <c r="I107" s="132"/>
    </row>
    <row r="108" spans="1:35" ht="18.75" customHeight="1">
      <c r="A108" s="132"/>
      <c r="B108" s="132"/>
      <c r="C108" s="132"/>
      <c r="D108" s="132"/>
      <c r="E108" s="3819"/>
      <c r="F108" s="3820"/>
      <c r="G108" s="1978" t="s">
        <v>2060</v>
      </c>
      <c r="H108" s="2744" t="e">
        <f ca="1">ROUND(H107*10000/'数据-汇总表'!E3,0)</f>
        <v>#REF!</v>
      </c>
      <c r="I108" s="132"/>
    </row>
    <row r="109" spans="1:35" ht="18.75" customHeight="1">
      <c r="A109" s="132"/>
      <c r="B109" s="132"/>
      <c r="C109" s="132"/>
      <c r="D109" s="132"/>
      <c r="E109" s="3819" t="str">
        <f>IF(项目基本情况!E8="已注销及未注销","4.抵押担保权已注销时的房地产抵押价值",IF(项目基本情况!E8="已注销","3.抵押担保权已注销时的房地产抵押价值","——"))</f>
        <v>——</v>
      </c>
      <c r="F109" s="3820"/>
      <c r="G109" s="1978" t="s">
        <v>2058</v>
      </c>
      <c r="H109" s="2787" t="str">
        <f>IF(E109="——","——",H101-H105-H106)</f>
        <v>——</v>
      </c>
      <c r="I109" s="132"/>
    </row>
    <row r="110" spans="1:35" ht="18.75" customHeight="1">
      <c r="A110" s="132"/>
      <c r="B110" s="132"/>
      <c r="C110" s="132"/>
      <c r="D110" s="132"/>
      <c r="E110" s="3819"/>
      <c r="F110" s="3820"/>
      <c r="G110" s="1978" t="s">
        <v>2060</v>
      </c>
      <c r="H110" s="2744" t="str">
        <f>IF(H109="——","——",ROUND(H109*10000/'数据-汇总表'!E3,0))</f>
        <v>——</v>
      </c>
      <c r="I110" s="132"/>
    </row>
    <row r="111" spans="1:35" ht="18.75" customHeight="1">
      <c r="A111" s="132"/>
      <c r="B111" s="132"/>
      <c r="C111" s="132"/>
      <c r="D111" s="132"/>
      <c r="E111" s="3854" t="str">
        <f>IF(项目基本情况!E9="抵押净值",IF(OR(项目基本情况!E8="已注销",项目基本情况!E8="房地产抵押价值"),"4.抵押净值","5.抵押净值"),"——")</f>
        <v>——</v>
      </c>
      <c r="F111" s="3821"/>
      <c r="G111" s="1978" t="s">
        <v>2058</v>
      </c>
      <c r="H111" s="2784" t="str">
        <f>IF(E111="——","——",N59)</f>
        <v>——</v>
      </c>
      <c r="I111" s="132"/>
    </row>
    <row r="112" spans="1:35" ht="18.75" customHeight="1" thickBot="1">
      <c r="A112" s="132"/>
      <c r="B112" s="132"/>
      <c r="C112" s="132"/>
      <c r="D112" s="132"/>
      <c r="E112" s="3855"/>
      <c r="F112" s="3856"/>
      <c r="G112" s="1981" t="s">
        <v>2060</v>
      </c>
      <c r="H112" s="2788" t="str">
        <f>IF(E111="——","——",N61)</f>
        <v>——</v>
      </c>
      <c r="I112" s="132"/>
    </row>
    <row r="113" spans="1:27" ht="18.75" customHeight="1">
      <c r="A113" s="132"/>
      <c r="B113" s="132"/>
      <c r="C113" s="132"/>
      <c r="D113" s="132"/>
      <c r="E113" s="3824" t="s">
        <v>2066</v>
      </c>
      <c r="F113" s="3824"/>
      <c r="G113" s="3824"/>
      <c r="H113" s="3824"/>
      <c r="I113" s="132"/>
    </row>
    <row r="114" spans="1:27" ht="3.75" customHeight="1">
      <c r="A114" s="1898"/>
      <c r="B114" s="1898"/>
      <c r="C114" s="1898"/>
      <c r="D114" s="1898"/>
      <c r="E114" s="1960"/>
      <c r="F114" s="1960"/>
      <c r="G114" s="1960"/>
      <c r="H114" s="1960"/>
      <c r="I114" s="1898"/>
    </row>
    <row r="115" spans="1:27" ht="18.75" customHeight="1">
      <c r="A115" s="3837" t="s">
        <v>2068</v>
      </c>
      <c r="B115" s="3838"/>
      <c r="C115" s="3838"/>
      <c r="D115" s="3838"/>
      <c r="E115" s="3838"/>
      <c r="F115" s="3838"/>
      <c r="G115" s="3838"/>
      <c r="H115" s="3838"/>
      <c r="I115" s="3839"/>
    </row>
    <row r="116" spans="1:27" ht="27" customHeight="1">
      <c r="A116" s="3790" t="s">
        <v>2069</v>
      </c>
      <c r="B116" s="3825" t="s">
        <v>2070</v>
      </c>
      <c r="C116" s="3825" t="s">
        <v>2071</v>
      </c>
      <c r="D116" s="3841" t="s">
        <v>2072</v>
      </c>
      <c r="E116" s="3842"/>
      <c r="F116" s="3833" t="s">
        <v>2073</v>
      </c>
      <c r="G116" s="3833"/>
      <c r="H116" s="3790" t="s">
        <v>2074</v>
      </c>
      <c r="I116" s="3790"/>
    </row>
    <row r="117" spans="1:27" ht="18.75" customHeight="1">
      <c r="A117" s="3790"/>
      <c r="B117" s="3826"/>
      <c r="C117" s="3826"/>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63761.02</v>
      </c>
      <c r="C118" s="2516">
        <f>M19</f>
        <v>25000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790" t="s">
        <v>2078</v>
      </c>
      <c r="B119" s="3790"/>
      <c r="C119" s="3790"/>
      <c r="D119" s="3830" t="e">
        <f ca="1">NUMBERSTRING(INT(D118*10000),2)&amp;"元整"</f>
        <v>#REF!</v>
      </c>
      <c r="E119" s="3832"/>
      <c r="F119" s="3830" t="e">
        <f ca="1">NUMBERSTRING(INT(F118*10000),2)&amp;"元整"</f>
        <v>#REF!</v>
      </c>
      <c r="G119" s="3832"/>
      <c r="H119" s="3830" t="e">
        <f ca="1">NUMBERSTRING(INT(H118*10000),2)&amp;"元整"</f>
        <v>#REF!</v>
      </c>
      <c r="I119" s="3832"/>
    </row>
    <row r="120" spans="1:27" ht="18.75" customHeight="1">
      <c r="A120" s="3857" t="str">
        <f>IF(项目基本情况!B9="房地产市场价值","",MID(E103,3,LEN(E103)-2))</f>
        <v/>
      </c>
      <c r="B120" s="3858"/>
      <c r="C120" s="3859"/>
      <c r="D120" s="3857">
        <f>H103</f>
        <v>0</v>
      </c>
      <c r="E120" s="3858"/>
      <c r="F120" s="3858"/>
      <c r="G120" s="3858"/>
      <c r="H120" s="3858"/>
      <c r="I120" s="3859"/>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834" t="s">
        <v>2078</v>
      </c>
      <c r="B121" s="3835"/>
      <c r="C121" s="3836"/>
      <c r="D121" s="3830" t="str">
        <f>IF(D120=0,"零元整",NUMBERSTRING(INT(D120*10000),2)&amp;"元整")</f>
        <v>零元整</v>
      </c>
      <c r="E121" s="3831"/>
      <c r="F121" s="3831"/>
      <c r="G121" s="3831"/>
      <c r="H121" s="3831"/>
      <c r="I121" s="3832"/>
      <c r="AA121" s="731"/>
    </row>
    <row r="122" spans="1:27" ht="18.75" customHeight="1">
      <c r="A122" s="3821" t="str">
        <f>IF(项目基本情况!B9="房地产市场价值","",MID(E107,3,LEN(E107)-2))</f>
        <v/>
      </c>
      <c r="B122" s="3821"/>
      <c r="C122" s="3821"/>
      <c r="D122" s="3857" t="e">
        <f ca="1">H107</f>
        <v>#REF!</v>
      </c>
      <c r="E122" s="3858"/>
      <c r="F122" s="3858"/>
      <c r="G122" s="3858"/>
      <c r="H122" s="3858"/>
      <c r="I122" s="3859"/>
      <c r="AA122" s="731"/>
    </row>
    <row r="123" spans="1:27" ht="18.75" customHeight="1">
      <c r="A123" s="3790" t="s">
        <v>2078</v>
      </c>
      <c r="B123" s="3790"/>
      <c r="C123" s="3790"/>
      <c r="D123" s="3830" t="e">
        <f ca="1">NUMBERSTRING(INT(D122*10000),2)&amp;"元整"</f>
        <v>#REF!</v>
      </c>
      <c r="E123" s="3831"/>
      <c r="F123" s="3831"/>
      <c r="G123" s="3831"/>
      <c r="H123" s="3831"/>
      <c r="I123" s="3832"/>
      <c r="AA123" s="731"/>
    </row>
    <row r="124" spans="1:27" ht="18.75" customHeight="1">
      <c r="A124" s="3821" t="str">
        <f>IF(项目基本情况!B9="房地产市场价值","",MID(E109,3,LEN(E109)-2))</f>
        <v/>
      </c>
      <c r="B124" s="3821"/>
      <c r="C124" s="3821"/>
      <c r="D124" s="3857" t="str">
        <f>H109</f>
        <v>——</v>
      </c>
      <c r="E124" s="3858"/>
      <c r="F124" s="3858"/>
      <c r="G124" s="3858"/>
      <c r="H124" s="3858"/>
      <c r="I124" s="3859"/>
      <c r="AA124" s="731"/>
    </row>
    <row r="125" spans="1:27" ht="18.75" customHeight="1">
      <c r="A125" s="3790" t="s">
        <v>2078</v>
      </c>
      <c r="B125" s="3790"/>
      <c r="C125" s="3790"/>
      <c r="D125" s="3830" t="e">
        <f>NUMBERSTRING(INT(D124*10000),2)&amp;"元整"</f>
        <v>#VALUE!</v>
      </c>
      <c r="E125" s="3831"/>
      <c r="F125" s="3831"/>
      <c r="G125" s="3831"/>
      <c r="H125" s="3831"/>
      <c r="I125" s="3832"/>
      <c r="AA125" s="731"/>
    </row>
    <row r="126" spans="1:27" ht="18.75" customHeight="1">
      <c r="A126" s="3821" t="str">
        <f>IF(项目基本情况!B9="房地产市场价值","",MID(E111,3,LEN(E111)-2))</f>
        <v/>
      </c>
      <c r="B126" s="3821"/>
      <c r="C126" s="3821"/>
      <c r="D126" s="3857" t="str">
        <f>H111</f>
        <v>——</v>
      </c>
      <c r="E126" s="3858"/>
      <c r="F126" s="3858"/>
      <c r="G126" s="3858"/>
      <c r="H126" s="3858"/>
      <c r="I126" s="3859"/>
      <c r="AA126" s="731"/>
    </row>
    <row r="127" spans="1:27" ht="18.75" customHeight="1">
      <c r="A127" s="3790" t="s">
        <v>2078</v>
      </c>
      <c r="B127" s="3790"/>
      <c r="C127" s="3790"/>
      <c r="D127" s="3830" t="e">
        <f>NUMBERSTRING(INT(D126*10000),2)&amp;"元整"</f>
        <v>#VALUE!</v>
      </c>
      <c r="E127" s="3831"/>
      <c r="F127" s="3831"/>
      <c r="G127" s="3831"/>
      <c r="H127" s="3831"/>
      <c r="I127" s="3832"/>
      <c r="AA127" s="731"/>
    </row>
    <row r="128" spans="1:27" ht="21.75" customHeight="1">
      <c r="A128" s="3840" t="s">
        <v>2079</v>
      </c>
      <c r="B128" s="3840"/>
      <c r="C128" s="3840"/>
      <c r="D128" s="3840"/>
      <c r="E128" s="3840"/>
      <c r="F128" s="3840"/>
      <c r="G128" s="3840"/>
      <c r="H128" s="3840"/>
      <c r="I128" s="3840"/>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F00-000000000000}">
      <formula1>估价方法</formula1>
    </dataValidation>
    <dataValidation type="list" allowBlank="1" showInputMessage="1" showErrorMessage="1" sqref="H55:H56" xr:uid="{00000000-0002-0000-2F00-000001000000}">
      <formula1>"个人住宅,正常"</formula1>
    </dataValidation>
    <dataValidation type="list" allowBlank="1" showInputMessage="1" showErrorMessage="1" sqref="H48" xr:uid="{00000000-0002-0000-2F00-000002000000}">
      <formula1>"情况1,情况2,情况3,情况4"</formula1>
    </dataValidation>
    <dataValidation type="list" allowBlank="1" showInputMessage="1" showErrorMessage="1" sqref="H58" xr:uid="{00000000-0002-0000-2F00-000003000000}">
      <formula1>"转让取得,自行开发建设"</formula1>
    </dataValidation>
    <dataValidation type="list" allowBlank="1" showInputMessage="1" showErrorMessage="1" sqref="D32" xr:uid="{00000000-0002-0000-2F00-000004000000}">
      <formula1>"总价,楼面单价"</formula1>
    </dataValidation>
    <dataValidation type="list" allowBlank="1" showInputMessage="1" showErrorMessage="1" sqref="F45" xr:uid="{00000000-0002-0000-2F00-000005000000}">
      <formula1>"100%,80%,60%,64%"</formula1>
    </dataValidation>
    <dataValidation type="list" allowBlank="1" showInputMessage="1" showErrorMessage="1" sqref="C33" xr:uid="{00000000-0002-0000-2F00-000006000000}">
      <formula1>"成本比率,收益比率,自定义"</formula1>
    </dataValidation>
    <dataValidation type="list" allowBlank="1" showInputMessage="1" showErrorMessage="1" sqref="H91" xr:uid="{00000000-0002-0000-2F00-000007000000}">
      <formula1>"企业提供（在右侧录入）,——"</formula1>
    </dataValidation>
    <dataValidation type="list" allowBlank="1" showInputMessage="1" showErrorMessage="1" sqref="H88" xr:uid="{00000000-0002-0000-2F00-000008000000}">
      <formula1>"仅含出让金,出让金+开发费"</formula1>
    </dataValidation>
    <dataValidation type="list" allowBlank="1" showInputMessage="1" showErrorMessage="1" sqref="F75" xr:uid="{00000000-0002-0000-2F00-000009000000}">
      <formula1>"买卖合同,购房发票"</formula1>
    </dataValidation>
    <dataValidation type="list" allowBlank="1" showInputMessage="1" showErrorMessage="1" sqref="D36" xr:uid="{00000000-0002-0000-2F00-00000A000000}">
      <formula1>"同一抵押权人同一抵押物续贷,注销后放款,正常操作"</formula1>
    </dataValidation>
    <dataValidation type="list" allowBlank="1" showInputMessage="1" showErrorMessage="1" sqref="B116:B117" xr:uid="{00000000-0002-0000-2F00-00000B000000}">
      <formula1>"建筑面积,规划建筑面积,（规划）建筑面积"</formula1>
    </dataValidation>
    <dataValidation type="list" allowBlank="1" showInputMessage="1" showErrorMessage="1" sqref="C116:C117" xr:uid="{00000000-0002-0000-2F00-00000C000000}">
      <formula1>"土地面积,分摊土地面积,（分摊）土地面积"</formula1>
    </dataValidation>
    <dataValidation type="list" allowBlank="1" showInputMessage="1" showErrorMessage="1" sqref="D116:E116" xr:uid="{00000000-0002-0000-2F00-00000D000000}">
      <formula1>"出让国有建设用地使用权价值,划拨国有建设用地使用权价值"</formula1>
    </dataValidation>
    <dataValidation type="list" allowBlank="1" showInputMessage="1" showErrorMessage="1" sqref="F116:G116" xr:uid="{00000000-0002-0000-2F00-00000E000000}">
      <formula1>"建筑物价值,在建建筑物价值,建筑物/在建建筑物价值"</formula1>
    </dataValidation>
    <dataValidation type="list" allowBlank="1" showInputMessage="1" showErrorMessage="1" sqref="C129" xr:uid="{00000000-0002-0000-2F00-00000F000000}">
      <formula1>"无,有"</formula1>
    </dataValidation>
    <dataValidation type="list" showInputMessage="1" showErrorMessage="1" sqref="G1" xr:uid="{00000000-0002-0000-2F00-000010000000}">
      <formula1>"现房,在建,土地,-"</formula1>
    </dataValidation>
    <dataValidation type="list" allowBlank="1" showInputMessage="1" showErrorMessage="1" sqref="I1" xr:uid="{00000000-0002-0000-2F00-000011000000}">
      <formula1>"项目局部,项目全部,——"</formula1>
    </dataValidation>
    <dataValidation type="list" allowBlank="1" showInputMessage="1" showErrorMessage="1" sqref="C1" xr:uid="{00000000-0002-0000-2F00-000012000000}">
      <formula1>项目类型</formula1>
    </dataValidation>
    <dataValidation type="list" allowBlank="1" showInputMessage="1" showErrorMessage="1" sqref="G77" xr:uid="{00000000-0002-0000-2F00-000013000000}">
      <formula1>"个人住宅,2016年5月1日前购买,2016年5月1日后购买"</formula1>
    </dataValidation>
    <dataValidation type="list" allowBlank="1" showInputMessage="1" showErrorMessage="1" sqref="E103" xr:uid="{00000000-0002-0000-2F00-000014000000}">
      <formula1>"2.估价师知悉的法定优先受偿款,2.估价师知悉的除抵押担保权以外的法定优先受偿款"</formula1>
    </dataValidation>
    <dataValidation type="list" allowBlank="1" showInputMessage="1" showErrorMessage="1" sqref="H59" xr:uid="{00000000-0002-0000-2F00-000015000000}">
      <formula1>"非个人房产,个人住宅（满五唯一有凭证）,个人其他（有凭证）,个人其他（无凭证）"</formula1>
    </dataValidation>
    <dataValidation type="list" allowBlank="1" showInputMessage="1" showErrorMessage="1" sqref="D92" xr:uid="{00000000-0002-0000-2F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47461.850000000006</v>
      </c>
      <c r="C1" s="2878"/>
      <c r="D1" s="2878"/>
      <c r="E1" s="2878"/>
      <c r="F1" s="2878"/>
      <c r="G1" s="2879"/>
      <c r="H1" s="2880"/>
      <c r="I1" s="2880"/>
      <c r="J1" s="2880"/>
      <c r="K1" s="2880"/>
    </row>
    <row r="2" spans="1:11" ht="16.5">
      <c r="A2" s="2701" t="s">
        <v>1259</v>
      </c>
      <c r="B2" s="2701">
        <f>SUM(C14:C23)</f>
        <v>18734.726999999999</v>
      </c>
      <c r="C2" s="2878"/>
      <c r="D2" s="2878"/>
      <c r="E2" s="2878"/>
      <c r="F2" s="2878"/>
      <c r="G2" s="2879"/>
      <c r="H2" s="2880"/>
      <c r="I2" s="2880"/>
      <c r="J2" s="2880"/>
      <c r="K2" s="2880"/>
    </row>
    <row r="3" spans="1:11" ht="16.5">
      <c r="A3" s="2701" t="s">
        <v>1268</v>
      </c>
      <c r="B3" s="2703">
        <f>项目基本情况!D3</f>
        <v>44617</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67511</v>
      </c>
      <c r="C5" s="2701">
        <f ca="1">ROUND(B5*10000/$B$1,0)</f>
        <v>14224</v>
      </c>
      <c r="D5" s="2701">
        <f ca="1">ROUND(B5*10000/$B$2,0)</f>
        <v>36035</v>
      </c>
      <c r="E5" s="2878"/>
      <c r="F5" s="2879"/>
      <c r="G5" s="2879"/>
      <c r="H5" s="2880"/>
      <c r="I5" s="2880"/>
      <c r="J5" s="2880"/>
      <c r="K5" s="2880"/>
    </row>
    <row r="6" spans="1:11" ht="16.5">
      <c r="A6" s="2701" t="s">
        <v>1262</v>
      </c>
      <c r="B6" s="2701" t="e">
        <f ca="1">SUM(G14:G23)</f>
        <v>#REF!</v>
      </c>
      <c r="C6" s="2701" t="e">
        <f ca="1">ROUND(B6*10000/$B$1,0)</f>
        <v>#REF!</v>
      </c>
      <c r="D6" s="2701" t="e">
        <f ca="1">ROUND(B6*10000/$B$2,0)</f>
        <v>#REF!</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'数据-汇总表'!E19</f>
        <v>47461.850000000006</v>
      </c>
      <c r="C14" s="2707">
        <f>面积表!F1</f>
        <v>18734.726999999999</v>
      </c>
      <c r="D14" s="2707">
        <f ca="1">成本法!B2</f>
        <v>67511</v>
      </c>
      <c r="E14" s="2707">
        <f ca="1">ROUND(D14*10000/B14,0)</f>
        <v>14224</v>
      </c>
      <c r="F14" s="2707">
        <f ca="1">ROUND(D14*10000/C14,0)</f>
        <v>36035</v>
      </c>
      <c r="G14" s="2707" t="e">
        <f ca="1">结果表!D122</f>
        <v>#REF!</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6.5">
      <c r="A16" s="2706" t="s">
        <v>1254</v>
      </c>
      <c r="B16" s="2708"/>
      <c r="C16" s="2708"/>
      <c r="D16" s="2708"/>
      <c r="E16" s="2707" t="e">
        <f t="shared" si="0"/>
        <v>#DIV/0!</v>
      </c>
      <c r="F16" s="2707" t="e">
        <f t="shared" si="1"/>
        <v>#DIV/0!</v>
      </c>
      <c r="G16" s="1466"/>
      <c r="H16" s="1466"/>
      <c r="I16" s="2708"/>
      <c r="J16" s="2880"/>
      <c r="K16" s="2880"/>
    </row>
    <row r="17" spans="1:11" ht="16.5">
      <c r="A17" s="2706" t="s">
        <v>1253</v>
      </c>
      <c r="B17" s="2708"/>
      <c r="C17" s="2708"/>
      <c r="D17" s="2708"/>
      <c r="E17" s="2707" t="e">
        <f t="shared" si="0"/>
        <v>#DIV/0!</v>
      </c>
      <c r="F17" s="2707" t="e">
        <f t="shared" si="1"/>
        <v>#DIV/0!</v>
      </c>
      <c r="G17" s="1466"/>
      <c r="H17" s="1466"/>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1546</v>
      </c>
      <c r="B2" s="3479" t="s">
        <v>1547</v>
      </c>
      <c r="C2" s="3479" t="s">
        <v>1548</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3"/>
      <c r="B3" s="3473"/>
      <c r="C3" s="3473"/>
      <c r="D3" s="960" t="s">
        <v>1543</v>
      </c>
      <c r="E3" s="960" t="s">
        <v>1549</v>
      </c>
      <c r="F3" s="960" t="s">
        <v>1543</v>
      </c>
      <c r="G3" s="960" t="s">
        <v>1544</v>
      </c>
      <c r="H3" s="960" t="s">
        <v>1543</v>
      </c>
      <c r="I3" s="960" t="s">
        <v>1544</v>
      </c>
    </row>
    <row r="4" spans="1:9" ht="15">
      <c r="A4" s="1655" t="str">
        <f>项目基本情况!S2</f>
        <v>北京市房地产</v>
      </c>
      <c r="B4" s="960">
        <f>项目基本情况!C17</f>
        <v>63761.02</v>
      </c>
      <c r="C4" s="960">
        <f>项目基本情况!C18</f>
        <v>25000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473" t="s">
        <v>1545</v>
      </c>
      <c r="B5" s="3473"/>
      <c r="C5" s="3473"/>
      <c r="D5" s="3474" t="e">
        <f ca="1">结果表!D119</f>
        <v>#REF!</v>
      </c>
      <c r="E5" s="3474"/>
      <c r="F5" s="3474" t="e">
        <f ca="1">结果表!F119</f>
        <v>#REF!</v>
      </c>
      <c r="G5" s="3474"/>
      <c r="H5" s="3474" t="e">
        <f ca="1">结果表!H119</f>
        <v>#REF!</v>
      </c>
      <c r="I5" s="3474"/>
    </row>
    <row r="6" spans="1:9" ht="15.75">
      <c r="A6" s="3472" t="str">
        <f>结果表!A120</f>
        <v/>
      </c>
      <c r="B6" s="3472"/>
      <c r="C6" s="3472"/>
      <c r="D6" s="3472">
        <f>结果表!D120</f>
        <v>0</v>
      </c>
      <c r="E6" s="3472"/>
      <c r="F6" s="3472"/>
      <c r="G6" s="3472"/>
      <c r="H6" s="3472"/>
      <c r="I6" s="3472"/>
    </row>
    <row r="7" spans="1:9" ht="15">
      <c r="A7" s="3473" t="s">
        <v>1545</v>
      </c>
      <c r="B7" s="3473"/>
      <c r="C7" s="3473"/>
      <c r="D7" s="3475" t="str">
        <f>结果表!D121</f>
        <v>零元整</v>
      </c>
      <c r="E7" s="3476"/>
      <c r="F7" s="3476"/>
      <c r="G7" s="3476"/>
      <c r="H7" s="3476"/>
      <c r="I7" s="3477"/>
    </row>
    <row r="8" spans="1:9" ht="15.75">
      <c r="A8" s="3472" t="str">
        <f>结果表!A122</f>
        <v/>
      </c>
      <c r="B8" s="3472"/>
      <c r="C8" s="3472"/>
      <c r="D8" s="3472" t="e">
        <f ca="1">结果表!D122</f>
        <v>#REF!</v>
      </c>
      <c r="E8" s="3472"/>
      <c r="F8" s="3472"/>
      <c r="G8" s="3472"/>
      <c r="H8" s="3472"/>
      <c r="I8" s="3472"/>
    </row>
    <row r="9" spans="1:9" ht="15">
      <c r="A9" s="3473" t="s">
        <v>1545</v>
      </c>
      <c r="B9" s="3473"/>
      <c r="C9" s="3473"/>
      <c r="D9" s="3474" t="e">
        <f ca="1">结果表!D123</f>
        <v>#REF!</v>
      </c>
      <c r="E9" s="3474"/>
      <c r="F9" s="3474"/>
      <c r="G9" s="3474"/>
      <c r="H9" s="3474"/>
      <c r="I9" s="3474"/>
    </row>
    <row r="10" spans="1:9" ht="15.75">
      <c r="A10" s="3472" t="str">
        <f>结果表!A124</f>
        <v/>
      </c>
      <c r="B10" s="3472"/>
      <c r="C10" s="3472"/>
      <c r="D10" s="3472" t="str">
        <f>结果表!D124</f>
        <v>——</v>
      </c>
      <c r="E10" s="3472"/>
      <c r="F10" s="3472"/>
      <c r="G10" s="3472"/>
      <c r="H10" s="3472"/>
      <c r="I10" s="3472"/>
    </row>
    <row r="11" spans="1:9" ht="15">
      <c r="A11" s="3473" t="s">
        <v>1545</v>
      </c>
      <c r="B11" s="3473"/>
      <c r="C11" s="3473"/>
      <c r="D11" s="3474" t="e">
        <f>结果表!D125</f>
        <v>#VALUE!</v>
      </c>
      <c r="E11" s="3474"/>
      <c r="F11" s="3474"/>
      <c r="G11" s="3474"/>
      <c r="H11" s="3474"/>
      <c r="I11" s="3474"/>
    </row>
    <row r="12" spans="1:9" ht="15.75">
      <c r="A12" s="3472" t="str">
        <f>结果表!A126</f>
        <v/>
      </c>
      <c r="B12" s="3472"/>
      <c r="C12" s="3472"/>
      <c r="D12" s="3472" t="str">
        <f>结果表!D126</f>
        <v>——</v>
      </c>
      <c r="E12" s="3472"/>
      <c r="F12" s="3472"/>
      <c r="G12" s="3472"/>
      <c r="H12" s="3472"/>
      <c r="I12" s="3472"/>
    </row>
    <row r="13" spans="1:9" ht="15.75" thickBot="1">
      <c r="A13" s="3469" t="s">
        <v>1545</v>
      </c>
      <c r="B13" s="3469"/>
      <c r="C13" s="3469"/>
      <c r="D13" s="3470" t="e">
        <f>结果表!D127</f>
        <v>#VALUE!</v>
      </c>
      <c r="E13" s="3470"/>
      <c r="F13" s="3470"/>
      <c r="G13" s="3470"/>
      <c r="H13" s="3470"/>
      <c r="I13" s="3470"/>
    </row>
    <row r="14" spans="1:9" ht="15" thickTop="1">
      <c r="A14" s="3471" t="s">
        <v>1550</v>
      </c>
      <c r="B14" s="3471"/>
      <c r="C14" s="3471"/>
      <c r="D14" s="3471"/>
      <c r="E14" s="3471"/>
      <c r="F14" s="3471"/>
      <c r="G14" s="3471"/>
      <c r="H14" s="3471"/>
      <c r="I14" s="3471"/>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RowHeight="13.5"/>
  <sheetData>
    <row r="1" spans="1:28">
      <c r="A1" s="3873" t="s">
        <v>3443</v>
      </c>
      <c r="B1" s="3873"/>
      <c r="C1" s="3873"/>
      <c r="D1" s="3873"/>
      <c r="E1" s="3874"/>
      <c r="F1" s="3874"/>
      <c r="G1" s="3874"/>
      <c r="H1" s="3874"/>
      <c r="I1" s="3874"/>
      <c r="J1" s="3874"/>
      <c r="K1" s="3874"/>
      <c r="L1" s="3874"/>
      <c r="M1" s="3874"/>
      <c r="N1" s="3874"/>
      <c r="O1" s="3874"/>
      <c r="P1" s="3874"/>
      <c r="Q1" s="3874"/>
      <c r="R1" s="3874"/>
      <c r="S1" s="3874"/>
      <c r="T1" s="3874"/>
      <c r="U1" s="3874"/>
      <c r="V1" s="3874"/>
      <c r="W1" s="3874"/>
      <c r="X1" s="3875" t="s">
        <v>3444</v>
      </c>
      <c r="Y1" s="3875"/>
      <c r="Z1" s="3875"/>
      <c r="AA1" s="3876"/>
      <c r="AB1" s="3358"/>
    </row>
    <row r="2" spans="1:28">
      <c r="A2" s="3877" t="s">
        <v>3445</v>
      </c>
      <c r="B2" s="3877"/>
      <c r="C2" s="3877"/>
      <c r="D2" s="3877"/>
      <c r="E2" s="3878" t="s">
        <v>3446</v>
      </c>
      <c r="F2" s="3879"/>
      <c r="G2" s="3879"/>
      <c r="H2" s="3879"/>
      <c r="I2" s="3879"/>
      <c r="J2" s="3878" t="s">
        <v>3447</v>
      </c>
      <c r="K2" s="3880" t="s">
        <v>3448</v>
      </c>
      <c r="L2" s="3881"/>
      <c r="M2" s="3881"/>
      <c r="N2" s="3881"/>
      <c r="O2" s="3881"/>
      <c r="P2" s="3882" t="s">
        <v>3449</v>
      </c>
      <c r="Q2" s="3883"/>
      <c r="R2" s="3883"/>
      <c r="S2" s="3883"/>
      <c r="T2" s="3883"/>
      <c r="U2" s="3883"/>
      <c r="V2" s="3883"/>
      <c r="W2" s="3883"/>
      <c r="X2" s="3884" t="s">
        <v>3450</v>
      </c>
      <c r="Y2" s="3884" t="s">
        <v>3451</v>
      </c>
      <c r="Z2" s="3884" t="s">
        <v>3452</v>
      </c>
      <c r="AA2" s="3885" t="s">
        <v>3453</v>
      </c>
      <c r="AB2" s="3358"/>
    </row>
    <row r="3" spans="1:28">
      <c r="A3" s="3877" t="s">
        <v>3341</v>
      </c>
      <c r="B3" s="3877" t="s">
        <v>3454</v>
      </c>
      <c r="C3" s="3877" t="s">
        <v>3455</v>
      </c>
      <c r="D3" s="3877" t="s">
        <v>3456</v>
      </c>
      <c r="E3" s="3878" t="s">
        <v>3457</v>
      </c>
      <c r="F3" s="3879"/>
      <c r="G3" s="3879"/>
      <c r="H3" s="3878" t="s">
        <v>3458</v>
      </c>
      <c r="I3" s="3878" t="s">
        <v>3459</v>
      </c>
      <c r="J3" s="3879"/>
      <c r="K3" s="3880" t="s">
        <v>37</v>
      </c>
      <c r="L3" s="3880" t="s">
        <v>3460</v>
      </c>
      <c r="M3" s="3880" t="s">
        <v>3461</v>
      </c>
      <c r="N3" s="3880" t="s">
        <v>3462</v>
      </c>
      <c r="O3" s="3880" t="s">
        <v>3463</v>
      </c>
      <c r="P3" s="3882" t="s">
        <v>3459</v>
      </c>
      <c r="Q3" s="3882" t="s">
        <v>3464</v>
      </c>
      <c r="R3" s="3883"/>
      <c r="S3" s="3883"/>
      <c r="T3" s="3883"/>
      <c r="U3" s="3882" t="s">
        <v>3465</v>
      </c>
      <c r="V3" s="3883"/>
      <c r="W3" s="3883"/>
      <c r="X3" s="3884"/>
      <c r="Y3" s="3884"/>
      <c r="Z3" s="3884"/>
      <c r="AA3" s="3885"/>
      <c r="AB3" s="3358"/>
    </row>
    <row r="4" spans="1:28">
      <c r="A4" s="3877"/>
      <c r="B4" s="3877"/>
      <c r="C4" s="3877"/>
      <c r="D4" s="3877"/>
      <c r="E4" s="3359" t="s">
        <v>40</v>
      </c>
      <c r="F4" s="3359" t="s">
        <v>3466</v>
      </c>
      <c r="G4" s="3359" t="s">
        <v>3467</v>
      </c>
      <c r="H4" s="3879"/>
      <c r="I4" s="3879"/>
      <c r="J4" s="3879"/>
      <c r="K4" s="3881"/>
      <c r="L4" s="3881"/>
      <c r="M4" s="3881"/>
      <c r="N4" s="3881"/>
      <c r="O4" s="3881"/>
      <c r="P4" s="3883"/>
      <c r="Q4" s="3360" t="s">
        <v>40</v>
      </c>
      <c r="R4" s="3360" t="s">
        <v>3468</v>
      </c>
      <c r="S4" s="3360" t="s">
        <v>3469</v>
      </c>
      <c r="T4" s="3360" t="s">
        <v>3470</v>
      </c>
      <c r="U4" s="3360" t="s">
        <v>40</v>
      </c>
      <c r="V4" s="3360" t="s">
        <v>3471</v>
      </c>
      <c r="W4" s="3360" t="s">
        <v>3470</v>
      </c>
      <c r="X4" s="3884"/>
      <c r="Y4" s="3884"/>
      <c r="Z4" s="3884"/>
      <c r="AA4" s="3885"/>
      <c r="AB4" s="3358"/>
    </row>
    <row r="5" spans="1:28" ht="24">
      <c r="A5" s="3361">
        <v>2</v>
      </c>
      <c r="B5" s="3361" t="s">
        <v>3472</v>
      </c>
      <c r="C5" s="3361" t="s">
        <v>3473</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36">
      <c r="A6" s="3361">
        <v>8</v>
      </c>
      <c r="B6" s="3361" t="s">
        <v>3472</v>
      </c>
      <c r="C6" s="3361" t="s">
        <v>3474</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48">
      <c r="A7" s="3366">
        <v>14</v>
      </c>
      <c r="B7" s="3367" t="s">
        <v>3472</v>
      </c>
      <c r="C7" s="3366" t="s">
        <v>3475</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84">
      <c r="A8" s="3376">
        <v>15</v>
      </c>
      <c r="B8" s="3377" t="s">
        <v>3472</v>
      </c>
      <c r="C8" s="3377" t="s">
        <v>3476</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3289</v>
      </c>
      <c r="C9" s="3366" t="s">
        <v>3477</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48">
      <c r="A10" s="3366">
        <v>42</v>
      </c>
      <c r="B10" s="3366" t="s">
        <v>3289</v>
      </c>
      <c r="C10" s="3366" t="s">
        <v>3478</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36">
      <c r="A11" s="3376">
        <v>43</v>
      </c>
      <c r="B11" s="3376" t="s">
        <v>3289</v>
      </c>
      <c r="C11" s="3376" t="s">
        <v>3479</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3289</v>
      </c>
      <c r="C12" s="3376" t="s">
        <v>3480</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08">
      <c r="A13" s="3366">
        <v>49</v>
      </c>
      <c r="B13" s="3371" t="s">
        <v>3481</v>
      </c>
      <c r="C13" s="3371" t="s">
        <v>3482</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32">
      <c r="A14" s="3366">
        <v>50</v>
      </c>
      <c r="B14" s="3373" t="s">
        <v>3481</v>
      </c>
      <c r="C14" s="3373" t="s">
        <v>3338</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08">
      <c r="A15" s="3366">
        <v>51</v>
      </c>
      <c r="B15" s="3373" t="s">
        <v>3481</v>
      </c>
      <c r="C15" s="3371" t="s">
        <v>3483</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3289</v>
      </c>
      <c r="C16" s="3366" t="s">
        <v>3484</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M3:M4"/>
    <mergeCell ref="N3:N4"/>
    <mergeCell ref="O3:O4"/>
    <mergeCell ref="P3:P4"/>
    <mergeCell ref="Q3:T3"/>
    <mergeCell ref="E3:G3"/>
    <mergeCell ref="H3:H4"/>
    <mergeCell ref="I3:I4"/>
    <mergeCell ref="K3:K4"/>
    <mergeCell ref="L3:L4"/>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s>
  <phoneticPr fontId="140"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486" t="s">
        <v>1567</v>
      </c>
      <c r="B1" s="3486"/>
      <c r="C1" s="3486"/>
      <c r="D1" s="3486"/>
    </row>
    <row r="2" spans="1:4" ht="18">
      <c r="A2" s="3487" t="s">
        <v>1551</v>
      </c>
      <c r="B2" s="3487"/>
      <c r="C2" s="3487"/>
      <c r="D2" s="3487"/>
    </row>
    <row r="3" spans="1:4" ht="18.75">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1119970111</v>
      </c>
      <c r="C5" s="1664"/>
      <c r="D5" s="1663" t="s">
        <v>1556</v>
      </c>
    </row>
    <row r="6" spans="1:4" ht="18">
      <c r="A6" s="3487" t="s">
        <v>1557</v>
      </c>
      <c r="B6" s="3487"/>
      <c r="C6" s="3487"/>
      <c r="D6" s="3487"/>
    </row>
    <row r="7" spans="1:4" ht="18.75">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8.75">
      <c r="A10" s="1666" t="s">
        <v>1559</v>
      </c>
      <c r="B10" s="681"/>
      <c r="C10" s="681"/>
      <c r="D10" s="681"/>
    </row>
    <row r="11" spans="1:4" ht="30" customHeight="1">
      <c r="A11" s="3488" t="s">
        <v>1560</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1561</v>
      </c>
      <c r="B16" s="3482"/>
      <c r="C16" s="3482"/>
      <c r="D16" s="3482"/>
    </row>
    <row r="17" spans="1:4" ht="144" customHeight="1">
      <c r="A17" s="3482" t="s">
        <v>1562</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1563</v>
      </c>
      <c r="B22" s="3484"/>
      <c r="C22" s="3484"/>
      <c r="D22" s="3484"/>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494" t="s">
        <v>1574</v>
      </c>
      <c r="B15" s="3489" t="s">
        <v>136</v>
      </c>
      <c r="C15" s="3490"/>
    </row>
    <row r="16" spans="1:7" ht="13.5">
      <c r="A16" s="3495"/>
      <c r="B16" s="3489" t="s">
        <v>69</v>
      </c>
      <c r="C16" s="3490"/>
    </row>
    <row r="17" spans="1:3" ht="13.5">
      <c r="A17" s="3495"/>
      <c r="B17" s="3492" t="s">
        <v>1575</v>
      </c>
      <c r="C17" s="1682" t="s">
        <v>1574</v>
      </c>
    </row>
    <row r="18" spans="1:3" ht="13.5">
      <c r="A18" s="3495"/>
      <c r="B18" s="3492"/>
      <c r="C18" s="1682" t="s">
        <v>1576</v>
      </c>
    </row>
    <row r="19" spans="1:3" ht="13.5">
      <c r="A19" s="3495"/>
      <c r="B19" s="3492"/>
      <c r="C19" s="1682" t="s">
        <v>1577</v>
      </c>
    </row>
    <row r="20" spans="1:3" ht="13.5">
      <c r="A20" s="3496"/>
      <c r="B20" s="3491" t="s">
        <v>1578</v>
      </c>
      <c r="C20" s="3490"/>
    </row>
    <row r="21" spans="1:3" ht="13.5">
      <c r="A21" s="1683" t="s">
        <v>1579</v>
      </c>
      <c r="B21" s="1684"/>
      <c r="C21" s="1685"/>
    </row>
    <row r="22" spans="1:3" ht="13.5">
      <c r="A22" s="3493" t="s">
        <v>1580</v>
      </c>
      <c r="B22" s="3491" t="s">
        <v>1581</v>
      </c>
      <c r="C22" s="3490"/>
    </row>
    <row r="23" spans="1:3" ht="13.5">
      <c r="A23" s="3493"/>
      <c r="B23" s="3491" t="s">
        <v>1582</v>
      </c>
      <c r="C23" s="3490"/>
    </row>
    <row r="24" spans="1:3" ht="13.5">
      <c r="A24" s="3493"/>
      <c r="B24" s="3491" t="s">
        <v>1583</v>
      </c>
      <c r="C24" s="3490"/>
    </row>
    <row r="25" spans="1:3" ht="13.5">
      <c r="A25" s="3493"/>
      <c r="B25" s="3492" t="s">
        <v>1584</v>
      </c>
      <c r="C25" s="1682" t="s">
        <v>1585</v>
      </c>
    </row>
    <row r="26" spans="1:3" ht="13.5">
      <c r="A26" s="3493"/>
      <c r="B26" s="3492"/>
      <c r="C26" s="1682" t="s">
        <v>1586</v>
      </c>
    </row>
    <row r="27" spans="1:3" ht="13.5">
      <c r="A27" s="3493"/>
      <c r="B27" s="3492"/>
      <c r="C27" s="1682" t="s">
        <v>1587</v>
      </c>
    </row>
    <row r="28" spans="1:3" ht="13.5">
      <c r="A28" s="3493"/>
      <c r="B28" s="3492"/>
      <c r="C28" s="1682" t="s">
        <v>1588</v>
      </c>
    </row>
    <row r="29" spans="1:3" ht="13.5">
      <c r="A29" s="3493"/>
      <c r="B29" s="3492"/>
      <c r="C29" s="1682" t="s">
        <v>1589</v>
      </c>
    </row>
    <row r="30" spans="1:3" ht="13.5">
      <c r="A30" s="3493"/>
      <c r="B30" s="3492"/>
      <c r="C30" s="1682" t="s">
        <v>1590</v>
      </c>
    </row>
    <row r="31" spans="1:3" ht="13.5">
      <c r="A31" s="3493"/>
      <c r="B31" s="3492"/>
      <c r="C31" s="1682" t="s">
        <v>1591</v>
      </c>
    </row>
    <row r="32" spans="1:3" ht="13.5">
      <c r="A32" s="3493"/>
      <c r="B32" s="3492"/>
      <c r="C32" s="1682" t="s">
        <v>1592</v>
      </c>
    </row>
    <row r="33" spans="1:3" ht="13.5">
      <c r="A33" s="3493"/>
      <c r="B33" s="3492"/>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4" customWidth="1"/>
    <col min="2" max="2" width="38.625" style="2524" customWidth="1"/>
    <col min="3" max="3" width="26" style="2524" customWidth="1"/>
    <col min="4" max="4" width="35" style="2524" hidden="1" customWidth="1"/>
    <col min="5" max="5" width="30.125" style="2524" customWidth="1"/>
    <col min="6" max="6" width="35.5" style="2524" customWidth="1"/>
    <col min="7" max="7" width="31" style="2524" customWidth="1"/>
    <col min="8" max="8" width="37.5" style="2524" hidden="1" customWidth="1"/>
    <col min="9" max="16384" width="22.625" style="2524"/>
  </cols>
  <sheetData>
    <row r="1" spans="1:8" ht="24" customHeight="1">
      <c r="A1" s="2523"/>
      <c r="B1" s="2523"/>
      <c r="C1" s="2523"/>
      <c r="D1" s="2523"/>
      <c r="E1" s="2523"/>
      <c r="F1" s="2523"/>
      <c r="G1" s="2523"/>
      <c r="H1" s="2523"/>
    </row>
    <row r="2" spans="1:8" ht="24" customHeight="1">
      <c r="A2" s="2525" t="s">
        <v>2819</v>
      </c>
      <c r="B2" s="2526">
        <f ca="1">TODAY()</f>
        <v>44638</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f ca="1">IF(C4&lt;B2,"已过期",1119970066)</f>
        <v>1119970066</v>
      </c>
      <c r="C4" s="2532">
        <v>44876</v>
      </c>
      <c r="D4" s="2533" t="str">
        <f ca="1">A4&amp;"（注册号："&amp;B4&amp;"）"</f>
        <v>梁津（注册号：1119970066）</v>
      </c>
      <c r="E4" s="2534" t="s">
        <v>2828</v>
      </c>
      <c r="F4" s="1439">
        <f ca="1">IF(G4&lt;B2,"已过期",96010014)</f>
        <v>96010014</v>
      </c>
      <c r="G4" s="2535">
        <v>47118</v>
      </c>
      <c r="H4" s="2536" t="str">
        <f ca="1">E4&amp;"（注册号："&amp;F4&amp;"）"</f>
        <v>梁津（注册号：96010014）</v>
      </c>
    </row>
    <row r="5" spans="1:8" ht="24" customHeight="1">
      <c r="A5" s="1439" t="s">
        <v>2829</v>
      </c>
      <c r="B5" s="1439">
        <f ca="1">IF(C5&lt;B2,"已过期",1119970111)</f>
        <v>1119970111</v>
      </c>
      <c r="C5" s="2532">
        <v>44876</v>
      </c>
      <c r="D5" s="2533" t="str">
        <f t="shared" ref="D5:D15" ca="1" si="0">A5&amp;"（注册号："&amp;B5&amp;"）"</f>
        <v>叶凌（注册号：1119970111）</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f ca="1">IF(C7&lt;B2,"已过期",1120000080)</f>
        <v>1120000080</v>
      </c>
      <c r="C7" s="2532">
        <v>44876</v>
      </c>
      <c r="D7" s="2533" t="str">
        <f t="shared" ca="1" si="0"/>
        <v>欧红伟（注册号：1120000080）</v>
      </c>
      <c r="E7" s="2534" t="s">
        <v>2831</v>
      </c>
      <c r="F7" s="1439">
        <f ca="1">IF(G7&lt;B2,"已过期",2000110082)</f>
        <v>2000110082</v>
      </c>
      <c r="G7" s="2535">
        <v>46387</v>
      </c>
      <c r="H7" s="2536" t="str">
        <f t="shared" ca="1" si="1"/>
        <v>欧红伟（注册号：2000110082）</v>
      </c>
    </row>
    <row r="8" spans="1:8" ht="24" customHeight="1">
      <c r="A8" s="1439" t="s">
        <v>2832</v>
      </c>
      <c r="B8" s="1439">
        <f ca="1">IF(C8&lt;B2,"已过期",1419970001)</f>
        <v>1419970001</v>
      </c>
      <c r="C8" s="2532">
        <v>44899</v>
      </c>
      <c r="D8" s="2533" t="str">
        <f t="shared" ca="1" si="0"/>
        <v>吴薇（注册号：1419970001）</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f ca="1">IF(C10&lt;B2,"已过期",1120100036)</f>
        <v>1120100036</v>
      </c>
      <c r="C10" s="2537">
        <v>44675</v>
      </c>
      <c r="D10" s="2533" t="str">
        <f t="shared" ca="1" si="0"/>
        <v>崔锴（注册号：1120100036）</v>
      </c>
      <c r="E10" s="2534" t="s">
        <v>2834</v>
      </c>
      <c r="F10" s="1439">
        <f ca="1">IF(G10&lt;B2,"已过期",2010110070)</f>
        <v>2010110070</v>
      </c>
      <c r="G10" s="2535">
        <v>47907</v>
      </c>
      <c r="H10" s="2536" t="str">
        <f t="shared" ca="1" si="1"/>
        <v>崔锴（注册号：2010110070）</v>
      </c>
    </row>
    <row r="11" spans="1:8" ht="24" customHeight="1">
      <c r="A11" s="1439" t="s">
        <v>2835</v>
      </c>
      <c r="B11" s="1439">
        <f ca="1">IF(C11&lt;B2,"已过期",1120070131)</f>
        <v>1120070131</v>
      </c>
      <c r="C11" s="2532">
        <v>44849</v>
      </c>
      <c r="D11" s="2533" t="str">
        <f t="shared" ca="1" si="0"/>
        <v>郑燚（注册号：1120070131）</v>
      </c>
      <c r="E11" s="2534" t="s">
        <v>2835</v>
      </c>
      <c r="F11" s="1439">
        <f ca="1">IF(G11&lt;B2,"已过期",2014110011)</f>
        <v>2014110011</v>
      </c>
      <c r="G11" s="2535">
        <v>49302</v>
      </c>
      <c r="H11" s="2536" t="str">
        <f t="shared" ca="1" si="1"/>
        <v>郑燚（注册号：2014110011）</v>
      </c>
    </row>
    <row r="12" spans="1:8" ht="24" customHeight="1">
      <c r="A12" s="1439" t="s">
        <v>2836</v>
      </c>
      <c r="B12" s="1439">
        <f ca="1">IF(C12&lt;B2,"已过期",1120040230)</f>
        <v>1120040230</v>
      </c>
      <c r="C12" s="2537">
        <v>44864</v>
      </c>
      <c r="D12" s="2533" t="str">
        <f t="shared" ca="1" si="0"/>
        <v>苏海（注册号：1120040230）</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f ca="1">IF(C14&lt;B2,"已过期",1119980106)</f>
        <v>1119980106</v>
      </c>
      <c r="C14" s="2537">
        <v>44969</v>
      </c>
      <c r="D14" s="2533" t="str">
        <f t="shared" ca="1" si="0"/>
        <v>刘俊财（注册号：1119980106）</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497" t="s">
        <v>2840</v>
      </c>
      <c r="B17" s="3497"/>
      <c r="C17" s="3497"/>
      <c r="D17" s="3497"/>
      <c r="E17" s="3497"/>
      <c r="F17" s="3497"/>
      <c r="G17" s="3497"/>
      <c r="H17" s="3497"/>
    </row>
    <row r="18" spans="1:8" ht="24" customHeight="1">
      <c r="A18" s="3498" t="s">
        <v>2841</v>
      </c>
      <c r="B18" s="3498"/>
      <c r="C18" s="3498"/>
      <c r="D18" s="2530"/>
      <c r="E18" s="3499" t="s">
        <v>2842</v>
      </c>
      <c r="F18" s="3498"/>
      <c r="G18" s="3498"/>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数据-汇总表</vt:lpstr>
      <vt:lpstr>估价对象房地状况</vt:lpstr>
      <vt:lpstr>结果汇总表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2022-03-18T09:37:38Z</dcterms:modified>
</cp:coreProperties>
</file>