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估价对象1净值)" sheetId="82" state="hidden" r:id="rId18"/>
    <sheet name="结果表 (估价对象2净值) " sheetId="88" r:id="rId19"/>
    <sheet name="成本法" sheetId="68" state="hidden" r:id="rId20"/>
    <sheet name="成本法 (元)" sheetId="69" state="hidden" r:id="rId21"/>
    <sheet name="假设开发法" sheetId="12" state="hidden" r:id="rId22"/>
    <sheet name="收益法" sheetId="15" state="hidden" r:id="rId23"/>
    <sheet name="结果表（典型户型价值）" sheetId="9" r:id="rId24"/>
    <sheet name="收益法 (元)" sheetId="67" state="hidden" r:id="rId25"/>
    <sheet name="收益法（汇总）" sheetId="70" state="hidden" r:id="rId26"/>
    <sheet name="酒店收入计算" sheetId="66" state="hidden" r:id="rId27"/>
    <sheet name="比较法-住宅" sheetId="21" state="hidden" r:id="rId28"/>
    <sheet name="收益法 (元) (估价对象2)" sheetId="92" r:id="rId29"/>
    <sheet name="比较法-租金" sheetId="33" r:id="rId30"/>
    <sheet name="比较法-商业"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比较法-商业 (估价对象2)" sheetId="93"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增税估算" sheetId="81" state="hidden" r:id="rId43"/>
    <sheet name="典型户型修正（估价对象1）"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典型户型修正（估价对象2)" sheetId="91" r:id="rId50"/>
    <sheet name="租约" sheetId="78" r:id="rId51"/>
    <sheet name="售价" sheetId="85" r:id="rId52"/>
    <sheet name="租金" sheetId="86" r:id="rId53"/>
  </sheets>
  <externalReferences>
    <externalReference r:id="rId54"/>
    <externalReference r:id="rId55"/>
    <externalReference r:id="rId56"/>
  </externalReference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'比较法-商业'!$A$1:$L$50</definedName>
    <definedName name="_xlnm._FilterDatabase" localSheetId="36" hidden="1">'比较法-商业 (估价对象2)'!$A$1:$L$50</definedName>
    <definedName name="_xlnm._FilterDatabase" localSheetId="27" hidden="1">'比较法-住宅'!$A$1:$L$49</definedName>
    <definedName name="_xlnm._FilterDatabase" localSheetId="29" hidden="1">'比较法-租金'!$A$1:$L$49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8">'收益法 (元) (估价对象2)'!$A$1:$AK$69</definedName>
    <definedName name="_xlnm.Print_Area" localSheetId="13">'数据-汇总表'!$A$1:$P$32</definedName>
    <definedName name="_xlnm.Print_Area" localSheetId="42">土增税估算!$A$1:$H$30</definedName>
    <definedName name="八级">区片价!$O$1:$O$40</definedName>
    <definedName name="办公层高" localSheetId="36">'比较法-商业 (估价对象2)'!$B$119:$M$119</definedName>
    <definedName name="办公层高" localSheetId="42">'[1]比较法-办公'!$B$115:$M$115</definedName>
    <definedName name="办公层高">'比较法-商业'!$B$119:$M$119</definedName>
    <definedName name="办公朝向" localSheetId="36">'比较法-商业 (估价对象2)'!$B$91:$M$91</definedName>
    <definedName name="办公朝向" localSheetId="42">'[1]比较法-办公'!$B$87:$M$87</definedName>
    <definedName name="办公朝向">'比较法-商业'!$B$91:$M$91</definedName>
    <definedName name="办公道路级别" localSheetId="36">'比较法-商业 (估价对象2)'!$B$87:$M$87</definedName>
    <definedName name="办公道路级别" localSheetId="42">'[1]比较法-办公'!$B$83:$M$83</definedName>
    <definedName name="办公道路级别">'比较法-商业'!$B$87:$M$87</definedName>
    <definedName name="办公公共部分装修" localSheetId="36">'比较法-商业 (估价对象2)'!$B$108:$M$108</definedName>
    <definedName name="办公公共部分装修" localSheetId="42">'[1]比较法-办公'!$B$104:$M$104</definedName>
    <definedName name="办公公共部分装修">'比较法-商业'!$B$108:$M$108</definedName>
    <definedName name="办公基础设施水平" localSheetId="36">'比较法-商业 (估价对象2)'!$B$117:$M$117</definedName>
    <definedName name="办公基础设施水平" localSheetId="42">'[1]比较法-办公'!$B$113:$M$113</definedName>
    <definedName name="办公基础设施水平">'比较法-商业'!$B$117:$M$117</definedName>
    <definedName name="办公集聚程度" localSheetId="42">[1]定义!$M$1:$M$6</definedName>
    <definedName name="办公集聚程度">定义!$M$1:$M$6</definedName>
    <definedName name="办公建筑结构" localSheetId="36">'比较法-商业 (估价对象2)'!$B$106:$M$106</definedName>
    <definedName name="办公建筑结构" localSheetId="42">'[1]比较法-办公'!$B$102:$M$102</definedName>
    <definedName name="办公建筑结构">'比较法-商业'!$B$106:$M$106</definedName>
    <definedName name="办公建筑类型" localSheetId="36">'比较法-商业 (估价对象2)'!$B$101:$M$101</definedName>
    <definedName name="办公建筑类型" localSheetId="42">'[1]比较法-办公'!$B$97:$M$97</definedName>
    <definedName name="办公建筑类型">'比较法-商业'!$B$101:$M$101</definedName>
    <definedName name="办公交易情况" localSheetId="36">'比较法-商业 (估价对象2)'!$A$62:$M$62</definedName>
    <definedName name="办公交易情况" localSheetId="42">'[1]比较法-办公'!$A$60:$M$60</definedName>
    <definedName name="办公交易情况">'比较法-商业'!$A$62:$M$62</definedName>
    <definedName name="办公楼层" localSheetId="36">'比较法-商业 (估价对象2)'!$B$89:$M$89</definedName>
    <definedName name="办公楼层" localSheetId="42">'[1]比较法-办公'!$B$85:$M$85</definedName>
    <definedName name="办公楼层">'比较法-商业'!$B$89:$M$89</definedName>
    <definedName name="办公内部装修" localSheetId="36">'比较法-商业 (估价对象2)'!$B$123:$M$123</definedName>
    <definedName name="办公内部装修" localSheetId="42">'[1]比较法-办公'!$B$119:$M$119</definedName>
    <definedName name="办公内部装修">'比较法-商业'!$B$123:$M$123</definedName>
    <definedName name="办公物业管理" localSheetId="36">'比较法-商业 (估价对象2)'!$B$115:$M$115</definedName>
    <definedName name="办公物业管理" localSheetId="42">'[1]比较法-办公'!$B$111:$M$111</definedName>
    <definedName name="办公物业管理">'比较法-商业'!$B$115:$M$115</definedName>
    <definedName name="办公用途" localSheetId="36">'比较法-商业 (估价对象2)'!$B$64:$M$64</definedName>
    <definedName name="办公用途" localSheetId="42">'[1]比较法-办公'!$B$62:$M$62</definedName>
    <definedName name="办公用途">'比较法-商业'!$B$64:$M$64</definedName>
    <definedName name="仓储公共部分装修" localSheetId="42">'[1]比较法-仓储'!$B$73:$M$73</definedName>
    <definedName name="仓储公共部分装修">'比较法-仓储'!$B$77:$M$77</definedName>
    <definedName name="仓储交易情况" localSheetId="42">'[1]比较法-仓储'!$A$47:$M$47</definedName>
    <definedName name="仓储交易情况">'比较法-仓储'!$A$49:$M$49</definedName>
    <definedName name="仓储楼层" localSheetId="42">'[1]比较法-仓储'!$B$65:$M$65</definedName>
    <definedName name="仓储楼层">'比较法-仓储'!$B$69:$M$69</definedName>
    <definedName name="仓储物业等级" localSheetId="42">'[1]比较法-仓储'!$B$78:$M$78</definedName>
    <definedName name="仓储物业等级">'比较法-仓储'!$B$82:$M$82</definedName>
    <definedName name="仓储用途" localSheetId="42">'[1]比较法-仓储'!$B$49:$M$49</definedName>
    <definedName name="仓储用途">'比较法-仓储'!$B$51:$M$51</definedName>
    <definedName name="产业集聚程度" localSheetId="42">[1]定义!$N$1:$N$6</definedName>
    <definedName name="产业集聚程度">定义!$N$1:$N$6</definedName>
    <definedName name="车位公共部分装修" localSheetId="42">'[1]比较法-车位'!$B$79:$M$79</definedName>
    <definedName name="车位公共部分装修">'比较法-车位'!$B$83:$M$83</definedName>
    <definedName name="车位交易情况" localSheetId="42">'[1]比较法-车位'!$A$49:$M$49</definedName>
    <definedName name="车位交易情况">'比较法-车位'!$A$51:$M$51</definedName>
    <definedName name="车位类型" localSheetId="42">'[1]比较法-车位'!$B$89:$M$89</definedName>
    <definedName name="车位类型">'比较法-车位'!$B$93:$M$93</definedName>
    <definedName name="车位楼层" localSheetId="42">'[1]比较法-车位'!$B$67:$M$67</definedName>
    <definedName name="车位楼层">'比较法-车位'!$B$71:$M$71</definedName>
    <definedName name="车位配套类型" localSheetId="42">'[1]比较法-车位'!$B$75:$M$75</definedName>
    <definedName name="车位配套类型">'比较法-车位'!$B$79:$M$79</definedName>
    <definedName name="车位物业等级" localSheetId="42">'[1]比较法-车位'!$B$84:$M$84</definedName>
    <definedName name="车位物业等级">'比较法-车位'!$B$88:$M$88</definedName>
    <definedName name="车位用途" localSheetId="42">'[1]比较法-车位'!$B$51:$M$51</definedName>
    <definedName name="车位用途">'比较法-车位'!$B$53:$M$53</definedName>
    <definedName name="城镇土地纳税等级分级范围" localSheetId="42">'[1]数据-取费表'!$A$52:$A$62</definedName>
    <definedName name="城镇土地纳税等级分级范围">'数据-取费表'!$A$53:$A$63</definedName>
    <definedName name="单价内涵" localSheetId="42">[1]定义!$U$1:$U$3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'[1]比较法-工业'!$B$91:$M$91</definedName>
    <definedName name="工业公共部分装修">'比较法-工业'!$B$95:$M$95</definedName>
    <definedName name="工业基础设施水平" localSheetId="42">'[1]比较法-工业'!$B$98:$M$98</definedName>
    <definedName name="工业基础设施水平">'比较法-工业'!$B$102:$M$102</definedName>
    <definedName name="工业建筑结构" localSheetId="42">'[1]比较法-工业'!$B$89:$M$89</definedName>
    <definedName name="工业建筑结构">'比较法-工业'!$B$93:$M$93</definedName>
    <definedName name="工业建筑类型" localSheetId="42">'[1]比较法-工业'!$B$84:$M$84</definedName>
    <definedName name="工业建筑类型">'比较法-工业'!$B$88:$M$88</definedName>
    <definedName name="工业交易情况" localSheetId="42">'[1]比较法-工业'!$A$53:$M$53</definedName>
    <definedName name="工业交易情况">'比较法-工业'!$A$55:$M$55</definedName>
    <definedName name="工业内部装修" localSheetId="42">'[1]比较法-工业'!$B$100:$M$100</definedName>
    <definedName name="工业内部装修">'比较法-工业'!$B$104:$M$104</definedName>
    <definedName name="工业物业管理" localSheetId="42">'[1]比较法-工业'!$B$96:$M$96</definedName>
    <definedName name="工业物业管理">'比较法-工业'!$B$100:$M$100</definedName>
    <definedName name="工业用途" localSheetId="42">'[1]比较法-工业'!$B$55:$M$55</definedName>
    <definedName name="工业用途">'比较法-工业'!$B$57:$M$57</definedName>
    <definedName name="公共配套设施" localSheetId="42">[2]定义!$Q$1:$Q$6</definedName>
    <definedName name="公共配套设施">定义!$Q$1:$Q$6</definedName>
    <definedName name="公用设施及基础设施水平" localSheetId="42">[1]定义!$Q$1:$Q$6</definedName>
    <definedName name="公用设施及基础设施水平">[3]定义!$Q$1:$Q$6</definedName>
    <definedName name="估价方法" localSheetId="42">[1]定义!$B$1:$B$50</definedName>
    <definedName name="估价方法">定义!$B$1:$B$50</definedName>
    <definedName name="环境" localSheetId="42">[1]定义!$R$1:$R$6</definedName>
    <definedName name="环境">定义!$S$1:$S$6</definedName>
    <definedName name="基础设施水平" localSheetId="42">[2]定义!$R$1:$R$6</definedName>
    <definedName name="基础设施水平">定义!$R$1:$R$6</definedName>
    <definedName name="季度" localSheetId="42">[1]基准地价修正!$O$19:$Z$19</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[1]定义!$S$1:$S$5</definedName>
    <definedName name="临街状况">定义!$T$1:$T$5</definedName>
    <definedName name="六级">区片价!$M$1:$M$49</definedName>
    <definedName name="内部装修维护情况" localSheetId="42">[1]定义!$T$1:$T$6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'[1]比较法-商业'!$B$112:$M$112</definedName>
    <definedName name="商业层高">'比较法-租金'!$B$116:$M$116</definedName>
    <definedName name="商业成新度">'比较法-租金'!$B$109:$M$109</definedName>
    <definedName name="商业繁华度" localSheetId="42">[1]定义!$L$1:$L$6</definedName>
    <definedName name="商业繁华度">定义!$L$1:$L$6</definedName>
    <definedName name="商业公共部分装修" localSheetId="42">'[1]比较法-商业'!$B$103:$M$103</definedName>
    <definedName name="商业公共部分装修">'比较法-租金'!$B$107:$M$107</definedName>
    <definedName name="商业基础设施水平" localSheetId="42">'[1]比较法-商业'!$B$108:$M$108</definedName>
    <definedName name="商业基础设施水平">'比较法-租金'!$B$112:$M$112</definedName>
    <definedName name="商业建筑结构" localSheetId="42">'[1]比较法-商业'!$B$101:$M$101</definedName>
    <definedName name="商业建筑结构">'比较法-租金'!$B$105:$M$105</definedName>
    <definedName name="商业交易情况" localSheetId="42">'[1]比较法-商业'!$A$59:$M$59</definedName>
    <definedName name="商业交易情况">'比较法-租金'!$A$61:$M$61</definedName>
    <definedName name="商业街名称" localSheetId="42">[1]修正!$C$59:$C$119</definedName>
    <definedName name="商业街名称">修正!$C$59:$C$119</definedName>
    <definedName name="商业进深比" localSheetId="42">'[1]比较法-商业'!$B$116:$M$116</definedName>
    <definedName name="商业进深比">'比较法-租金'!$B$120:$M$120</definedName>
    <definedName name="商业类型" localSheetId="42">'[1]比较法-商业'!$B$96:$M$96</definedName>
    <definedName name="商业类型">'比较法-租金'!$B$100:$M$100</definedName>
    <definedName name="商业临街状况" localSheetId="42">'[1]比较法-商业'!$B$82:$M$82</definedName>
    <definedName name="商业临街状况">'比较法-租金'!$B$86:$M$86</definedName>
    <definedName name="商业楼层" localSheetId="42">'[1]比较法-商业'!$B$88:$M$88</definedName>
    <definedName name="商业楼层">'比较法-租金'!$B$92:$M$92</definedName>
    <definedName name="商业内部装修" localSheetId="42">'[1]比较法-商业'!$B$118:$M$118</definedName>
    <definedName name="商业内部装修">'比较法-租金'!$B$122:$M$122</definedName>
    <definedName name="商业人流量" localSheetId="42">'[1]比较法-商业'!$B$86:$M$86</definedName>
    <definedName name="商业人流量">'比较法-租金'!$B$90:$M$90</definedName>
    <definedName name="商业业态" localSheetId="42">'[1]比较法-商业'!$B$110:$M$110</definedName>
    <definedName name="商业业态">'比较法-租金'!$B$114:$M$114</definedName>
    <definedName name="商业用途" localSheetId="42">'[1]比较法-商业'!$B$61:$M$61</definedName>
    <definedName name="商业用途">'比较法-租金'!$B$63:$M$63</definedName>
    <definedName name="十二级">区片价!$S$1:$S$8</definedName>
    <definedName name="十级">区片价!$Q$1:$Q$27</definedName>
    <definedName name="十一级">区片价!$R$1:$R$22</definedName>
    <definedName name="是否封闭" localSheetId="42">'[1]比较法-仓储'!$B$85:$M$85</definedName>
    <definedName name="是否封闭">'比较法-仓储'!$B$89:$M$89</definedName>
    <definedName name="是否直接入户" localSheetId="42">'[1]比较法-车位'!$B$91:$M$91</definedName>
    <definedName name="是否直接入户">'比较法-车位'!$B$95:$M$95</definedName>
    <definedName name="四级">区片价!$K$1:$K$28</definedName>
    <definedName name="套工道路等级" localSheetId="42">'[1]土地比较法-工业'!$B$93:$M$93</definedName>
    <definedName name="套工道路等级">'土地比较法-工业'!$B$97:$M$97</definedName>
    <definedName name="套工地质条件" localSheetId="42">'[1]土地比较法-工业'!$B$110:$M$110</definedName>
    <definedName name="套工地质条件">'土地比较法-工业'!$B$114:$M$114</definedName>
    <definedName name="套工交易情况" localSheetId="42">'[1]土地比较法-住宅、综合'!$A$71:$M$71</definedName>
    <definedName name="套工交易情况">'土地比较法-住宅、综合'!$A$73:$M$73</definedName>
    <definedName name="套工土地级别" localSheetId="42">'[1]土地比较法-工业'!$B$95:$M$95</definedName>
    <definedName name="套工土地级别">'土地比较法-工业'!$B$99:$M$99</definedName>
    <definedName name="套工用途" localSheetId="42">'[1]土地比较法-工业'!$B$68:$M$68</definedName>
    <definedName name="套工用途">'土地比较法-工业'!$B$70:$M$70</definedName>
    <definedName name="套工宗地开发程度" localSheetId="42">'[1]土地比较法-工业'!$B$108:$M$108</definedName>
    <definedName name="套工宗地开发程度">'土地比较法-工业'!$B$112:$M$112</definedName>
    <definedName name="套工宗地形状" localSheetId="42">'[1]土地比较法-工业'!$B$106:$M$106</definedName>
    <definedName name="套工宗地形状">'土地比较法-工业'!$B$110:$M$110</definedName>
    <definedName name="套综道路等级" localSheetId="42">'[1]土地比较法-住宅、综合'!$B$102:$M$102</definedName>
    <definedName name="套综道路等级">'土地比较法-住宅、综合'!$B$106:$M$106</definedName>
    <definedName name="套综工程地质条件" localSheetId="42">'[1]土地比较法-住宅、综合'!$B$121:$M$121</definedName>
    <definedName name="套综工程地质条件">'土地比较法-住宅、综合'!$B$125:$M$125</definedName>
    <definedName name="套综交易情况" localSheetId="42">'[1]土地比较法-住宅、综合'!$A$71:$M$71</definedName>
    <definedName name="套综交易情况">'土地比较法-住宅、综合'!$A$73:$M$73</definedName>
    <definedName name="套综临街宽度及深度" localSheetId="42">'[1]土地比较法-住宅、综合'!$B$117:$M$117</definedName>
    <definedName name="套综临街宽度及深度">'土地比较法-住宅、综合'!$B$121:$M$121</definedName>
    <definedName name="套综土地级别" localSheetId="42">'[1]土地比较法-住宅、综合'!$B$104:$M$104</definedName>
    <definedName name="套综土地级别">'土地比较法-住宅、综合'!$B$108:$M$108</definedName>
    <definedName name="套综用途" localSheetId="42">'[1]土地比较法-住宅、综合'!$B$73:$M$73</definedName>
    <definedName name="套综用途">'土地比较法-住宅、综合'!$B$75:$M$75</definedName>
    <definedName name="套综宗地内开发程度" localSheetId="42">'[1]土地比较法-住宅、综合'!$B$119:$M$119</definedName>
    <definedName name="套综宗地内开发程度">'土地比较法-住宅、综合'!$B$123:$M$123</definedName>
    <definedName name="套综宗地形状" localSheetId="42">'[1]土地比较法-住宅、综合'!$B$115:$M$115</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[1]定义!$V$1:$V$6</definedName>
    <definedName name="五等判定">定义!$W$1:$W$6</definedName>
    <definedName name="五级">区片价!$L$1:$L$35</definedName>
    <definedName name="项目类型" localSheetId="42">'[1]数据-汇总表'!$C$17:$C$31</definedName>
    <definedName name="项目类型">'数据-汇总表'!$C$17:$C$26</definedName>
    <definedName name="写字楼等级" localSheetId="36">'比较法-商业 (估价对象2)'!$B$113:$M$113</definedName>
    <definedName name="写字楼等级" localSheetId="42">'[1]比较法-办公'!$B$109:$M$109</definedName>
    <definedName name="写字楼等级">'比较法-商业'!$B$113:$M$113</definedName>
    <definedName name="一级">区片价!$H$1:$H$6</definedName>
    <definedName name="一修多修正项2" localSheetId="49">'典型户型修正（估价对象2)'!$5:$5</definedName>
    <definedName name="一修多修正项2" localSheetId="42">[1]典型户型修正!$5:$5</definedName>
    <definedName name="一修多修正项2">'典型户型修正（估价对象1）'!$5:$5</definedName>
    <definedName name="一修多修正项3" localSheetId="49">'典型户型修正（估价对象2)'!$7:$7</definedName>
    <definedName name="一修多修正项3" localSheetId="42">[1]典型户型修正!$7:$7</definedName>
    <definedName name="一修多修正项3">'典型户型修正（估价对象1）'!$7:$7</definedName>
    <definedName name="一修多修正项4" localSheetId="49">'典型户型修正（估价对象2)'!$9:$9</definedName>
    <definedName name="一修多修正项4" localSheetId="42">[1]典型户型修正!$9:$9</definedName>
    <definedName name="一修多修正项4">'典型户型修正（估价对象1）'!$9:$9</definedName>
    <definedName name="一修多修正项5" localSheetId="49">'典型户型修正（估价对象2)'!$11:$11</definedName>
    <definedName name="一修多修正项5" localSheetId="42">[1]典型户型修正!$11:$11</definedName>
    <definedName name="一修多修正项5">'典型户型修正（估价对象1）'!$11:$11</definedName>
    <definedName name="一修多修正项6" localSheetId="49">'典型户型修正（估价对象2)'!$13:$13</definedName>
    <definedName name="一修多修正项6" localSheetId="42">[1]典型户型修正!$13:$13</definedName>
    <definedName name="一修多修正项6">'典型户型修正（估价对象1）'!$13:$13</definedName>
    <definedName name="一修多修正项7" localSheetId="49">'典型户型修正（估价对象2)'!$15:$15</definedName>
    <definedName name="一修多修正项7" localSheetId="42">[1]典型户型修正!$15:$15</definedName>
    <definedName name="一修多修正项7">'典型户型修正（估价对象1）'!$15:$15</definedName>
    <definedName name="一修多修正项8" localSheetId="49">'典型户型修正（估价对象2)'!$17:$17</definedName>
    <definedName name="一修多修正项8" localSheetId="42">[1]典型户型修正!$17:$17</definedName>
    <definedName name="一修多修正项8">'典型户型修正（估价对象1）'!$17:$17</definedName>
    <definedName name="用途明细" localSheetId="42">[1]定义!$A$1:$A$50</definedName>
    <definedName name="用途明细">定义!$A$1:$A$50</definedName>
    <definedName name="有无电梯" localSheetId="42">'[1]比较法-仓储'!$B$80:$M$80</definedName>
    <definedName name="有无电梯">'比较法-仓储'!$B$84:$M$84</definedName>
    <definedName name="主用途" localSheetId="42">[1]定义!$F$1:$F$10</definedName>
    <definedName name="主用途">定义!$F$1:$F$10</definedName>
    <definedName name="住宅朝向" localSheetId="42">'[1]比较法-住宅'!$B$84:$M$84</definedName>
    <definedName name="住宅朝向">'比较法-住宅'!$B$88:$M$88</definedName>
    <definedName name="住宅房型" localSheetId="42">'[1]比较法-住宅'!$B$114:$M$114</definedName>
    <definedName name="住宅房型">'比较法-住宅'!$B$118:$M$118</definedName>
    <definedName name="住宅公共部分装修" localSheetId="42">'[1]比较法-住宅'!$B$105:$M$105</definedName>
    <definedName name="住宅公共部分装修">'比较法-住宅'!$B$109:$M$109</definedName>
    <definedName name="住宅基础设施水平" localSheetId="42">'[1]比较法-住宅'!$B$112:$M$112</definedName>
    <definedName name="住宅基础设施水平">'比较法-住宅'!$B$116:$M$116</definedName>
    <definedName name="住宅建筑结构" localSheetId="42">'[1]比较法-住宅'!$B$101:$M$101</definedName>
    <definedName name="住宅建筑结构">'比较法-住宅'!$B$105:$M$105</definedName>
    <definedName name="住宅建筑类型" localSheetId="42">'[1]比较法-住宅'!$B$96:$M$96</definedName>
    <definedName name="住宅建筑类型">'比较法-住宅'!$B$100:$M$100</definedName>
    <definedName name="住宅建筑品质" localSheetId="42">'[1]比较法-住宅'!$B$103:$M$103</definedName>
    <definedName name="住宅建筑品质">'比较法-住宅'!$B$107:$M$107</definedName>
    <definedName name="住宅交易情况" localSheetId="42">'[1]比较法-住宅'!$A$59:$M$59</definedName>
    <definedName name="住宅交易情况">'比较法-住宅'!$A$61:$M$61</definedName>
    <definedName name="住宅楼层" localSheetId="42">'[1]比较法-住宅'!$B$82:$M$82</definedName>
    <definedName name="住宅楼层">'比较法-住宅'!$B$86:$M$86</definedName>
    <definedName name="住宅内部装修" localSheetId="42">'[1]比较法-住宅'!$B$118:$M$118</definedName>
    <definedName name="住宅内部装修">'比较法-住宅'!$B$122:$M$122</definedName>
    <definedName name="住宅物业管理" localSheetId="42">'[1]比较法-住宅'!$B$110:$M$110</definedName>
    <definedName name="住宅物业管理">'比较法-住宅'!$B$114:$M$114</definedName>
    <definedName name="住宅用途" localSheetId="42">'[1]比较法-住宅'!$B$61:$M$61</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32" i="93" l="1"/>
  <c r="AA32" i="93"/>
  <c r="R49" i="93"/>
  <c r="H32" i="93"/>
  <c r="AB32" i="93"/>
  <c r="T49" i="93"/>
  <c r="J32" i="93"/>
  <c r="AC32" i="93"/>
  <c r="V49" i="93"/>
  <c r="R50" i="93"/>
  <c r="C50" i="93"/>
  <c r="B3" i="93"/>
  <c r="C20" i="9"/>
  <c r="F6" i="92"/>
  <c r="F8" i="92"/>
  <c r="F7" i="92"/>
  <c r="F9" i="92"/>
  <c r="C6" i="92"/>
  <c r="F4" i="73"/>
  <c r="I1" i="73"/>
  <c r="B39" i="1"/>
  <c r="F11" i="92"/>
  <c r="C10" i="92"/>
  <c r="C5" i="92"/>
  <c r="C32" i="92"/>
  <c r="C33" i="92"/>
  <c r="R8" i="1"/>
  <c r="F35" i="92"/>
  <c r="C34" i="92"/>
  <c r="C31" i="92"/>
  <c r="F43" i="92"/>
  <c r="C14" i="92"/>
  <c r="C15" i="92"/>
  <c r="F16" i="92"/>
  <c r="C16" i="92"/>
  <c r="C17" i="92"/>
  <c r="C18" i="92"/>
  <c r="C19" i="92"/>
  <c r="C20" i="92"/>
  <c r="D5" i="73"/>
  <c r="G1" i="73"/>
  <c r="B40" i="1"/>
  <c r="F24" i="92"/>
  <c r="C23" i="92"/>
  <c r="F26" i="92"/>
  <c r="C26" i="92"/>
  <c r="C24" i="92"/>
  <c r="C27" i="92"/>
  <c r="C29" i="92"/>
  <c r="F36" i="92"/>
  <c r="C36" i="92"/>
  <c r="F13" i="92"/>
  <c r="C13" i="92"/>
  <c r="F37" i="92"/>
  <c r="C37" i="92"/>
  <c r="F38" i="92"/>
  <c r="C38" i="92"/>
  <c r="C30" i="92"/>
  <c r="C39" i="92"/>
  <c r="F42" i="92"/>
  <c r="F40" i="92"/>
  <c r="L48" i="92"/>
  <c r="J53" i="92"/>
  <c r="F1" i="92"/>
  <c r="AE8" i="1"/>
  <c r="F41" i="92"/>
  <c r="C40" i="92"/>
  <c r="M6" i="92"/>
  <c r="M8" i="92"/>
  <c r="M7" i="92"/>
  <c r="M9" i="92"/>
  <c r="J6" i="92"/>
  <c r="M11" i="92"/>
  <c r="J10" i="92"/>
  <c r="J5" i="92"/>
  <c r="J26" i="92"/>
  <c r="J29" i="92"/>
  <c r="J57" i="92"/>
  <c r="J55" i="92"/>
  <c r="J58" i="92"/>
  <c r="J59" i="92"/>
  <c r="J60" i="92"/>
  <c r="L46" i="92"/>
  <c r="D2" i="92"/>
  <c r="B3" i="92"/>
  <c r="D20" i="9"/>
  <c r="G20" i="9"/>
  <c r="R24" i="91"/>
  <c r="S24" i="91"/>
  <c r="R25" i="91"/>
  <c r="S25" i="91"/>
  <c r="R26" i="91"/>
  <c r="S26" i="91"/>
  <c r="R27" i="91"/>
  <c r="S27" i="91"/>
  <c r="R28" i="91"/>
  <c r="S28" i="91"/>
  <c r="R29" i="91"/>
  <c r="S29" i="91"/>
  <c r="R30" i="91"/>
  <c r="S30" i="91"/>
  <c r="S22" i="91"/>
  <c r="B20" i="91"/>
  <c r="C19" i="88"/>
  <c r="D19" i="88"/>
  <c r="G19" i="88"/>
  <c r="J41" i="88"/>
  <c r="A6" i="1"/>
  <c r="G1" i="67"/>
  <c r="R47" i="33"/>
  <c r="B2" i="1"/>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F11" i="33"/>
  <c r="AA11" i="33"/>
  <c r="B70" i="33"/>
  <c r="F12" i="33"/>
  <c r="AA12" i="33"/>
  <c r="B72" i="33"/>
  <c r="F13" i="33"/>
  <c r="AA13" i="33"/>
  <c r="B74" i="33"/>
  <c r="F14" i="33"/>
  <c r="AA14" i="33"/>
  <c r="D77" i="33"/>
  <c r="E77" i="33"/>
  <c r="F15" i="33"/>
  <c r="AA15" i="33"/>
  <c r="D79" i="33"/>
  <c r="E79" i="33"/>
  <c r="F17" i="33"/>
  <c r="AA17" i="33"/>
  <c r="D81" i="33"/>
  <c r="E81" i="33"/>
  <c r="F19" i="33"/>
  <c r="AA19" i="33"/>
  <c r="F21" i="33"/>
  <c r="AA21" i="33"/>
  <c r="D85" i="33"/>
  <c r="E85" i="33"/>
  <c r="F23" i="33"/>
  <c r="AA23" i="33"/>
  <c r="D87" i="33"/>
  <c r="E87" i="33"/>
  <c r="F25" i="33"/>
  <c r="AA25" i="33"/>
  <c r="B88" i="33"/>
  <c r="F26" i="33"/>
  <c r="AA26" i="33"/>
  <c r="B90" i="33"/>
  <c r="D91" i="33"/>
  <c r="F27" i="33"/>
  <c r="AA27" i="33"/>
  <c r="B92" i="33"/>
  <c r="F28" i="33"/>
  <c r="AA28" i="33"/>
  <c r="B94" i="33"/>
  <c r="F29" i="33"/>
  <c r="AA29" i="33"/>
  <c r="B96" i="33"/>
  <c r="F30" i="33"/>
  <c r="AA30" i="33"/>
  <c r="B98" i="33"/>
  <c r="F31" i="33"/>
  <c r="AA31" i="33"/>
  <c r="D101" i="33"/>
  <c r="E101" i="33"/>
  <c r="F32" i="33"/>
  <c r="AA32" i="33"/>
  <c r="F33" i="33"/>
  <c r="AA33" i="33"/>
  <c r="F34" i="33"/>
  <c r="AA34" i="33"/>
  <c r="F35" i="33"/>
  <c r="AA35" i="33"/>
  <c r="D111" i="33"/>
  <c r="E111" i="33"/>
  <c r="F111" i="33"/>
  <c r="F36" i="33"/>
  <c r="AA36" i="33"/>
  <c r="D113" i="33"/>
  <c r="F37" i="33"/>
  <c r="AA37" i="33"/>
  <c r="F38" i="33"/>
  <c r="AA38" i="33"/>
  <c r="D117" i="33"/>
  <c r="F39" i="33"/>
  <c r="AA39" i="33"/>
  <c r="F40" i="33"/>
  <c r="AA40" i="33"/>
  <c r="F41" i="33"/>
  <c r="AA41" i="33"/>
  <c r="D123"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E91" i="33"/>
  <c r="H27" i="33"/>
  <c r="AB27" i="33"/>
  <c r="H28" i="33"/>
  <c r="AB28" i="33"/>
  <c r="H29" i="33"/>
  <c r="AB29" i="33"/>
  <c r="H30" i="33"/>
  <c r="AB30" i="33"/>
  <c r="H31" i="33"/>
  <c r="AB31" i="33"/>
  <c r="H32" i="33"/>
  <c r="AB32" i="33"/>
  <c r="H33" i="33"/>
  <c r="AB33" i="33"/>
  <c r="H34" i="33"/>
  <c r="AB34" i="33"/>
  <c r="H35" i="33"/>
  <c r="AB35" i="33"/>
  <c r="H36" i="33"/>
  <c r="AB36" i="33"/>
  <c r="E113" i="33"/>
  <c r="H37" i="33"/>
  <c r="AB37" i="33"/>
  <c r="H38" i="33"/>
  <c r="AB38" i="33"/>
  <c r="H39" i="33"/>
  <c r="AB39" i="33"/>
  <c r="H40" i="33"/>
  <c r="AB40" i="33"/>
  <c r="D121"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F91" i="33"/>
  <c r="J27" i="33"/>
  <c r="AC27" i="33"/>
  <c r="J28" i="33"/>
  <c r="AC28" i="33"/>
  <c r="J29" i="33"/>
  <c r="AC29" i="33"/>
  <c r="J30" i="33"/>
  <c r="AC30" i="33"/>
  <c r="J31" i="33"/>
  <c r="AC31" i="33"/>
  <c r="J32" i="33"/>
  <c r="AC32" i="33"/>
  <c r="J33" i="33"/>
  <c r="AC33" i="33"/>
  <c r="J34" i="33"/>
  <c r="AC34" i="33"/>
  <c r="J35" i="33"/>
  <c r="AC35" i="33"/>
  <c r="J36" i="33"/>
  <c r="AC36" i="33"/>
  <c r="F113" i="33"/>
  <c r="J37" i="33"/>
  <c r="AC37" i="33"/>
  <c r="J38" i="33"/>
  <c r="AC38" i="33"/>
  <c r="J39" i="33"/>
  <c r="AC39" i="33"/>
  <c r="J40" i="33"/>
  <c r="AC40" i="33"/>
  <c r="J41" i="33"/>
  <c r="AC41" i="33"/>
  <c r="J42" i="33"/>
  <c r="AC42" i="33"/>
  <c r="E125" i="33"/>
  <c r="J43" i="33"/>
  <c r="AC43" i="33"/>
  <c r="J44" i="33"/>
  <c r="AC44" i="33"/>
  <c r="J45" i="33"/>
  <c r="AC45" i="33"/>
  <c r="J46" i="33"/>
  <c r="AC46" i="33"/>
  <c r="V48" i="33"/>
  <c r="R49" i="33"/>
  <c r="C49" i="33"/>
  <c r="U6" i="1"/>
  <c r="F6" i="67"/>
  <c r="F8" i="67"/>
  <c r="E19" i="6"/>
  <c r="K6" i="1"/>
  <c r="F7" i="67"/>
  <c r="F9" i="67"/>
  <c r="C6" i="67"/>
  <c r="C1" i="73"/>
  <c r="L1" i="73"/>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B22" i="1"/>
  <c r="E1" i="73"/>
  <c r="K1" i="73"/>
  <c r="F24" i="67"/>
  <c r="F23" i="67"/>
  <c r="C23" i="67"/>
  <c r="F26" i="67"/>
  <c r="C26" i="67"/>
  <c r="F21" i="67"/>
  <c r="C24" i="67"/>
  <c r="C27" i="67"/>
  <c r="F28" i="67"/>
  <c r="C28" i="67"/>
  <c r="C29" i="67"/>
  <c r="F36" i="67"/>
  <c r="C36" i="67"/>
  <c r="N6" i="1"/>
  <c r="Y6" i="1"/>
  <c r="F13" i="67"/>
  <c r="C13" i="67"/>
  <c r="F37" i="67"/>
  <c r="C37" i="67"/>
  <c r="F38" i="67"/>
  <c r="C38" i="67"/>
  <c r="C30" i="67"/>
  <c r="C39" i="67"/>
  <c r="F42" i="67"/>
  <c r="F40" i="67"/>
  <c r="F15" i="4"/>
  <c r="F6" i="1"/>
  <c r="L48" i="67"/>
  <c r="M47" i="67"/>
  <c r="J50" i="67"/>
  <c r="J51" i="67"/>
  <c r="J53" i="67"/>
  <c r="F1" i="67"/>
  <c r="AE6" i="1"/>
  <c r="F41" i="67"/>
  <c r="C40" i="67"/>
  <c r="M6" i="67"/>
  <c r="M8" i="67"/>
  <c r="M7" i="67"/>
  <c r="M9" i="67"/>
  <c r="J6" i="67"/>
  <c r="M11" i="67"/>
  <c r="J10" i="67"/>
  <c r="J5" i="67"/>
  <c r="J26" i="67"/>
  <c r="J29" i="67"/>
  <c r="J57" i="67"/>
  <c r="J55" i="67"/>
  <c r="J58" i="67"/>
  <c r="J59" i="67"/>
  <c r="J60" i="67"/>
  <c r="L46" i="67"/>
  <c r="D2" i="67"/>
  <c r="B2" i="67"/>
  <c r="A7" i="1"/>
  <c r="A8" i="1"/>
  <c r="G1" i="92"/>
  <c r="K8" i="1"/>
  <c r="F32" i="92"/>
  <c r="F33" i="92"/>
  <c r="D21" i="6"/>
  <c r="K21" i="6"/>
  <c r="L21" i="6"/>
  <c r="M21" i="6"/>
  <c r="I21" i="6"/>
  <c r="H21" i="6"/>
  <c r="R21" i="6"/>
  <c r="F34" i="92"/>
  <c r="S8" i="1"/>
  <c r="F15" i="92"/>
  <c r="F17" i="92"/>
  <c r="F18" i="92"/>
  <c r="F20" i="92"/>
  <c r="F23" i="92"/>
  <c r="F21" i="92"/>
  <c r="F28" i="92"/>
  <c r="C28" i="92"/>
  <c r="F8" i="1"/>
  <c r="M47" i="92"/>
  <c r="J50" i="92"/>
  <c r="J51" i="92"/>
  <c r="B2" i="92"/>
  <c r="B3" i="67"/>
  <c r="C76" i="67"/>
  <c r="C75" i="67"/>
  <c r="C80" i="67"/>
  <c r="C79" i="67"/>
  <c r="B131" i="93"/>
  <c r="B129" i="93"/>
  <c r="B127" i="93"/>
  <c r="D126" i="93"/>
  <c r="E126" i="93"/>
  <c r="F126" i="93"/>
  <c r="G126" i="93"/>
  <c r="D124"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D114" i="93"/>
  <c r="E114" i="93"/>
  <c r="F114" i="93"/>
  <c r="G114" i="93"/>
  <c r="H114" i="93"/>
  <c r="I114" i="93"/>
  <c r="J114" i="93"/>
  <c r="K114" i="93"/>
  <c r="L114" i="93"/>
  <c r="M114" i="93"/>
  <c r="D112" i="93"/>
  <c r="E112" i="93"/>
  <c r="F112" i="93"/>
  <c r="G112" i="93"/>
  <c r="H112" i="93"/>
  <c r="I112" i="93"/>
  <c r="J112" i="93"/>
  <c r="K112" i="93"/>
  <c r="L112" i="93"/>
  <c r="M112" i="93"/>
  <c r="G110" i="93"/>
  <c r="F110" i="93"/>
  <c r="E110" i="93"/>
  <c r="D110" i="93"/>
  <c r="C110" i="93"/>
  <c r="D109"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B99" i="93"/>
  <c r="B97" i="93"/>
  <c r="B95" i="93"/>
  <c r="B93" i="93"/>
  <c r="D92" i="93"/>
  <c r="E92" i="93"/>
  <c r="F92" i="93"/>
  <c r="G92" i="93"/>
  <c r="H92" i="93"/>
  <c r="I92" i="93"/>
  <c r="J92" i="93"/>
  <c r="K92" i="93"/>
  <c r="L92" i="93"/>
  <c r="M92" i="93"/>
  <c r="B91" i="93"/>
  <c r="D90" i="93"/>
  <c r="E90" i="93"/>
  <c r="F90" i="93"/>
  <c r="G90" i="93"/>
  <c r="H90" i="93"/>
  <c r="I90" i="93"/>
  <c r="J90" i="93"/>
  <c r="K90" i="93"/>
  <c r="L90" i="93"/>
  <c r="M90" i="93"/>
  <c r="B89" i="93"/>
  <c r="D88" i="93"/>
  <c r="E88" i="93"/>
  <c r="F88" i="93"/>
  <c r="G88" i="93"/>
  <c r="H88" i="93"/>
  <c r="I88" i="93"/>
  <c r="J88" i="93"/>
  <c r="K88" i="93"/>
  <c r="L88" i="93"/>
  <c r="M88" i="93"/>
  <c r="D86" i="93"/>
  <c r="E86" i="93"/>
  <c r="F86" i="93"/>
  <c r="G86" i="93"/>
  <c r="D84" i="93"/>
  <c r="E84" i="93"/>
  <c r="F84" i="93"/>
  <c r="G84" i="93"/>
  <c r="D82" i="93"/>
  <c r="E82" i="93"/>
  <c r="F82" i="93"/>
  <c r="G82" i="93"/>
  <c r="D80" i="93"/>
  <c r="E80" i="93"/>
  <c r="F80" i="93"/>
  <c r="G80" i="93"/>
  <c r="D78" i="93"/>
  <c r="E78" i="93"/>
  <c r="F78" i="93"/>
  <c r="G78" i="93"/>
  <c r="B75" i="93"/>
  <c r="B73" i="93"/>
  <c r="B71"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C64" i="93"/>
  <c r="C7" i="93"/>
  <c r="C59" i="93"/>
  <c r="D59" i="93"/>
  <c r="E59" i="93"/>
  <c r="F59" i="93"/>
  <c r="G59" i="93"/>
  <c r="H59" i="93"/>
  <c r="I59" i="93"/>
  <c r="J59" i="93"/>
  <c r="K59" i="93"/>
  <c r="L59" i="93"/>
  <c r="M59" i="93"/>
  <c r="N59" i="93"/>
  <c r="O59" i="93"/>
  <c r="I55" i="93"/>
  <c r="J55" i="93"/>
  <c r="G55" i="93"/>
  <c r="H55" i="93"/>
  <c r="E55" i="93"/>
  <c r="F55" i="93"/>
  <c r="V48" i="93"/>
  <c r="J7" i="93"/>
  <c r="AC7" i="93"/>
  <c r="J8" i="93"/>
  <c r="AC8" i="93"/>
  <c r="J9" i="93"/>
  <c r="AC9" i="93"/>
  <c r="J10" i="93"/>
  <c r="AC10" i="93"/>
  <c r="J11" i="93"/>
  <c r="AC11" i="93"/>
  <c r="J12" i="93"/>
  <c r="AC12" i="93"/>
  <c r="J13" i="93"/>
  <c r="AC13" i="93"/>
  <c r="J14" i="93"/>
  <c r="AC14" i="93"/>
  <c r="J15" i="93"/>
  <c r="AC15" i="93"/>
  <c r="J17" i="93"/>
  <c r="AC17" i="93"/>
  <c r="J19" i="93"/>
  <c r="AC19" i="93"/>
  <c r="J21" i="93"/>
  <c r="AC21" i="93"/>
  <c r="J23" i="93"/>
  <c r="AC23" i="93"/>
  <c r="J25" i="93"/>
  <c r="AC25" i="93"/>
  <c r="J27" i="93"/>
  <c r="AC27" i="93"/>
  <c r="J28" i="93"/>
  <c r="AC28" i="93"/>
  <c r="J29" i="93"/>
  <c r="AC29" i="93"/>
  <c r="J30" i="93"/>
  <c r="AC30" i="93"/>
  <c r="J31" i="93"/>
  <c r="AC31" i="93"/>
  <c r="J33" i="93"/>
  <c r="AC33" i="93"/>
  <c r="J34" i="93"/>
  <c r="AC34" i="93"/>
  <c r="J35" i="93"/>
  <c r="AC35" i="93"/>
  <c r="J36" i="93"/>
  <c r="AC36" i="93"/>
  <c r="C37" i="93"/>
  <c r="J37" i="93"/>
  <c r="AC37" i="93"/>
  <c r="J38" i="93"/>
  <c r="AC38" i="93"/>
  <c r="J39" i="93"/>
  <c r="AC39" i="93"/>
  <c r="J40" i="93"/>
  <c r="AC40" i="93"/>
  <c r="J41" i="93"/>
  <c r="AC41" i="93"/>
  <c r="J42" i="93"/>
  <c r="AC42" i="93"/>
  <c r="J43" i="93"/>
  <c r="AC43" i="93"/>
  <c r="J44" i="93"/>
  <c r="AC44" i="93"/>
  <c r="J45" i="93"/>
  <c r="AC45" i="93"/>
  <c r="J46" i="93"/>
  <c r="AC46" i="93"/>
  <c r="J47" i="93"/>
  <c r="AC47" i="93"/>
  <c r="I49"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3" i="93"/>
  <c r="AA33" i="93"/>
  <c r="F34" i="93"/>
  <c r="AA34" i="93"/>
  <c r="F35" i="93"/>
  <c r="AA35" i="93"/>
  <c r="F36" i="93"/>
  <c r="AA36" i="93"/>
  <c r="F37" i="93"/>
  <c r="AA37" i="93"/>
  <c r="F38" i="93"/>
  <c r="AA38" i="93"/>
  <c r="F39" i="93"/>
  <c r="AA39" i="93"/>
  <c r="F40" i="93"/>
  <c r="AA40" i="93"/>
  <c r="F41" i="93"/>
  <c r="AA41" i="93"/>
  <c r="AA42" i="93"/>
  <c r="F43" i="93"/>
  <c r="AA43" i="93"/>
  <c r="F44" i="93"/>
  <c r="AA44" i="93"/>
  <c r="F45" i="93"/>
  <c r="AA45" i="93"/>
  <c r="F46" i="93"/>
  <c r="AA46" i="93"/>
  <c r="F47" i="93"/>
  <c r="AA47" i="93"/>
  <c r="E49" i="93"/>
  <c r="I54" i="93"/>
  <c r="J54"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H47" i="93"/>
  <c r="AB47" i="93"/>
  <c r="G49" i="93"/>
  <c r="G54" i="93"/>
  <c r="H54" i="93"/>
  <c r="E54" i="93"/>
  <c r="F54" i="93"/>
  <c r="I53" i="93"/>
  <c r="J53" i="93"/>
  <c r="G53" i="93"/>
  <c r="H53" i="93"/>
  <c r="E53" i="93"/>
  <c r="F53" i="93"/>
  <c r="P50" i="93"/>
  <c r="P49" i="93"/>
  <c r="C49" i="93"/>
  <c r="P48" i="93"/>
  <c r="Q47" i="93"/>
  <c r="Z47" i="93"/>
  <c r="W47" i="93"/>
  <c r="U47" i="93"/>
  <c r="S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5" i="93"/>
  <c r="Z25" i="93"/>
  <c r="W25" i="93"/>
  <c r="U25" i="93"/>
  <c r="S25" i="93"/>
  <c r="Q23" i="93"/>
  <c r="Z23" i="93"/>
  <c r="W23" i="93"/>
  <c r="U23" i="93"/>
  <c r="S23" i="93"/>
  <c r="C23" i="93"/>
  <c r="Q21" i="93"/>
  <c r="Z21" i="93"/>
  <c r="W21" i="93"/>
  <c r="U21" i="93"/>
  <c r="S21" i="93"/>
  <c r="C21" i="93"/>
  <c r="Q19" i="93"/>
  <c r="Z19" i="93"/>
  <c r="W19" i="93"/>
  <c r="U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W11" i="93"/>
  <c r="U11" i="93"/>
  <c r="S11" i="93"/>
  <c r="Q10" i="93"/>
  <c r="Z10" i="93"/>
  <c r="W10" i="93"/>
  <c r="U10" i="93"/>
  <c r="S10" i="93"/>
  <c r="Q9" i="93"/>
  <c r="Z9" i="93"/>
  <c r="W9" i="93"/>
  <c r="U9" i="93"/>
  <c r="S9" i="93"/>
  <c r="W8" i="93"/>
  <c r="U8" i="93"/>
  <c r="S8" i="93"/>
  <c r="W7" i="93"/>
  <c r="U7" i="93"/>
  <c r="S7" i="93"/>
  <c r="C5" i="93"/>
  <c r="D3" i="93"/>
  <c r="D2" i="93"/>
  <c r="B2" i="93"/>
  <c r="BB10" i="3"/>
  <c r="BB5" i="3"/>
  <c r="BC10" i="3"/>
  <c r="BD10" i="3"/>
  <c r="BE10" i="3"/>
  <c r="BF10" i="3"/>
  <c r="BG10" i="3"/>
  <c r="BH10" i="3"/>
  <c r="BI10" i="3"/>
  <c r="BJ10" i="3"/>
  <c r="BK10" i="3"/>
  <c r="BC5" i="3"/>
  <c r="BD5" i="3"/>
  <c r="BE5" i="3"/>
  <c r="BF5" i="3"/>
  <c r="BG5" i="3"/>
  <c r="BH5" i="3"/>
  <c r="BI5" i="3"/>
  <c r="BJ5" i="3"/>
  <c r="BK5" i="3"/>
  <c r="E8" i="6"/>
  <c r="F27" i="6"/>
  <c r="A9" i="1"/>
  <c r="R9" i="1"/>
  <c r="A8" i="70"/>
  <c r="E8" i="70"/>
  <c r="A6" i="70"/>
  <c r="E6" i="70"/>
  <c r="A7" i="70"/>
  <c r="K7" i="1"/>
  <c r="K20" i="6"/>
  <c r="S7" i="1"/>
  <c r="E7" i="70"/>
  <c r="A9" i="70"/>
  <c r="E9" i="70"/>
  <c r="A10" i="70"/>
  <c r="E10" i="70"/>
  <c r="A11" i="70"/>
  <c r="E11" i="70"/>
  <c r="A12" i="70"/>
  <c r="A12" i="1"/>
  <c r="K12" i="1"/>
  <c r="S12" i="1"/>
  <c r="E12" i="70"/>
  <c r="A13" i="70"/>
  <c r="A13" i="1"/>
  <c r="K13" i="1"/>
  <c r="S13" i="1"/>
  <c r="E13" i="70"/>
  <c r="E2" i="70"/>
  <c r="AE9" i="1"/>
  <c r="C83" i="92"/>
  <c r="C82" i="92"/>
  <c r="C76" i="92"/>
  <c r="C75" i="92"/>
  <c r="C80" i="92"/>
  <c r="C79" i="92"/>
  <c r="Q65" i="92"/>
  <c r="L60" i="92"/>
  <c r="Q66" i="92"/>
  <c r="Q75" i="92"/>
  <c r="D6" i="1"/>
  <c r="D8" i="1"/>
  <c r="L47" i="92"/>
  <c r="L59" i="92"/>
  <c r="Q74" i="92"/>
  <c r="K59" i="92"/>
  <c r="P74" i="92"/>
  <c r="L58"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70" i="92"/>
  <c r="F68" i="92"/>
  <c r="F69" i="92"/>
  <c r="C68" i="92"/>
  <c r="C71" i="92"/>
  <c r="Q70" i="92"/>
  <c r="Q69" i="92"/>
  <c r="Q68" i="92"/>
  <c r="L51" i="92"/>
  <c r="Q67" i="92"/>
  <c r="Q56" i="92"/>
  <c r="Q57" i="92"/>
  <c r="Q62" i="92"/>
  <c r="Q61" i="92"/>
  <c r="P61" i="92"/>
  <c r="Q60" i="92"/>
  <c r="Q59" i="92"/>
  <c r="N59" i="92"/>
  <c r="B24" i="1"/>
  <c r="M59" i="92"/>
  <c r="F59" i="92"/>
  <c r="Q58" i="92"/>
  <c r="L57" i="92"/>
  <c r="L56" i="92"/>
  <c r="I54" i="92"/>
  <c r="Q47" i="92"/>
  <c r="Q48" i="92"/>
  <c r="Q53" i="92"/>
  <c r="Q52" i="92"/>
  <c r="Q51" i="92"/>
  <c r="Q50" i="92"/>
  <c r="Q49" i="92"/>
  <c r="D46" i="92"/>
  <c r="C45" i="92"/>
  <c r="C46" i="92"/>
  <c r="C43" i="92"/>
  <c r="F31" i="92"/>
  <c r="M29" i="92"/>
  <c r="M28" i="92"/>
  <c r="AG6" i="1"/>
  <c r="AG8" i="1"/>
  <c r="M27" i="92"/>
  <c r="M26" i="92"/>
  <c r="M18" i="92"/>
  <c r="J18" i="92"/>
  <c r="M19" i="92"/>
  <c r="J19" i="92"/>
  <c r="M20" i="92"/>
  <c r="M21" i="92"/>
  <c r="J20" i="92"/>
  <c r="J17" i="92"/>
  <c r="J14" i="92"/>
  <c r="M22" i="92"/>
  <c r="J22" i="92"/>
  <c r="J15" i="92"/>
  <c r="J13" i="92"/>
  <c r="M23" i="92"/>
  <c r="J23" i="92"/>
  <c r="M24" i="92"/>
  <c r="J24" i="92"/>
  <c r="J16" i="92"/>
  <c r="J25" i="92"/>
  <c r="D24" i="92"/>
  <c r="D23" i="92"/>
  <c r="D22" i="92"/>
  <c r="M17" i="92"/>
  <c r="C75" i="88"/>
  <c r="C66" i="88"/>
  <c r="C75" i="82"/>
  <c r="C66" i="82"/>
  <c r="B97" i="34"/>
  <c r="F31" i="34"/>
  <c r="AA31" i="34"/>
  <c r="C37" i="34"/>
  <c r="D112" i="34"/>
  <c r="E112" i="34"/>
  <c r="F112" i="34"/>
  <c r="G112" i="34"/>
  <c r="F37" i="34"/>
  <c r="AA37"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E78" i="34"/>
  <c r="F15" i="34"/>
  <c r="AA15" i="34"/>
  <c r="D80" i="34"/>
  <c r="E80" i="34"/>
  <c r="F17" i="34"/>
  <c r="AA17" i="34"/>
  <c r="D82" i="34"/>
  <c r="F19" i="34"/>
  <c r="AA19" i="34"/>
  <c r="F21" i="34"/>
  <c r="AA21" i="34"/>
  <c r="D86" i="34"/>
  <c r="E86" i="34"/>
  <c r="F23" i="34"/>
  <c r="AA23" i="34"/>
  <c r="D88" i="34"/>
  <c r="E88" i="34"/>
  <c r="F88" i="34"/>
  <c r="G88" i="34"/>
  <c r="F25" i="34"/>
  <c r="AA25" i="34"/>
  <c r="B89" i="34"/>
  <c r="F27" i="34"/>
  <c r="AA27" i="34"/>
  <c r="B91" i="34"/>
  <c r="F28" i="34"/>
  <c r="AA28" i="34"/>
  <c r="B93" i="34"/>
  <c r="F29" i="34"/>
  <c r="AA29" i="34"/>
  <c r="B95" i="34"/>
  <c r="F30" i="34"/>
  <c r="AA30" i="34"/>
  <c r="B99" i="34"/>
  <c r="F32" i="34"/>
  <c r="AA32" i="34"/>
  <c r="D102" i="34"/>
  <c r="E102" i="34"/>
  <c r="F33" i="34"/>
  <c r="AA33" i="34"/>
  <c r="F34" i="34"/>
  <c r="AA34" i="34"/>
  <c r="F35" i="34"/>
  <c r="AA35" i="34"/>
  <c r="D109" i="34"/>
  <c r="E109" i="34"/>
  <c r="F36" i="34"/>
  <c r="AA36" i="34"/>
  <c r="F38" i="34"/>
  <c r="AA38" i="34"/>
  <c r="D116" i="34"/>
  <c r="F39" i="34"/>
  <c r="AA39" i="34"/>
  <c r="D118" i="34"/>
  <c r="F40" i="34"/>
  <c r="AA40" i="34"/>
  <c r="D120" i="34"/>
  <c r="F41" i="34"/>
  <c r="AA41" i="34"/>
  <c r="AA42" i="34"/>
  <c r="D124" i="34"/>
  <c r="F43" i="34"/>
  <c r="AA43" i="34"/>
  <c r="D126" i="34"/>
  <c r="F44" i="34"/>
  <c r="AA44" i="34"/>
  <c r="B127" i="34"/>
  <c r="F45" i="34"/>
  <c r="AA45" i="34"/>
  <c r="B129" i="34"/>
  <c r="F46" i="34"/>
  <c r="AA46" i="34"/>
  <c r="B131" i="34"/>
  <c r="F47" i="34"/>
  <c r="AA47" i="34"/>
  <c r="R49" i="34"/>
  <c r="H31" i="34"/>
  <c r="AB31" i="34"/>
  <c r="H37" i="34"/>
  <c r="AB37"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2" i="34"/>
  <c r="AB32" i="34"/>
  <c r="H33" i="34"/>
  <c r="AB33"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J31" i="34"/>
  <c r="AC31" i="34"/>
  <c r="J37" i="34"/>
  <c r="AC37"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2" i="34"/>
  <c r="AC32" i="34"/>
  <c r="J33" i="34"/>
  <c r="AC33"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17" i="9"/>
  <c r="D17" i="9"/>
  <c r="C18" i="9"/>
  <c r="D18" i="9"/>
  <c r="U7" i="1"/>
  <c r="R524" i="91"/>
  <c r="S524" i="91"/>
  <c r="Q524" i="91"/>
  <c r="O524" i="91"/>
  <c r="M524" i="91"/>
  <c r="D12" i="91"/>
  <c r="E12" i="91"/>
  <c r="K524" i="91"/>
  <c r="D10" i="91"/>
  <c r="I524" i="91"/>
  <c r="D8" i="91"/>
  <c r="G524" i="91"/>
  <c r="D6" i="91"/>
  <c r="E524" i="91"/>
  <c r="C524" i="91"/>
  <c r="R523" i="91"/>
  <c r="S523" i="91"/>
  <c r="Q523" i="91"/>
  <c r="O523" i="91"/>
  <c r="M523" i="91"/>
  <c r="K523" i="91"/>
  <c r="I523" i="91"/>
  <c r="G523" i="91"/>
  <c r="E523" i="91"/>
  <c r="C523" i="91"/>
  <c r="R522" i="91"/>
  <c r="S522" i="91"/>
  <c r="Q522" i="91"/>
  <c r="O522" i="91"/>
  <c r="M522" i="91"/>
  <c r="K522" i="91"/>
  <c r="I522" i="91"/>
  <c r="G522" i="91"/>
  <c r="E522" i="91"/>
  <c r="C522" i="91"/>
  <c r="R521" i="91"/>
  <c r="S521" i="91"/>
  <c r="Q521" i="91"/>
  <c r="O521" i="91"/>
  <c r="M521" i="91"/>
  <c r="K521" i="91"/>
  <c r="I521" i="91"/>
  <c r="G521" i="91"/>
  <c r="E521" i="91"/>
  <c r="C521" i="91"/>
  <c r="R520" i="91"/>
  <c r="S520" i="91"/>
  <c r="Q520" i="91"/>
  <c r="O520" i="91"/>
  <c r="M520" i="91"/>
  <c r="K520" i="91"/>
  <c r="I520" i="91"/>
  <c r="G520" i="91"/>
  <c r="E520" i="91"/>
  <c r="C520" i="91"/>
  <c r="R519" i="91"/>
  <c r="S519" i="91"/>
  <c r="Q519" i="91"/>
  <c r="O519" i="91"/>
  <c r="M519" i="91"/>
  <c r="K519" i="91"/>
  <c r="I519" i="91"/>
  <c r="G519" i="91"/>
  <c r="E519" i="91"/>
  <c r="C519" i="91"/>
  <c r="R518" i="91"/>
  <c r="S518" i="91"/>
  <c r="Q518" i="91"/>
  <c r="O518" i="91"/>
  <c r="M518" i="91"/>
  <c r="K518" i="91"/>
  <c r="I518" i="91"/>
  <c r="G518" i="91"/>
  <c r="E518" i="91"/>
  <c r="C518" i="91"/>
  <c r="R517" i="91"/>
  <c r="S517" i="91"/>
  <c r="Q517" i="91"/>
  <c r="O517" i="91"/>
  <c r="M517" i="91"/>
  <c r="K517" i="91"/>
  <c r="I517" i="91"/>
  <c r="G517" i="91"/>
  <c r="E517" i="91"/>
  <c r="C517" i="91"/>
  <c r="R516" i="91"/>
  <c r="S516" i="91"/>
  <c r="Q516" i="91"/>
  <c r="O516" i="91"/>
  <c r="M516" i="91"/>
  <c r="K516" i="91"/>
  <c r="I516" i="91"/>
  <c r="G516" i="91"/>
  <c r="E516" i="91"/>
  <c r="C516" i="91"/>
  <c r="R515" i="91"/>
  <c r="S515" i="91"/>
  <c r="Q515" i="91"/>
  <c r="O515" i="91"/>
  <c r="M515" i="91"/>
  <c r="K515" i="91"/>
  <c r="I515" i="91"/>
  <c r="G515" i="91"/>
  <c r="E515" i="91"/>
  <c r="C515" i="91"/>
  <c r="R514" i="91"/>
  <c r="S514" i="91"/>
  <c r="Q514" i="91"/>
  <c r="O514" i="91"/>
  <c r="M514" i="91"/>
  <c r="K514" i="91"/>
  <c r="I514" i="91"/>
  <c r="G514" i="91"/>
  <c r="E514" i="91"/>
  <c r="C514" i="91"/>
  <c r="R513" i="91"/>
  <c r="S513" i="91"/>
  <c r="Q513" i="91"/>
  <c r="O513" i="91"/>
  <c r="M513" i="91"/>
  <c r="K513" i="91"/>
  <c r="I513" i="91"/>
  <c r="G513" i="91"/>
  <c r="E513" i="91"/>
  <c r="C513" i="91"/>
  <c r="R512" i="91"/>
  <c r="S512" i="91"/>
  <c r="Q512" i="91"/>
  <c r="O512" i="91"/>
  <c r="M512" i="91"/>
  <c r="K512" i="91"/>
  <c r="I512" i="91"/>
  <c r="G512" i="91"/>
  <c r="E512" i="91"/>
  <c r="C512" i="91"/>
  <c r="R511" i="91"/>
  <c r="S511" i="91"/>
  <c r="Q511" i="91"/>
  <c r="O511" i="91"/>
  <c r="M511" i="91"/>
  <c r="K511" i="91"/>
  <c r="I511" i="91"/>
  <c r="G511" i="91"/>
  <c r="E511" i="91"/>
  <c r="C511" i="91"/>
  <c r="R510" i="91"/>
  <c r="S510" i="91"/>
  <c r="Q510" i="91"/>
  <c r="O510" i="91"/>
  <c r="M510" i="91"/>
  <c r="K510" i="91"/>
  <c r="I510" i="91"/>
  <c r="G510" i="91"/>
  <c r="E510" i="91"/>
  <c r="C510" i="91"/>
  <c r="R509" i="91"/>
  <c r="S509" i="91"/>
  <c r="Q509" i="91"/>
  <c r="O509" i="91"/>
  <c r="M509" i="91"/>
  <c r="K509" i="91"/>
  <c r="I509" i="91"/>
  <c r="G509" i="91"/>
  <c r="E509" i="91"/>
  <c r="C509" i="91"/>
  <c r="R508" i="91"/>
  <c r="S508" i="91"/>
  <c r="Q508" i="91"/>
  <c r="O508" i="91"/>
  <c r="M508" i="91"/>
  <c r="K508" i="91"/>
  <c r="I508" i="91"/>
  <c r="G508" i="91"/>
  <c r="E508" i="91"/>
  <c r="C508" i="91"/>
  <c r="R507" i="91"/>
  <c r="S507" i="91"/>
  <c r="Q507" i="91"/>
  <c r="O507" i="91"/>
  <c r="M507" i="91"/>
  <c r="K507" i="91"/>
  <c r="I507" i="91"/>
  <c r="G507" i="91"/>
  <c r="E507" i="91"/>
  <c r="C507" i="91"/>
  <c r="R506" i="91"/>
  <c r="S506" i="91"/>
  <c r="Q506" i="91"/>
  <c r="O506" i="91"/>
  <c r="M506" i="91"/>
  <c r="K506" i="91"/>
  <c r="I506" i="91"/>
  <c r="G506" i="91"/>
  <c r="E506" i="91"/>
  <c r="C506" i="91"/>
  <c r="R505" i="91"/>
  <c r="S505" i="91"/>
  <c r="Q505" i="91"/>
  <c r="O505" i="91"/>
  <c r="M505" i="91"/>
  <c r="K505" i="91"/>
  <c r="I505" i="91"/>
  <c r="G505" i="91"/>
  <c r="E505" i="91"/>
  <c r="C505" i="91"/>
  <c r="R504" i="91"/>
  <c r="S504" i="91"/>
  <c r="Q504" i="91"/>
  <c r="O504" i="91"/>
  <c r="M504" i="91"/>
  <c r="K504" i="91"/>
  <c r="I504" i="91"/>
  <c r="G504" i="91"/>
  <c r="E504" i="91"/>
  <c r="C504" i="91"/>
  <c r="R503" i="91"/>
  <c r="S503" i="91"/>
  <c r="Q503" i="91"/>
  <c r="O503" i="91"/>
  <c r="M503" i="91"/>
  <c r="K503" i="91"/>
  <c r="I503" i="91"/>
  <c r="G503" i="91"/>
  <c r="E503" i="91"/>
  <c r="C503" i="91"/>
  <c r="R502" i="91"/>
  <c r="S502" i="91"/>
  <c r="Q502" i="91"/>
  <c r="O502" i="91"/>
  <c r="M502" i="91"/>
  <c r="K502" i="91"/>
  <c r="I502" i="91"/>
  <c r="G502" i="91"/>
  <c r="E502" i="91"/>
  <c r="C502" i="91"/>
  <c r="R501" i="91"/>
  <c r="S501" i="91"/>
  <c r="Q501" i="91"/>
  <c r="O501" i="91"/>
  <c r="M501" i="91"/>
  <c r="K501" i="91"/>
  <c r="I501" i="91"/>
  <c r="G501" i="91"/>
  <c r="E501" i="91"/>
  <c r="C501" i="91"/>
  <c r="R500" i="91"/>
  <c r="S500" i="91"/>
  <c r="Q500" i="91"/>
  <c r="O500" i="91"/>
  <c r="M500" i="91"/>
  <c r="K500" i="91"/>
  <c r="I500" i="91"/>
  <c r="G500" i="91"/>
  <c r="E500" i="91"/>
  <c r="C500" i="91"/>
  <c r="R499" i="91"/>
  <c r="S499" i="91"/>
  <c r="Q499" i="91"/>
  <c r="O499" i="91"/>
  <c r="M499" i="91"/>
  <c r="K499" i="91"/>
  <c r="I499" i="91"/>
  <c r="G499" i="91"/>
  <c r="E499" i="91"/>
  <c r="C499" i="91"/>
  <c r="R498" i="91"/>
  <c r="S498" i="91"/>
  <c r="Q498" i="91"/>
  <c r="O498" i="91"/>
  <c r="M498" i="91"/>
  <c r="K498" i="91"/>
  <c r="I498" i="91"/>
  <c r="G498" i="91"/>
  <c r="E498" i="91"/>
  <c r="C498" i="91"/>
  <c r="R497" i="91"/>
  <c r="S497" i="91"/>
  <c r="Q497" i="91"/>
  <c r="O497" i="91"/>
  <c r="M497" i="91"/>
  <c r="K497" i="91"/>
  <c r="I497" i="91"/>
  <c r="G497" i="91"/>
  <c r="E497" i="91"/>
  <c r="C497" i="91"/>
  <c r="R496" i="91"/>
  <c r="S496" i="91"/>
  <c r="Q496" i="91"/>
  <c r="O496" i="91"/>
  <c r="M496" i="91"/>
  <c r="K496" i="91"/>
  <c r="I496" i="91"/>
  <c r="G496" i="91"/>
  <c r="E496" i="91"/>
  <c r="C496" i="91"/>
  <c r="R495" i="91"/>
  <c r="S495" i="91"/>
  <c r="Q495" i="91"/>
  <c r="O495" i="91"/>
  <c r="M495" i="91"/>
  <c r="K495" i="91"/>
  <c r="I495" i="91"/>
  <c r="G495" i="91"/>
  <c r="E495" i="91"/>
  <c r="C495" i="91"/>
  <c r="R494" i="91"/>
  <c r="S494" i="91"/>
  <c r="Q494" i="91"/>
  <c r="O494" i="91"/>
  <c r="M494" i="91"/>
  <c r="K494" i="91"/>
  <c r="I494" i="91"/>
  <c r="G494" i="91"/>
  <c r="E494" i="91"/>
  <c r="C494" i="91"/>
  <c r="R493" i="91"/>
  <c r="S493" i="91"/>
  <c r="Q493" i="91"/>
  <c r="O493" i="91"/>
  <c r="M493" i="91"/>
  <c r="K493" i="91"/>
  <c r="I493" i="91"/>
  <c r="G493" i="91"/>
  <c r="E493" i="91"/>
  <c r="C493" i="91"/>
  <c r="R492" i="91"/>
  <c r="S492" i="91"/>
  <c r="Q492" i="91"/>
  <c r="O492" i="91"/>
  <c r="M492" i="91"/>
  <c r="K492" i="91"/>
  <c r="I492" i="91"/>
  <c r="G492" i="91"/>
  <c r="E492" i="91"/>
  <c r="C492" i="91"/>
  <c r="R491" i="91"/>
  <c r="S491" i="91"/>
  <c r="Q491" i="91"/>
  <c r="O491" i="91"/>
  <c r="M491" i="91"/>
  <c r="K491" i="91"/>
  <c r="I491" i="91"/>
  <c r="G491" i="91"/>
  <c r="E491" i="91"/>
  <c r="C491" i="91"/>
  <c r="R490" i="91"/>
  <c r="S490" i="91"/>
  <c r="Q490" i="91"/>
  <c r="O490" i="91"/>
  <c r="M490" i="91"/>
  <c r="K490" i="91"/>
  <c r="I490" i="91"/>
  <c r="G490" i="91"/>
  <c r="E490" i="91"/>
  <c r="C490" i="91"/>
  <c r="R489" i="91"/>
  <c r="S489" i="91"/>
  <c r="Q489" i="91"/>
  <c r="O489" i="91"/>
  <c r="M489" i="91"/>
  <c r="K489" i="91"/>
  <c r="I489" i="91"/>
  <c r="G489" i="91"/>
  <c r="E489" i="91"/>
  <c r="C489" i="91"/>
  <c r="R488" i="91"/>
  <c r="S488" i="91"/>
  <c r="Q488" i="91"/>
  <c r="O488" i="91"/>
  <c r="M488" i="91"/>
  <c r="K488" i="91"/>
  <c r="I488" i="91"/>
  <c r="G488" i="91"/>
  <c r="E488" i="91"/>
  <c r="C488" i="91"/>
  <c r="R487" i="91"/>
  <c r="S487" i="91"/>
  <c r="Q487" i="91"/>
  <c r="O487" i="91"/>
  <c r="M487" i="91"/>
  <c r="K487" i="91"/>
  <c r="I487" i="91"/>
  <c r="G487" i="91"/>
  <c r="E487" i="91"/>
  <c r="C487" i="91"/>
  <c r="R486" i="91"/>
  <c r="S486" i="91"/>
  <c r="Q486" i="91"/>
  <c r="O486" i="91"/>
  <c r="M486" i="91"/>
  <c r="K486" i="91"/>
  <c r="I486" i="91"/>
  <c r="G486" i="91"/>
  <c r="E486" i="91"/>
  <c r="C486" i="91"/>
  <c r="R485" i="91"/>
  <c r="S485" i="91"/>
  <c r="Q485" i="91"/>
  <c r="O485" i="91"/>
  <c r="M485" i="91"/>
  <c r="K485" i="91"/>
  <c r="I485" i="91"/>
  <c r="G485" i="91"/>
  <c r="E485" i="91"/>
  <c r="C485" i="91"/>
  <c r="R484" i="91"/>
  <c r="S484" i="91"/>
  <c r="Q484" i="91"/>
  <c r="O484" i="91"/>
  <c r="M484" i="91"/>
  <c r="K484" i="91"/>
  <c r="I484" i="91"/>
  <c r="G484" i="91"/>
  <c r="E484" i="91"/>
  <c r="C484" i="91"/>
  <c r="R483" i="91"/>
  <c r="S483" i="91"/>
  <c r="Q483" i="91"/>
  <c r="O483" i="91"/>
  <c r="M483" i="91"/>
  <c r="K483" i="91"/>
  <c r="I483" i="91"/>
  <c r="G483" i="91"/>
  <c r="E483" i="91"/>
  <c r="C483" i="91"/>
  <c r="R482" i="91"/>
  <c r="S482" i="91"/>
  <c r="Q482" i="91"/>
  <c r="O482" i="91"/>
  <c r="M482" i="91"/>
  <c r="K482" i="91"/>
  <c r="I482" i="91"/>
  <c r="G482" i="91"/>
  <c r="E482" i="91"/>
  <c r="C482" i="91"/>
  <c r="R481" i="91"/>
  <c r="S481" i="91"/>
  <c r="Q481" i="91"/>
  <c r="O481" i="91"/>
  <c r="M481" i="91"/>
  <c r="K481" i="91"/>
  <c r="I481" i="91"/>
  <c r="G481" i="91"/>
  <c r="E481" i="91"/>
  <c r="C481" i="91"/>
  <c r="R480" i="91"/>
  <c r="S480" i="91"/>
  <c r="Q480" i="91"/>
  <c r="O480" i="91"/>
  <c r="M480" i="91"/>
  <c r="K480" i="91"/>
  <c r="I480" i="91"/>
  <c r="G480" i="91"/>
  <c r="E480" i="91"/>
  <c r="C480" i="91"/>
  <c r="R479" i="91"/>
  <c r="S479" i="91"/>
  <c r="Q479" i="91"/>
  <c r="O479" i="91"/>
  <c r="M479" i="91"/>
  <c r="K479" i="91"/>
  <c r="I479" i="91"/>
  <c r="G479" i="91"/>
  <c r="E479" i="91"/>
  <c r="C479" i="91"/>
  <c r="R478" i="91"/>
  <c r="S478" i="91"/>
  <c r="Q478" i="91"/>
  <c r="O478" i="91"/>
  <c r="M478" i="91"/>
  <c r="K478" i="91"/>
  <c r="I478" i="91"/>
  <c r="G478" i="91"/>
  <c r="E478" i="91"/>
  <c r="C478" i="91"/>
  <c r="R477" i="91"/>
  <c r="S477" i="91"/>
  <c r="Q477" i="91"/>
  <c r="O477" i="91"/>
  <c r="M477" i="91"/>
  <c r="K477" i="91"/>
  <c r="I477" i="91"/>
  <c r="G477" i="91"/>
  <c r="E477" i="91"/>
  <c r="C477" i="91"/>
  <c r="R476" i="91"/>
  <c r="S476" i="91"/>
  <c r="Q476" i="91"/>
  <c r="O476" i="91"/>
  <c r="M476" i="91"/>
  <c r="K476" i="91"/>
  <c r="I476" i="91"/>
  <c r="G476" i="91"/>
  <c r="E476" i="91"/>
  <c r="C476" i="91"/>
  <c r="R475" i="91"/>
  <c r="S475" i="91"/>
  <c r="Q475" i="91"/>
  <c r="O475" i="91"/>
  <c r="M475" i="91"/>
  <c r="K475" i="91"/>
  <c r="I475" i="91"/>
  <c r="G475" i="91"/>
  <c r="E475" i="91"/>
  <c r="C475" i="91"/>
  <c r="R474" i="91"/>
  <c r="S474" i="91"/>
  <c r="Q474" i="91"/>
  <c r="O474" i="91"/>
  <c r="M474" i="91"/>
  <c r="K474" i="91"/>
  <c r="I474" i="91"/>
  <c r="G474" i="91"/>
  <c r="E474" i="91"/>
  <c r="C474" i="91"/>
  <c r="R473" i="91"/>
  <c r="S473" i="91"/>
  <c r="Q473" i="91"/>
  <c r="O473" i="91"/>
  <c r="M473" i="91"/>
  <c r="K473" i="91"/>
  <c r="I473" i="91"/>
  <c r="G473" i="91"/>
  <c r="E473" i="91"/>
  <c r="C473" i="91"/>
  <c r="R472" i="91"/>
  <c r="S472" i="91"/>
  <c r="Q472" i="91"/>
  <c r="O472" i="91"/>
  <c r="M472" i="91"/>
  <c r="K472" i="91"/>
  <c r="I472" i="91"/>
  <c r="G472" i="91"/>
  <c r="E472" i="91"/>
  <c r="C472" i="91"/>
  <c r="R471" i="91"/>
  <c r="S471" i="91"/>
  <c r="Q471" i="91"/>
  <c r="O471" i="91"/>
  <c r="M471" i="91"/>
  <c r="K471" i="91"/>
  <c r="I471" i="91"/>
  <c r="G471" i="91"/>
  <c r="E471" i="91"/>
  <c r="C471" i="91"/>
  <c r="R470" i="91"/>
  <c r="S470" i="91"/>
  <c r="Q470" i="91"/>
  <c r="O470" i="91"/>
  <c r="M470" i="91"/>
  <c r="K470" i="91"/>
  <c r="I470" i="91"/>
  <c r="G470" i="91"/>
  <c r="E470" i="91"/>
  <c r="C470" i="91"/>
  <c r="R469" i="91"/>
  <c r="S469" i="91"/>
  <c r="Q469" i="91"/>
  <c r="O469" i="91"/>
  <c r="M469" i="91"/>
  <c r="K469" i="91"/>
  <c r="I469" i="91"/>
  <c r="G469" i="91"/>
  <c r="E469" i="91"/>
  <c r="C469" i="91"/>
  <c r="R468" i="91"/>
  <c r="S468" i="91"/>
  <c r="Q468" i="91"/>
  <c r="O468" i="91"/>
  <c r="M468" i="91"/>
  <c r="K468" i="91"/>
  <c r="I468" i="91"/>
  <c r="G468" i="91"/>
  <c r="E468" i="91"/>
  <c r="C468" i="91"/>
  <c r="R467" i="91"/>
  <c r="S467" i="91"/>
  <c r="Q467" i="91"/>
  <c r="O467" i="91"/>
  <c r="M467" i="91"/>
  <c r="K467" i="91"/>
  <c r="I467" i="91"/>
  <c r="G467" i="91"/>
  <c r="E467" i="91"/>
  <c r="C467" i="91"/>
  <c r="R466" i="91"/>
  <c r="S466" i="91"/>
  <c r="Q466" i="91"/>
  <c r="O466" i="91"/>
  <c r="M466" i="91"/>
  <c r="K466" i="91"/>
  <c r="I466" i="91"/>
  <c r="G466" i="91"/>
  <c r="E466" i="91"/>
  <c r="C466" i="91"/>
  <c r="R465" i="91"/>
  <c r="S465" i="91"/>
  <c r="Q465" i="91"/>
  <c r="O465" i="91"/>
  <c r="M465" i="91"/>
  <c r="K465" i="91"/>
  <c r="I465" i="91"/>
  <c r="G465" i="91"/>
  <c r="E465" i="91"/>
  <c r="C465" i="91"/>
  <c r="R464" i="91"/>
  <c r="S464" i="91"/>
  <c r="Q464" i="91"/>
  <c r="O464" i="91"/>
  <c r="M464" i="91"/>
  <c r="K464" i="91"/>
  <c r="I464" i="91"/>
  <c r="G464" i="91"/>
  <c r="E464" i="91"/>
  <c r="C464" i="91"/>
  <c r="R463" i="91"/>
  <c r="S463" i="91"/>
  <c r="Q463" i="91"/>
  <c r="O463" i="91"/>
  <c r="M463" i="91"/>
  <c r="K463" i="91"/>
  <c r="I463" i="91"/>
  <c r="G463" i="91"/>
  <c r="E463" i="91"/>
  <c r="C463" i="91"/>
  <c r="R462" i="91"/>
  <c r="S462" i="91"/>
  <c r="Q462" i="91"/>
  <c r="O462" i="91"/>
  <c r="M462" i="91"/>
  <c r="K462" i="91"/>
  <c r="I462" i="91"/>
  <c r="G462" i="91"/>
  <c r="E462" i="91"/>
  <c r="C462" i="91"/>
  <c r="R461" i="91"/>
  <c r="S461" i="91"/>
  <c r="Q461" i="91"/>
  <c r="O461" i="91"/>
  <c r="M461" i="91"/>
  <c r="K461" i="91"/>
  <c r="I461" i="91"/>
  <c r="G461" i="91"/>
  <c r="E461" i="91"/>
  <c r="C461" i="91"/>
  <c r="R460" i="91"/>
  <c r="S460" i="91"/>
  <c r="Q460" i="91"/>
  <c r="O460" i="91"/>
  <c r="M460" i="91"/>
  <c r="K460" i="91"/>
  <c r="I460" i="91"/>
  <c r="G460" i="91"/>
  <c r="E460" i="91"/>
  <c r="C460" i="91"/>
  <c r="R459" i="91"/>
  <c r="S459" i="91"/>
  <c r="Q459" i="91"/>
  <c r="O459" i="91"/>
  <c r="M459" i="91"/>
  <c r="K459" i="91"/>
  <c r="I459" i="91"/>
  <c r="G459" i="91"/>
  <c r="E459" i="91"/>
  <c r="C459" i="91"/>
  <c r="R458" i="91"/>
  <c r="S458" i="91"/>
  <c r="Q458" i="91"/>
  <c r="O458" i="91"/>
  <c r="M458" i="91"/>
  <c r="K458" i="91"/>
  <c r="I458" i="91"/>
  <c r="G458" i="91"/>
  <c r="E458" i="91"/>
  <c r="C458" i="91"/>
  <c r="R457" i="91"/>
  <c r="S457" i="91"/>
  <c r="Q457" i="91"/>
  <c r="O457" i="91"/>
  <c r="M457" i="91"/>
  <c r="K457" i="91"/>
  <c r="I457" i="91"/>
  <c r="G457" i="91"/>
  <c r="E457" i="91"/>
  <c r="C457" i="91"/>
  <c r="R456" i="91"/>
  <c r="S456" i="91"/>
  <c r="Q456" i="91"/>
  <c r="O456" i="91"/>
  <c r="M456" i="91"/>
  <c r="K456" i="91"/>
  <c r="I456" i="91"/>
  <c r="G456" i="91"/>
  <c r="E456" i="91"/>
  <c r="C456" i="91"/>
  <c r="R455" i="91"/>
  <c r="S455" i="91"/>
  <c r="Q455" i="91"/>
  <c r="O455" i="91"/>
  <c r="M455" i="91"/>
  <c r="K455" i="91"/>
  <c r="I455" i="91"/>
  <c r="G455" i="91"/>
  <c r="E455" i="91"/>
  <c r="C455" i="91"/>
  <c r="R454" i="91"/>
  <c r="S454" i="91"/>
  <c r="Q454" i="91"/>
  <c r="O454" i="91"/>
  <c r="M454" i="91"/>
  <c r="K454" i="91"/>
  <c r="I454" i="91"/>
  <c r="G454" i="91"/>
  <c r="E454" i="91"/>
  <c r="C454" i="91"/>
  <c r="R453" i="91"/>
  <c r="S453" i="91"/>
  <c r="Q453" i="91"/>
  <c r="O453" i="91"/>
  <c r="M453" i="91"/>
  <c r="K453" i="91"/>
  <c r="I453" i="91"/>
  <c r="G453" i="91"/>
  <c r="E453" i="91"/>
  <c r="C453" i="91"/>
  <c r="R452" i="91"/>
  <c r="S452" i="91"/>
  <c r="Q452" i="91"/>
  <c r="O452" i="91"/>
  <c r="M452" i="91"/>
  <c r="K452" i="91"/>
  <c r="I452" i="91"/>
  <c r="G452" i="91"/>
  <c r="E452" i="91"/>
  <c r="C452" i="91"/>
  <c r="R451" i="91"/>
  <c r="S451" i="91"/>
  <c r="Q451" i="91"/>
  <c r="O451" i="91"/>
  <c r="M451" i="91"/>
  <c r="K451" i="91"/>
  <c r="I451" i="91"/>
  <c r="G451" i="91"/>
  <c r="E451" i="91"/>
  <c r="C451" i="91"/>
  <c r="R450" i="91"/>
  <c r="S450" i="91"/>
  <c r="Q450" i="91"/>
  <c r="O450" i="91"/>
  <c r="M450" i="91"/>
  <c r="K450" i="91"/>
  <c r="I450" i="91"/>
  <c r="G450" i="91"/>
  <c r="E450" i="91"/>
  <c r="C450" i="91"/>
  <c r="R449" i="91"/>
  <c r="S449" i="91"/>
  <c r="Q449" i="91"/>
  <c r="O449" i="91"/>
  <c r="M449" i="91"/>
  <c r="K449" i="91"/>
  <c r="I449" i="91"/>
  <c r="G449" i="91"/>
  <c r="E449" i="91"/>
  <c r="C449" i="91"/>
  <c r="R448" i="91"/>
  <c r="S448" i="91"/>
  <c r="Q448" i="91"/>
  <c r="O448" i="91"/>
  <c r="M448" i="91"/>
  <c r="K448" i="91"/>
  <c r="I448" i="91"/>
  <c r="G448" i="91"/>
  <c r="E448" i="91"/>
  <c r="C448" i="91"/>
  <c r="R447" i="91"/>
  <c r="S447" i="91"/>
  <c r="Q447" i="91"/>
  <c r="O447" i="91"/>
  <c r="M447" i="91"/>
  <c r="K447" i="91"/>
  <c r="I447" i="91"/>
  <c r="G447" i="91"/>
  <c r="E447" i="91"/>
  <c r="C447" i="91"/>
  <c r="R446" i="91"/>
  <c r="S446" i="91"/>
  <c r="Q446" i="91"/>
  <c r="O446" i="91"/>
  <c r="M446" i="91"/>
  <c r="K446" i="91"/>
  <c r="I446" i="91"/>
  <c r="G446" i="91"/>
  <c r="E446" i="91"/>
  <c r="C446" i="91"/>
  <c r="R445" i="91"/>
  <c r="S445" i="91"/>
  <c r="Q445" i="91"/>
  <c r="O445" i="91"/>
  <c r="M445" i="91"/>
  <c r="K445" i="91"/>
  <c r="I445" i="91"/>
  <c r="G445" i="91"/>
  <c r="E445" i="91"/>
  <c r="C445" i="91"/>
  <c r="R444" i="91"/>
  <c r="S444" i="91"/>
  <c r="Q444" i="91"/>
  <c r="O444" i="91"/>
  <c r="M444" i="91"/>
  <c r="K444" i="91"/>
  <c r="I444" i="91"/>
  <c r="G444" i="91"/>
  <c r="E444" i="91"/>
  <c r="C444" i="91"/>
  <c r="R443" i="91"/>
  <c r="S443" i="91"/>
  <c r="Q443" i="91"/>
  <c r="O443" i="91"/>
  <c r="M443" i="91"/>
  <c r="K443" i="91"/>
  <c r="I443" i="91"/>
  <c r="G443" i="91"/>
  <c r="E443" i="91"/>
  <c r="C443" i="91"/>
  <c r="R442" i="91"/>
  <c r="S442" i="91"/>
  <c r="Q442" i="91"/>
  <c r="O442" i="91"/>
  <c r="M442" i="91"/>
  <c r="K442" i="91"/>
  <c r="I442" i="91"/>
  <c r="G442" i="91"/>
  <c r="E442" i="91"/>
  <c r="C442" i="91"/>
  <c r="R441" i="91"/>
  <c r="S441" i="91"/>
  <c r="Q441" i="91"/>
  <c r="O441" i="91"/>
  <c r="M441" i="91"/>
  <c r="K441" i="91"/>
  <c r="I441" i="91"/>
  <c r="G441" i="91"/>
  <c r="E441" i="91"/>
  <c r="C441" i="91"/>
  <c r="R440" i="91"/>
  <c r="S440" i="91"/>
  <c r="Q440" i="91"/>
  <c r="O440" i="91"/>
  <c r="M440" i="91"/>
  <c r="K440" i="91"/>
  <c r="I440" i="91"/>
  <c r="G440" i="91"/>
  <c r="E440" i="91"/>
  <c r="C440" i="91"/>
  <c r="R439" i="91"/>
  <c r="S439" i="91"/>
  <c r="Q439" i="91"/>
  <c r="O439" i="91"/>
  <c r="M439" i="91"/>
  <c r="K439" i="91"/>
  <c r="I439" i="91"/>
  <c r="G439" i="91"/>
  <c r="E439" i="91"/>
  <c r="C439" i="91"/>
  <c r="R438" i="91"/>
  <c r="S438" i="91"/>
  <c r="Q438" i="91"/>
  <c r="O438" i="91"/>
  <c r="M438" i="91"/>
  <c r="K438" i="91"/>
  <c r="I438" i="91"/>
  <c r="G438" i="91"/>
  <c r="E438" i="91"/>
  <c r="C438" i="91"/>
  <c r="R437" i="91"/>
  <c r="S437" i="91"/>
  <c r="Q437" i="91"/>
  <c r="O437" i="91"/>
  <c r="M437" i="91"/>
  <c r="K437" i="91"/>
  <c r="I437" i="91"/>
  <c r="G437" i="91"/>
  <c r="E437" i="91"/>
  <c r="C437" i="91"/>
  <c r="R436" i="91"/>
  <c r="S436" i="91"/>
  <c r="Q436" i="91"/>
  <c r="O436" i="91"/>
  <c r="M436" i="91"/>
  <c r="K436" i="91"/>
  <c r="I436" i="91"/>
  <c r="G436" i="91"/>
  <c r="E436" i="91"/>
  <c r="C436" i="91"/>
  <c r="R435" i="91"/>
  <c r="S435" i="91"/>
  <c r="Q435" i="91"/>
  <c r="O435" i="91"/>
  <c r="M435" i="91"/>
  <c r="K435" i="91"/>
  <c r="I435" i="91"/>
  <c r="G435" i="91"/>
  <c r="E435" i="91"/>
  <c r="C435" i="91"/>
  <c r="R434" i="91"/>
  <c r="S434" i="91"/>
  <c r="Q434" i="91"/>
  <c r="O434" i="91"/>
  <c r="M434" i="91"/>
  <c r="K434" i="91"/>
  <c r="I434" i="91"/>
  <c r="G434" i="91"/>
  <c r="E434" i="91"/>
  <c r="C434" i="91"/>
  <c r="R433" i="91"/>
  <c r="S433" i="91"/>
  <c r="Q433" i="91"/>
  <c r="O433" i="91"/>
  <c r="M433" i="91"/>
  <c r="K433" i="91"/>
  <c r="I433" i="91"/>
  <c r="G433" i="91"/>
  <c r="E433" i="91"/>
  <c r="C433" i="91"/>
  <c r="R432" i="91"/>
  <c r="S432" i="91"/>
  <c r="Q432" i="91"/>
  <c r="O432" i="91"/>
  <c r="M432" i="91"/>
  <c r="K432" i="91"/>
  <c r="I432" i="91"/>
  <c r="G432" i="91"/>
  <c r="E432" i="91"/>
  <c r="C432" i="91"/>
  <c r="R431" i="91"/>
  <c r="S431" i="91"/>
  <c r="Q431" i="91"/>
  <c r="O431" i="91"/>
  <c r="M431" i="91"/>
  <c r="K431" i="91"/>
  <c r="I431" i="91"/>
  <c r="G431" i="91"/>
  <c r="E431" i="91"/>
  <c r="C431" i="91"/>
  <c r="R430" i="91"/>
  <c r="S430" i="91"/>
  <c r="Q430" i="91"/>
  <c r="O430" i="91"/>
  <c r="M430" i="91"/>
  <c r="K430" i="91"/>
  <c r="I430" i="91"/>
  <c r="G430" i="91"/>
  <c r="E430" i="91"/>
  <c r="C430" i="91"/>
  <c r="R429" i="91"/>
  <c r="S429" i="91"/>
  <c r="Q429" i="91"/>
  <c r="O429" i="91"/>
  <c r="M429" i="91"/>
  <c r="K429" i="91"/>
  <c r="I429" i="91"/>
  <c r="G429" i="91"/>
  <c r="E429" i="91"/>
  <c r="C429" i="91"/>
  <c r="R428" i="91"/>
  <c r="S428" i="91"/>
  <c r="Q428" i="91"/>
  <c r="O428" i="91"/>
  <c r="M428" i="91"/>
  <c r="K428" i="91"/>
  <c r="I428" i="91"/>
  <c r="G428" i="91"/>
  <c r="E428" i="91"/>
  <c r="C428" i="91"/>
  <c r="R427" i="91"/>
  <c r="S427" i="91"/>
  <c r="Q427" i="91"/>
  <c r="O427" i="91"/>
  <c r="M427" i="91"/>
  <c r="K427" i="91"/>
  <c r="I427" i="91"/>
  <c r="G427" i="91"/>
  <c r="E427" i="91"/>
  <c r="C427" i="91"/>
  <c r="R426" i="91"/>
  <c r="S426" i="91"/>
  <c r="Q426" i="91"/>
  <c r="O426" i="91"/>
  <c r="M426" i="91"/>
  <c r="K426" i="91"/>
  <c r="I426" i="91"/>
  <c r="G426" i="91"/>
  <c r="E426" i="91"/>
  <c r="C426" i="91"/>
  <c r="R425" i="91"/>
  <c r="S425" i="91"/>
  <c r="Q425" i="91"/>
  <c r="O425" i="91"/>
  <c r="M425" i="91"/>
  <c r="K425" i="91"/>
  <c r="I425" i="91"/>
  <c r="G425" i="91"/>
  <c r="E425" i="91"/>
  <c r="C425" i="91"/>
  <c r="R424" i="91"/>
  <c r="S424" i="91"/>
  <c r="Q424" i="91"/>
  <c r="O424" i="91"/>
  <c r="M424" i="91"/>
  <c r="K424" i="91"/>
  <c r="I424" i="91"/>
  <c r="G424" i="91"/>
  <c r="E424" i="91"/>
  <c r="C424" i="91"/>
  <c r="R423" i="91"/>
  <c r="S423" i="91"/>
  <c r="Q423" i="91"/>
  <c r="O423" i="91"/>
  <c r="M423" i="91"/>
  <c r="K423" i="91"/>
  <c r="I423" i="91"/>
  <c r="G423" i="91"/>
  <c r="E423" i="91"/>
  <c r="C423" i="91"/>
  <c r="R422" i="91"/>
  <c r="S422" i="91"/>
  <c r="Q422" i="91"/>
  <c r="O422" i="91"/>
  <c r="M422" i="91"/>
  <c r="K422" i="91"/>
  <c r="I422" i="91"/>
  <c r="G422" i="91"/>
  <c r="E422" i="91"/>
  <c r="C422" i="91"/>
  <c r="R421" i="91"/>
  <c r="S421" i="91"/>
  <c r="Q421" i="91"/>
  <c r="O421" i="91"/>
  <c r="M421" i="91"/>
  <c r="K421" i="91"/>
  <c r="I421" i="91"/>
  <c r="G421" i="91"/>
  <c r="E421" i="91"/>
  <c r="C421" i="91"/>
  <c r="R420" i="91"/>
  <c r="S420" i="91"/>
  <c r="Q420" i="91"/>
  <c r="O420" i="91"/>
  <c r="M420" i="91"/>
  <c r="K420" i="91"/>
  <c r="I420" i="91"/>
  <c r="G420" i="91"/>
  <c r="E420" i="91"/>
  <c r="C420" i="91"/>
  <c r="R419" i="91"/>
  <c r="S419" i="91"/>
  <c r="Q419" i="91"/>
  <c r="O419" i="91"/>
  <c r="M419" i="91"/>
  <c r="K419" i="91"/>
  <c r="I419" i="91"/>
  <c r="G419" i="91"/>
  <c r="E419" i="91"/>
  <c r="C419" i="91"/>
  <c r="R418" i="91"/>
  <c r="S418" i="91"/>
  <c r="Q418" i="91"/>
  <c r="O418" i="91"/>
  <c r="M418" i="91"/>
  <c r="K418" i="91"/>
  <c r="I418" i="91"/>
  <c r="G418" i="91"/>
  <c r="E418" i="91"/>
  <c r="C418" i="91"/>
  <c r="R417" i="91"/>
  <c r="S417" i="91"/>
  <c r="Q417" i="91"/>
  <c r="O417" i="91"/>
  <c r="M417" i="91"/>
  <c r="K417" i="91"/>
  <c r="I417" i="91"/>
  <c r="G417" i="91"/>
  <c r="E417" i="91"/>
  <c r="C417" i="91"/>
  <c r="R416" i="91"/>
  <c r="S416" i="91"/>
  <c r="Q416" i="91"/>
  <c r="O416" i="91"/>
  <c r="M416" i="91"/>
  <c r="K416" i="91"/>
  <c r="I416" i="91"/>
  <c r="G416" i="91"/>
  <c r="E416" i="91"/>
  <c r="C416" i="91"/>
  <c r="R415" i="91"/>
  <c r="S415" i="91"/>
  <c r="Q415" i="91"/>
  <c r="O415" i="91"/>
  <c r="M415" i="91"/>
  <c r="K415" i="91"/>
  <c r="I415" i="91"/>
  <c r="G415" i="91"/>
  <c r="E415" i="91"/>
  <c r="C415" i="91"/>
  <c r="R414" i="91"/>
  <c r="S414" i="91"/>
  <c r="Q414" i="91"/>
  <c r="O414" i="91"/>
  <c r="M414" i="91"/>
  <c r="K414" i="91"/>
  <c r="I414" i="91"/>
  <c r="G414" i="91"/>
  <c r="E414" i="91"/>
  <c r="C414" i="91"/>
  <c r="R413" i="91"/>
  <c r="S413" i="91"/>
  <c r="Q413" i="91"/>
  <c r="O413" i="91"/>
  <c r="M413" i="91"/>
  <c r="K413" i="91"/>
  <c r="I413" i="91"/>
  <c r="G413" i="91"/>
  <c r="E413" i="91"/>
  <c r="C413" i="91"/>
  <c r="R412" i="91"/>
  <c r="S412" i="91"/>
  <c r="Q412" i="91"/>
  <c r="O412" i="91"/>
  <c r="M412" i="91"/>
  <c r="K412" i="91"/>
  <c r="I412" i="91"/>
  <c r="G412" i="91"/>
  <c r="E412" i="91"/>
  <c r="C412" i="91"/>
  <c r="R411" i="91"/>
  <c r="S411" i="91"/>
  <c r="Q411" i="91"/>
  <c r="O411" i="91"/>
  <c r="M411" i="91"/>
  <c r="K411" i="91"/>
  <c r="I411" i="91"/>
  <c r="G411" i="91"/>
  <c r="E411" i="91"/>
  <c r="C411" i="91"/>
  <c r="R410" i="91"/>
  <c r="S410" i="91"/>
  <c r="Q410" i="91"/>
  <c r="O410" i="91"/>
  <c r="M410" i="91"/>
  <c r="K410" i="91"/>
  <c r="I410" i="91"/>
  <c r="G410" i="91"/>
  <c r="E410" i="91"/>
  <c r="C410" i="91"/>
  <c r="R409" i="91"/>
  <c r="S409" i="91"/>
  <c r="Q409" i="91"/>
  <c r="O409" i="91"/>
  <c r="M409" i="91"/>
  <c r="K409" i="91"/>
  <c r="I409" i="91"/>
  <c r="G409" i="91"/>
  <c r="E409" i="91"/>
  <c r="C409" i="91"/>
  <c r="R408" i="91"/>
  <c r="S408" i="91"/>
  <c r="Q408" i="91"/>
  <c r="O408" i="91"/>
  <c r="M408" i="91"/>
  <c r="K408" i="91"/>
  <c r="I408" i="91"/>
  <c r="G408" i="91"/>
  <c r="E408" i="91"/>
  <c r="C408" i="91"/>
  <c r="R407" i="91"/>
  <c r="S407" i="91"/>
  <c r="Q407" i="91"/>
  <c r="O407" i="91"/>
  <c r="M407" i="91"/>
  <c r="K407" i="91"/>
  <c r="I407" i="91"/>
  <c r="G407" i="91"/>
  <c r="E407" i="91"/>
  <c r="C407" i="91"/>
  <c r="R406" i="91"/>
  <c r="S406" i="91"/>
  <c r="Q406" i="91"/>
  <c r="O406" i="91"/>
  <c r="M406" i="91"/>
  <c r="K406" i="91"/>
  <c r="I406" i="91"/>
  <c r="G406" i="91"/>
  <c r="E406" i="91"/>
  <c r="C406" i="91"/>
  <c r="R405" i="91"/>
  <c r="S405" i="91"/>
  <c r="Q405" i="91"/>
  <c r="O405" i="91"/>
  <c r="M405" i="91"/>
  <c r="K405" i="91"/>
  <c r="I405" i="91"/>
  <c r="G405" i="91"/>
  <c r="E405" i="91"/>
  <c r="C405" i="91"/>
  <c r="R404" i="91"/>
  <c r="S404" i="91"/>
  <c r="Q404" i="91"/>
  <c r="O404" i="91"/>
  <c r="M404" i="91"/>
  <c r="K404" i="91"/>
  <c r="I404" i="91"/>
  <c r="G404" i="91"/>
  <c r="E404" i="91"/>
  <c r="C404" i="91"/>
  <c r="R403" i="91"/>
  <c r="S403" i="91"/>
  <c r="Q403" i="91"/>
  <c r="O403" i="91"/>
  <c r="M403" i="91"/>
  <c r="K403" i="91"/>
  <c r="I403" i="91"/>
  <c r="G403" i="91"/>
  <c r="E403" i="91"/>
  <c r="C403" i="91"/>
  <c r="R402" i="91"/>
  <c r="S402" i="91"/>
  <c r="Q402" i="91"/>
  <c r="O402" i="91"/>
  <c r="M402" i="91"/>
  <c r="K402" i="91"/>
  <c r="I402" i="91"/>
  <c r="G402" i="91"/>
  <c r="E402" i="91"/>
  <c r="C402" i="91"/>
  <c r="R401" i="91"/>
  <c r="S401" i="91"/>
  <c r="Q401" i="91"/>
  <c r="O401" i="91"/>
  <c r="M401" i="91"/>
  <c r="K401" i="91"/>
  <c r="I401" i="91"/>
  <c r="G401" i="91"/>
  <c r="E401" i="91"/>
  <c r="C401" i="91"/>
  <c r="R400" i="91"/>
  <c r="S400" i="91"/>
  <c r="Q400" i="91"/>
  <c r="O400" i="91"/>
  <c r="M400" i="91"/>
  <c r="K400" i="91"/>
  <c r="I400" i="91"/>
  <c r="G400" i="91"/>
  <c r="E400" i="91"/>
  <c r="C400" i="91"/>
  <c r="R399" i="91"/>
  <c r="S399" i="91"/>
  <c r="Q399" i="91"/>
  <c r="O399" i="91"/>
  <c r="M399" i="91"/>
  <c r="K399" i="91"/>
  <c r="I399" i="91"/>
  <c r="G399" i="91"/>
  <c r="E399" i="91"/>
  <c r="C399" i="91"/>
  <c r="R398" i="91"/>
  <c r="S398" i="91"/>
  <c r="Q398" i="91"/>
  <c r="O398" i="91"/>
  <c r="M398" i="91"/>
  <c r="K398" i="91"/>
  <c r="I398" i="91"/>
  <c r="G398" i="91"/>
  <c r="E398" i="91"/>
  <c r="C398" i="91"/>
  <c r="R397" i="91"/>
  <c r="S397" i="91"/>
  <c r="Q397" i="91"/>
  <c r="O397" i="91"/>
  <c r="M397" i="91"/>
  <c r="K397" i="91"/>
  <c r="I397" i="91"/>
  <c r="G397" i="91"/>
  <c r="E397" i="91"/>
  <c r="C397" i="91"/>
  <c r="R396" i="91"/>
  <c r="S396" i="91"/>
  <c r="Q396" i="91"/>
  <c r="O396" i="91"/>
  <c r="M396" i="91"/>
  <c r="K396" i="91"/>
  <c r="I396" i="91"/>
  <c r="G396" i="91"/>
  <c r="E396" i="91"/>
  <c r="C396" i="91"/>
  <c r="R395" i="91"/>
  <c r="S395" i="91"/>
  <c r="Q395" i="91"/>
  <c r="O395" i="91"/>
  <c r="M395" i="91"/>
  <c r="K395" i="91"/>
  <c r="I395" i="91"/>
  <c r="G395" i="91"/>
  <c r="E395" i="91"/>
  <c r="C395" i="91"/>
  <c r="R394" i="91"/>
  <c r="S394" i="91"/>
  <c r="Q394" i="91"/>
  <c r="O394" i="91"/>
  <c r="M394" i="91"/>
  <c r="K394" i="91"/>
  <c r="I394" i="91"/>
  <c r="G394" i="91"/>
  <c r="E394" i="91"/>
  <c r="C394" i="91"/>
  <c r="R393" i="91"/>
  <c r="S393" i="91"/>
  <c r="Q393" i="91"/>
  <c r="O393" i="91"/>
  <c r="M393" i="91"/>
  <c r="K393" i="91"/>
  <c r="I393" i="91"/>
  <c r="G393" i="91"/>
  <c r="E393" i="91"/>
  <c r="C393" i="91"/>
  <c r="R392" i="91"/>
  <c r="S392" i="91"/>
  <c r="Q392" i="91"/>
  <c r="O392" i="91"/>
  <c r="M392" i="91"/>
  <c r="K392" i="91"/>
  <c r="I392" i="91"/>
  <c r="G392" i="91"/>
  <c r="E392" i="91"/>
  <c r="C392" i="91"/>
  <c r="R391" i="91"/>
  <c r="S391" i="91"/>
  <c r="Q391" i="91"/>
  <c r="O391" i="91"/>
  <c r="M391" i="91"/>
  <c r="K391" i="91"/>
  <c r="I391" i="91"/>
  <c r="G391" i="91"/>
  <c r="E391" i="91"/>
  <c r="C391" i="91"/>
  <c r="R390" i="91"/>
  <c r="S390" i="91"/>
  <c r="Q390" i="91"/>
  <c r="O390" i="91"/>
  <c r="M390" i="91"/>
  <c r="K390" i="91"/>
  <c r="I390" i="91"/>
  <c r="G390" i="91"/>
  <c r="E390" i="91"/>
  <c r="C390" i="91"/>
  <c r="R389" i="91"/>
  <c r="S389" i="91"/>
  <c r="Q389" i="91"/>
  <c r="O389" i="91"/>
  <c r="M389" i="91"/>
  <c r="K389" i="91"/>
  <c r="I389" i="91"/>
  <c r="G389" i="91"/>
  <c r="E389" i="91"/>
  <c r="C389" i="91"/>
  <c r="R388" i="91"/>
  <c r="S388" i="91"/>
  <c r="Q388" i="91"/>
  <c r="O388" i="91"/>
  <c r="M388" i="91"/>
  <c r="K388" i="91"/>
  <c r="I388" i="91"/>
  <c r="G388" i="91"/>
  <c r="E388" i="91"/>
  <c r="C388" i="91"/>
  <c r="R387" i="91"/>
  <c r="S387" i="91"/>
  <c r="Q387" i="91"/>
  <c r="O387" i="91"/>
  <c r="M387" i="91"/>
  <c r="K387" i="91"/>
  <c r="I387" i="91"/>
  <c r="G387" i="91"/>
  <c r="E387" i="91"/>
  <c r="C387" i="91"/>
  <c r="R386" i="91"/>
  <c r="S386" i="91"/>
  <c r="Q386" i="91"/>
  <c r="O386" i="91"/>
  <c r="M386" i="91"/>
  <c r="K386" i="91"/>
  <c r="I386" i="91"/>
  <c r="G386" i="91"/>
  <c r="E386" i="91"/>
  <c r="C386" i="91"/>
  <c r="R385" i="91"/>
  <c r="S385" i="91"/>
  <c r="Q385" i="91"/>
  <c r="O385" i="91"/>
  <c r="M385" i="91"/>
  <c r="K385" i="91"/>
  <c r="I385" i="91"/>
  <c r="G385" i="91"/>
  <c r="E385" i="91"/>
  <c r="C385" i="91"/>
  <c r="R384" i="91"/>
  <c r="S384" i="91"/>
  <c r="Q384" i="91"/>
  <c r="O384" i="91"/>
  <c r="M384" i="91"/>
  <c r="K384" i="91"/>
  <c r="I384" i="91"/>
  <c r="G384" i="91"/>
  <c r="E384" i="91"/>
  <c r="C384" i="91"/>
  <c r="R383" i="91"/>
  <c r="S383" i="91"/>
  <c r="Q383" i="91"/>
  <c r="O383" i="91"/>
  <c r="M383" i="91"/>
  <c r="K383" i="91"/>
  <c r="I383" i="91"/>
  <c r="G383" i="91"/>
  <c r="E383" i="91"/>
  <c r="C383" i="91"/>
  <c r="R382" i="91"/>
  <c r="S382" i="91"/>
  <c r="Q382" i="91"/>
  <c r="O382" i="91"/>
  <c r="M382" i="91"/>
  <c r="K382" i="91"/>
  <c r="I382" i="91"/>
  <c r="G382" i="91"/>
  <c r="E382" i="91"/>
  <c r="C382" i="91"/>
  <c r="R381" i="91"/>
  <c r="S381" i="91"/>
  <c r="Q381" i="91"/>
  <c r="O381" i="91"/>
  <c r="M381" i="91"/>
  <c r="K381" i="91"/>
  <c r="I381" i="91"/>
  <c r="G381" i="91"/>
  <c r="E381" i="91"/>
  <c r="C381" i="91"/>
  <c r="R380" i="91"/>
  <c r="S380" i="91"/>
  <c r="Q380" i="91"/>
  <c r="O380" i="91"/>
  <c r="M380" i="91"/>
  <c r="K380" i="91"/>
  <c r="I380" i="91"/>
  <c r="G380" i="91"/>
  <c r="E380" i="91"/>
  <c r="C380" i="91"/>
  <c r="R379" i="91"/>
  <c r="S379" i="91"/>
  <c r="Q379" i="91"/>
  <c r="O379" i="91"/>
  <c r="M379" i="91"/>
  <c r="K379" i="91"/>
  <c r="I379" i="91"/>
  <c r="G379" i="91"/>
  <c r="E379" i="91"/>
  <c r="C379" i="91"/>
  <c r="R378" i="91"/>
  <c r="S378" i="91"/>
  <c r="Q378" i="91"/>
  <c r="O378" i="91"/>
  <c r="M378" i="91"/>
  <c r="K378" i="91"/>
  <c r="I378" i="91"/>
  <c r="G378" i="91"/>
  <c r="E378" i="91"/>
  <c r="C378" i="91"/>
  <c r="R377" i="91"/>
  <c r="S377" i="91"/>
  <c r="Q377" i="91"/>
  <c r="O377" i="91"/>
  <c r="M377" i="91"/>
  <c r="K377" i="91"/>
  <c r="I377" i="91"/>
  <c r="G377" i="91"/>
  <c r="E377" i="91"/>
  <c r="C377" i="91"/>
  <c r="R376" i="91"/>
  <c r="S376" i="91"/>
  <c r="Q376" i="91"/>
  <c r="O376" i="91"/>
  <c r="M376" i="91"/>
  <c r="K376" i="91"/>
  <c r="I376" i="91"/>
  <c r="G376" i="91"/>
  <c r="E376" i="91"/>
  <c r="C376" i="91"/>
  <c r="R375" i="91"/>
  <c r="S375" i="91"/>
  <c r="Q375" i="91"/>
  <c r="O375" i="91"/>
  <c r="M375" i="91"/>
  <c r="K375" i="91"/>
  <c r="I375" i="91"/>
  <c r="G375" i="91"/>
  <c r="E375" i="91"/>
  <c r="C375" i="91"/>
  <c r="R374" i="91"/>
  <c r="S374" i="91"/>
  <c r="Q374" i="91"/>
  <c r="O374" i="91"/>
  <c r="M374" i="91"/>
  <c r="K374" i="91"/>
  <c r="I374" i="91"/>
  <c r="G374" i="91"/>
  <c r="E374" i="91"/>
  <c r="C374" i="91"/>
  <c r="R373" i="91"/>
  <c r="S373" i="91"/>
  <c r="Q373" i="91"/>
  <c r="O373" i="91"/>
  <c r="M373" i="91"/>
  <c r="K373" i="91"/>
  <c r="I373" i="91"/>
  <c r="G373" i="91"/>
  <c r="E373" i="91"/>
  <c r="C373" i="91"/>
  <c r="R372" i="91"/>
  <c r="S372" i="91"/>
  <c r="Q372" i="91"/>
  <c r="O372" i="91"/>
  <c r="M372" i="91"/>
  <c r="K372" i="91"/>
  <c r="I372" i="91"/>
  <c r="G372" i="91"/>
  <c r="E372" i="91"/>
  <c r="C372" i="91"/>
  <c r="R371" i="91"/>
  <c r="S371" i="91"/>
  <c r="Q371" i="91"/>
  <c r="O371" i="91"/>
  <c r="M371" i="91"/>
  <c r="K371" i="91"/>
  <c r="I371" i="91"/>
  <c r="G371" i="91"/>
  <c r="E371" i="91"/>
  <c r="C371" i="91"/>
  <c r="R370" i="91"/>
  <c r="S370" i="91"/>
  <c r="Q370" i="91"/>
  <c r="O370" i="91"/>
  <c r="M370" i="91"/>
  <c r="K370" i="91"/>
  <c r="I370" i="91"/>
  <c r="G370" i="91"/>
  <c r="E370" i="91"/>
  <c r="C370" i="91"/>
  <c r="R369" i="91"/>
  <c r="S369" i="91"/>
  <c r="Q369" i="91"/>
  <c r="O369" i="91"/>
  <c r="M369" i="91"/>
  <c r="K369" i="91"/>
  <c r="I369" i="91"/>
  <c r="G369" i="91"/>
  <c r="E369" i="91"/>
  <c r="C369" i="91"/>
  <c r="R368" i="91"/>
  <c r="S368" i="91"/>
  <c r="Q368" i="91"/>
  <c r="O368" i="91"/>
  <c r="M368" i="91"/>
  <c r="K368" i="91"/>
  <c r="I368" i="91"/>
  <c r="G368" i="91"/>
  <c r="E368" i="91"/>
  <c r="C368" i="91"/>
  <c r="R367" i="91"/>
  <c r="S367" i="91"/>
  <c r="Q367" i="91"/>
  <c r="O367" i="91"/>
  <c r="M367" i="91"/>
  <c r="K367" i="91"/>
  <c r="I367" i="91"/>
  <c r="G367" i="91"/>
  <c r="E367" i="91"/>
  <c r="C367" i="91"/>
  <c r="R366" i="91"/>
  <c r="S366" i="91"/>
  <c r="Q366" i="91"/>
  <c r="O366" i="91"/>
  <c r="M366" i="91"/>
  <c r="K366" i="91"/>
  <c r="I366" i="91"/>
  <c r="G366" i="91"/>
  <c r="E366" i="91"/>
  <c r="C366" i="91"/>
  <c r="R365" i="91"/>
  <c r="S365" i="91"/>
  <c r="Q365" i="91"/>
  <c r="O365" i="91"/>
  <c r="M365" i="91"/>
  <c r="K365" i="91"/>
  <c r="I365" i="91"/>
  <c r="G365" i="91"/>
  <c r="E365" i="91"/>
  <c r="C365" i="91"/>
  <c r="R364" i="91"/>
  <c r="S364" i="91"/>
  <c r="Q364" i="91"/>
  <c r="O364" i="91"/>
  <c r="M364" i="91"/>
  <c r="K364" i="91"/>
  <c r="I364" i="91"/>
  <c r="G364" i="91"/>
  <c r="E364" i="91"/>
  <c r="C364" i="91"/>
  <c r="R363" i="91"/>
  <c r="S363" i="91"/>
  <c r="Q363" i="91"/>
  <c r="O363" i="91"/>
  <c r="M363" i="91"/>
  <c r="K363" i="91"/>
  <c r="I363" i="91"/>
  <c r="G363" i="91"/>
  <c r="E363" i="91"/>
  <c r="C363" i="91"/>
  <c r="R362" i="91"/>
  <c r="S362" i="91"/>
  <c r="Q362" i="91"/>
  <c r="O362" i="91"/>
  <c r="M362" i="91"/>
  <c r="K362" i="91"/>
  <c r="I362" i="91"/>
  <c r="G362" i="91"/>
  <c r="E362" i="91"/>
  <c r="C362" i="91"/>
  <c r="R361" i="91"/>
  <c r="S361" i="91"/>
  <c r="Q361" i="91"/>
  <c r="O361" i="91"/>
  <c r="M361" i="91"/>
  <c r="K361" i="91"/>
  <c r="I361" i="91"/>
  <c r="G361" i="91"/>
  <c r="E361" i="91"/>
  <c r="C361" i="91"/>
  <c r="R360" i="91"/>
  <c r="S360" i="91"/>
  <c r="Q360" i="91"/>
  <c r="O360" i="91"/>
  <c r="M360" i="91"/>
  <c r="K360" i="91"/>
  <c r="I360" i="91"/>
  <c r="G360" i="91"/>
  <c r="E360" i="91"/>
  <c r="C360" i="91"/>
  <c r="R359" i="91"/>
  <c r="S359" i="91"/>
  <c r="Q359" i="91"/>
  <c r="O359" i="91"/>
  <c r="M359" i="91"/>
  <c r="K359" i="91"/>
  <c r="I359" i="91"/>
  <c r="G359" i="91"/>
  <c r="E359" i="91"/>
  <c r="C359" i="91"/>
  <c r="R358" i="91"/>
  <c r="S358" i="91"/>
  <c r="Q358" i="91"/>
  <c r="O358" i="91"/>
  <c r="M358" i="91"/>
  <c r="K358" i="91"/>
  <c r="I358" i="91"/>
  <c r="G358" i="91"/>
  <c r="E358" i="91"/>
  <c r="C358" i="91"/>
  <c r="R357" i="91"/>
  <c r="S357" i="91"/>
  <c r="Q357" i="91"/>
  <c r="O357" i="91"/>
  <c r="M357" i="91"/>
  <c r="K357" i="91"/>
  <c r="I357" i="91"/>
  <c r="G357" i="91"/>
  <c r="E357" i="91"/>
  <c r="C357" i="91"/>
  <c r="R356" i="91"/>
  <c r="S356" i="91"/>
  <c r="Q356" i="91"/>
  <c r="O356" i="91"/>
  <c r="M356" i="91"/>
  <c r="K356" i="91"/>
  <c r="I356" i="91"/>
  <c r="G356" i="91"/>
  <c r="E356" i="91"/>
  <c r="C356" i="91"/>
  <c r="R355" i="91"/>
  <c r="S355" i="91"/>
  <c r="Q355" i="91"/>
  <c r="O355" i="91"/>
  <c r="M355" i="91"/>
  <c r="K355" i="91"/>
  <c r="I355" i="91"/>
  <c r="G355" i="91"/>
  <c r="E355" i="91"/>
  <c r="C355" i="91"/>
  <c r="R354" i="91"/>
  <c r="S354" i="91"/>
  <c r="Q354" i="91"/>
  <c r="O354" i="91"/>
  <c r="M354" i="91"/>
  <c r="K354" i="91"/>
  <c r="I354" i="91"/>
  <c r="G354" i="91"/>
  <c r="E354" i="91"/>
  <c r="C354" i="91"/>
  <c r="R353" i="91"/>
  <c r="S353" i="91"/>
  <c r="Q353" i="91"/>
  <c r="O353" i="91"/>
  <c r="M353" i="91"/>
  <c r="K353" i="91"/>
  <c r="I353" i="91"/>
  <c r="G353" i="91"/>
  <c r="E353" i="91"/>
  <c r="C353" i="91"/>
  <c r="R352" i="91"/>
  <c r="S352" i="91"/>
  <c r="Q352" i="91"/>
  <c r="O352" i="91"/>
  <c r="M352" i="91"/>
  <c r="K352" i="91"/>
  <c r="I352" i="91"/>
  <c r="G352" i="91"/>
  <c r="E352" i="91"/>
  <c r="C352" i="91"/>
  <c r="R351" i="91"/>
  <c r="S351" i="91"/>
  <c r="Q351" i="91"/>
  <c r="O351" i="91"/>
  <c r="M351" i="91"/>
  <c r="K351" i="91"/>
  <c r="I351" i="91"/>
  <c r="G351" i="91"/>
  <c r="E351" i="91"/>
  <c r="C351" i="91"/>
  <c r="R350" i="91"/>
  <c r="S350" i="91"/>
  <c r="Q350" i="91"/>
  <c r="O350" i="91"/>
  <c r="M350" i="91"/>
  <c r="K350" i="91"/>
  <c r="I350" i="91"/>
  <c r="G350" i="91"/>
  <c r="E350" i="91"/>
  <c r="C350" i="91"/>
  <c r="R349" i="91"/>
  <c r="S349" i="91"/>
  <c r="Q349" i="91"/>
  <c r="O349" i="91"/>
  <c r="M349" i="91"/>
  <c r="K349" i="91"/>
  <c r="I349" i="91"/>
  <c r="G349" i="91"/>
  <c r="E349" i="91"/>
  <c r="C349" i="91"/>
  <c r="R348" i="91"/>
  <c r="S348" i="91"/>
  <c r="Q348" i="91"/>
  <c r="O348" i="91"/>
  <c r="M348" i="91"/>
  <c r="K348" i="91"/>
  <c r="I348" i="91"/>
  <c r="G348" i="91"/>
  <c r="E348" i="91"/>
  <c r="C348" i="91"/>
  <c r="R347" i="91"/>
  <c r="S347" i="91"/>
  <c r="Q347" i="91"/>
  <c r="O347" i="91"/>
  <c r="M347" i="91"/>
  <c r="K347" i="91"/>
  <c r="I347" i="91"/>
  <c r="G347" i="91"/>
  <c r="E347" i="91"/>
  <c r="C347" i="91"/>
  <c r="R346" i="91"/>
  <c r="S346" i="91"/>
  <c r="Q346" i="91"/>
  <c r="O346" i="91"/>
  <c r="M346" i="91"/>
  <c r="K346" i="91"/>
  <c r="I346" i="91"/>
  <c r="G346" i="91"/>
  <c r="E346" i="91"/>
  <c r="C346" i="91"/>
  <c r="R345" i="91"/>
  <c r="S345" i="91"/>
  <c r="Q345" i="91"/>
  <c r="O345" i="91"/>
  <c r="M345" i="91"/>
  <c r="K345" i="91"/>
  <c r="I345" i="91"/>
  <c r="G345" i="91"/>
  <c r="E345" i="91"/>
  <c r="C345" i="91"/>
  <c r="R344" i="91"/>
  <c r="S344" i="91"/>
  <c r="Q344" i="91"/>
  <c r="O344" i="91"/>
  <c r="M344" i="91"/>
  <c r="K344" i="91"/>
  <c r="I344" i="91"/>
  <c r="G344" i="91"/>
  <c r="E344" i="91"/>
  <c r="C344" i="91"/>
  <c r="R343" i="91"/>
  <c r="S343" i="91"/>
  <c r="Q343" i="91"/>
  <c r="O343" i="91"/>
  <c r="M343" i="91"/>
  <c r="K343" i="91"/>
  <c r="I343" i="91"/>
  <c r="G343" i="91"/>
  <c r="E343" i="91"/>
  <c r="C343" i="91"/>
  <c r="R342" i="91"/>
  <c r="S342" i="91"/>
  <c r="Q342" i="91"/>
  <c r="O342" i="91"/>
  <c r="M342" i="91"/>
  <c r="K342" i="91"/>
  <c r="I342" i="91"/>
  <c r="G342" i="91"/>
  <c r="E342" i="91"/>
  <c r="C342" i="91"/>
  <c r="R341" i="91"/>
  <c r="S341" i="91"/>
  <c r="Q341" i="91"/>
  <c r="O341" i="91"/>
  <c r="M341" i="91"/>
  <c r="K341" i="91"/>
  <c r="I341" i="91"/>
  <c r="G341" i="91"/>
  <c r="E341" i="91"/>
  <c r="C341" i="91"/>
  <c r="R340" i="91"/>
  <c r="S340" i="91"/>
  <c r="Q340" i="91"/>
  <c r="O340" i="91"/>
  <c r="M340" i="91"/>
  <c r="K340" i="91"/>
  <c r="I340" i="91"/>
  <c r="G340" i="91"/>
  <c r="E340" i="91"/>
  <c r="C340" i="91"/>
  <c r="R339" i="91"/>
  <c r="S339" i="91"/>
  <c r="Q339" i="91"/>
  <c r="O339" i="91"/>
  <c r="M339" i="91"/>
  <c r="K339" i="91"/>
  <c r="I339" i="91"/>
  <c r="G339" i="91"/>
  <c r="E339" i="91"/>
  <c r="C339" i="91"/>
  <c r="R338" i="91"/>
  <c r="S338" i="91"/>
  <c r="Q338" i="91"/>
  <c r="O338" i="91"/>
  <c r="M338" i="91"/>
  <c r="K338" i="91"/>
  <c r="I338" i="91"/>
  <c r="G338" i="91"/>
  <c r="E338" i="91"/>
  <c r="C338" i="91"/>
  <c r="R337" i="91"/>
  <c r="S337" i="91"/>
  <c r="Q337" i="91"/>
  <c r="O337" i="91"/>
  <c r="M337" i="91"/>
  <c r="K337" i="91"/>
  <c r="I337" i="91"/>
  <c r="G337" i="91"/>
  <c r="E337" i="91"/>
  <c r="C337" i="91"/>
  <c r="R336" i="91"/>
  <c r="S336" i="91"/>
  <c r="Q336" i="91"/>
  <c r="O336" i="91"/>
  <c r="M336" i="91"/>
  <c r="K336" i="91"/>
  <c r="I336" i="91"/>
  <c r="G336" i="91"/>
  <c r="E336" i="91"/>
  <c r="C336" i="91"/>
  <c r="R335" i="91"/>
  <c r="S335" i="91"/>
  <c r="Q335" i="91"/>
  <c r="O335" i="91"/>
  <c r="M335" i="91"/>
  <c r="K335" i="91"/>
  <c r="I335" i="91"/>
  <c r="G335" i="91"/>
  <c r="E335" i="91"/>
  <c r="C335" i="91"/>
  <c r="R334" i="91"/>
  <c r="S334" i="91"/>
  <c r="Q334" i="91"/>
  <c r="O334" i="91"/>
  <c r="M334" i="91"/>
  <c r="K334" i="91"/>
  <c r="I334" i="91"/>
  <c r="G334" i="91"/>
  <c r="E334" i="91"/>
  <c r="C334" i="91"/>
  <c r="R333" i="91"/>
  <c r="S333" i="91"/>
  <c r="Q333" i="91"/>
  <c r="O333" i="91"/>
  <c r="M333" i="91"/>
  <c r="K333" i="91"/>
  <c r="I333" i="91"/>
  <c r="G333" i="91"/>
  <c r="E333" i="91"/>
  <c r="C333" i="91"/>
  <c r="R332" i="91"/>
  <c r="S332" i="91"/>
  <c r="Q332" i="91"/>
  <c r="O332" i="91"/>
  <c r="M332" i="91"/>
  <c r="K332" i="91"/>
  <c r="I332" i="91"/>
  <c r="G332" i="91"/>
  <c r="E332" i="91"/>
  <c r="C332" i="91"/>
  <c r="R331" i="91"/>
  <c r="S331" i="91"/>
  <c r="Q331" i="91"/>
  <c r="O331" i="91"/>
  <c r="M331" i="91"/>
  <c r="K331" i="91"/>
  <c r="I331" i="91"/>
  <c r="G331" i="91"/>
  <c r="E331" i="91"/>
  <c r="C331" i="91"/>
  <c r="R330" i="91"/>
  <c r="S330" i="91"/>
  <c r="Q330" i="91"/>
  <c r="O330" i="91"/>
  <c r="M330" i="91"/>
  <c r="K330" i="91"/>
  <c r="I330" i="91"/>
  <c r="G330" i="91"/>
  <c r="E330" i="91"/>
  <c r="C330" i="91"/>
  <c r="R329" i="91"/>
  <c r="S329" i="91"/>
  <c r="Q329" i="91"/>
  <c r="O329" i="91"/>
  <c r="M329" i="91"/>
  <c r="K329" i="91"/>
  <c r="I329" i="91"/>
  <c r="G329" i="91"/>
  <c r="E329" i="91"/>
  <c r="C329" i="91"/>
  <c r="R328" i="91"/>
  <c r="S328" i="91"/>
  <c r="Q328" i="91"/>
  <c r="O328" i="91"/>
  <c r="M328" i="91"/>
  <c r="K328" i="91"/>
  <c r="I328" i="91"/>
  <c r="G328" i="91"/>
  <c r="E328" i="91"/>
  <c r="C328" i="91"/>
  <c r="R327" i="91"/>
  <c r="S327" i="91"/>
  <c r="Q327" i="91"/>
  <c r="O327" i="91"/>
  <c r="M327" i="91"/>
  <c r="K327" i="91"/>
  <c r="I327" i="91"/>
  <c r="G327" i="91"/>
  <c r="E327" i="91"/>
  <c r="C327" i="91"/>
  <c r="R326" i="91"/>
  <c r="S326" i="91"/>
  <c r="Q326" i="91"/>
  <c r="O326" i="91"/>
  <c r="M326" i="91"/>
  <c r="K326" i="91"/>
  <c r="I326" i="91"/>
  <c r="G326" i="91"/>
  <c r="E326" i="91"/>
  <c r="C326" i="91"/>
  <c r="R325" i="91"/>
  <c r="S325" i="91"/>
  <c r="Q325" i="91"/>
  <c r="O325" i="91"/>
  <c r="M325" i="91"/>
  <c r="K325" i="91"/>
  <c r="I325" i="91"/>
  <c r="G325" i="91"/>
  <c r="E325" i="91"/>
  <c r="C325" i="91"/>
  <c r="R324" i="91"/>
  <c r="S324" i="91"/>
  <c r="Q324" i="91"/>
  <c r="O324" i="91"/>
  <c r="M324" i="91"/>
  <c r="K324" i="91"/>
  <c r="I324" i="91"/>
  <c r="G324" i="91"/>
  <c r="E324" i="91"/>
  <c r="C324" i="91"/>
  <c r="R323" i="91"/>
  <c r="S323" i="91"/>
  <c r="Q323" i="91"/>
  <c r="O323" i="91"/>
  <c r="M323" i="91"/>
  <c r="K323" i="91"/>
  <c r="I323" i="91"/>
  <c r="G323" i="91"/>
  <c r="E323" i="91"/>
  <c r="C323" i="91"/>
  <c r="R322" i="91"/>
  <c r="S322" i="91"/>
  <c r="Q322" i="91"/>
  <c r="O322" i="91"/>
  <c r="M322" i="91"/>
  <c r="K322" i="91"/>
  <c r="I322" i="91"/>
  <c r="G322" i="91"/>
  <c r="E322" i="91"/>
  <c r="C322" i="91"/>
  <c r="R321" i="91"/>
  <c r="S321" i="91"/>
  <c r="Q321" i="91"/>
  <c r="O321" i="91"/>
  <c r="M321" i="91"/>
  <c r="K321" i="91"/>
  <c r="I321" i="91"/>
  <c r="G321" i="91"/>
  <c r="E321" i="91"/>
  <c r="C321" i="91"/>
  <c r="R320" i="91"/>
  <c r="S320" i="91"/>
  <c r="Q320" i="91"/>
  <c r="O320" i="91"/>
  <c r="M320" i="91"/>
  <c r="K320" i="91"/>
  <c r="I320" i="91"/>
  <c r="G320" i="91"/>
  <c r="E320" i="91"/>
  <c r="C320" i="91"/>
  <c r="R319" i="91"/>
  <c r="S319" i="91"/>
  <c r="Q319" i="91"/>
  <c r="O319" i="91"/>
  <c r="M319" i="91"/>
  <c r="K319" i="91"/>
  <c r="I319" i="91"/>
  <c r="G319" i="91"/>
  <c r="E319" i="91"/>
  <c r="C319" i="91"/>
  <c r="R318" i="91"/>
  <c r="S318" i="91"/>
  <c r="Q318" i="91"/>
  <c r="O318" i="91"/>
  <c r="M318" i="91"/>
  <c r="K318" i="91"/>
  <c r="I318" i="91"/>
  <c r="G318" i="91"/>
  <c r="E318" i="91"/>
  <c r="C318" i="91"/>
  <c r="R317" i="91"/>
  <c r="S317" i="91"/>
  <c r="Q317" i="91"/>
  <c r="O317" i="91"/>
  <c r="M317" i="91"/>
  <c r="K317" i="91"/>
  <c r="I317" i="91"/>
  <c r="G317" i="91"/>
  <c r="E317" i="91"/>
  <c r="C317" i="91"/>
  <c r="R316" i="91"/>
  <c r="S316" i="91"/>
  <c r="Q316" i="91"/>
  <c r="O316" i="91"/>
  <c r="M316" i="91"/>
  <c r="K316" i="91"/>
  <c r="I316" i="91"/>
  <c r="G316" i="91"/>
  <c r="E316" i="91"/>
  <c r="C316" i="91"/>
  <c r="R315" i="91"/>
  <c r="S315" i="91"/>
  <c r="Q315" i="91"/>
  <c r="O315" i="91"/>
  <c r="M315" i="91"/>
  <c r="K315" i="91"/>
  <c r="I315" i="91"/>
  <c r="G315" i="91"/>
  <c r="E315" i="91"/>
  <c r="C315" i="91"/>
  <c r="R314" i="91"/>
  <c r="S314" i="91"/>
  <c r="Q314" i="91"/>
  <c r="O314" i="91"/>
  <c r="M314" i="91"/>
  <c r="K314" i="91"/>
  <c r="I314" i="91"/>
  <c r="G314" i="91"/>
  <c r="E314" i="91"/>
  <c r="C314" i="91"/>
  <c r="R313" i="91"/>
  <c r="S313" i="91"/>
  <c r="Q313" i="91"/>
  <c r="O313" i="91"/>
  <c r="M313" i="91"/>
  <c r="K313" i="91"/>
  <c r="I313" i="91"/>
  <c r="G313" i="91"/>
  <c r="E313" i="91"/>
  <c r="C313" i="91"/>
  <c r="R312" i="91"/>
  <c r="S312" i="91"/>
  <c r="Q312" i="91"/>
  <c r="O312" i="91"/>
  <c r="M312" i="91"/>
  <c r="K312" i="91"/>
  <c r="I312" i="91"/>
  <c r="G312" i="91"/>
  <c r="E312" i="91"/>
  <c r="C312" i="91"/>
  <c r="R311" i="91"/>
  <c r="S311" i="91"/>
  <c r="Q311" i="91"/>
  <c r="O311" i="91"/>
  <c r="M311" i="91"/>
  <c r="K311" i="91"/>
  <c r="I311" i="91"/>
  <c r="G311" i="91"/>
  <c r="E311" i="91"/>
  <c r="C311" i="91"/>
  <c r="R310" i="91"/>
  <c r="S310" i="91"/>
  <c r="Q310" i="91"/>
  <c r="O310" i="91"/>
  <c r="M310" i="91"/>
  <c r="K310" i="91"/>
  <c r="I310" i="91"/>
  <c r="G310" i="91"/>
  <c r="E310" i="91"/>
  <c r="C310" i="91"/>
  <c r="R309" i="91"/>
  <c r="S309" i="91"/>
  <c r="Q309" i="91"/>
  <c r="O309" i="91"/>
  <c r="M309" i="91"/>
  <c r="K309" i="91"/>
  <c r="I309" i="91"/>
  <c r="G309" i="91"/>
  <c r="E309" i="91"/>
  <c r="C309" i="91"/>
  <c r="R308" i="91"/>
  <c r="S308" i="91"/>
  <c r="Q308" i="91"/>
  <c r="O308" i="91"/>
  <c r="M308" i="91"/>
  <c r="K308" i="91"/>
  <c r="I308" i="91"/>
  <c r="G308" i="91"/>
  <c r="E308" i="91"/>
  <c r="C308" i="91"/>
  <c r="R307" i="91"/>
  <c r="S307" i="91"/>
  <c r="Q307" i="91"/>
  <c r="O307" i="91"/>
  <c r="M307" i="91"/>
  <c r="K307" i="91"/>
  <c r="I307" i="91"/>
  <c r="G307" i="91"/>
  <c r="E307" i="91"/>
  <c r="C307" i="91"/>
  <c r="R306" i="91"/>
  <c r="S306" i="91"/>
  <c r="Q306" i="91"/>
  <c r="O306" i="91"/>
  <c r="M306" i="91"/>
  <c r="K306" i="91"/>
  <c r="I306" i="91"/>
  <c r="G306" i="91"/>
  <c r="E306" i="91"/>
  <c r="C306" i="91"/>
  <c r="R305" i="91"/>
  <c r="S305" i="91"/>
  <c r="Q305" i="91"/>
  <c r="O305" i="91"/>
  <c r="M305" i="91"/>
  <c r="K305" i="91"/>
  <c r="I305" i="91"/>
  <c r="G305" i="91"/>
  <c r="E305" i="91"/>
  <c r="C305" i="91"/>
  <c r="R304" i="91"/>
  <c r="S304" i="91"/>
  <c r="Q304" i="91"/>
  <c r="O304" i="91"/>
  <c r="M304" i="91"/>
  <c r="K304" i="91"/>
  <c r="I304" i="91"/>
  <c r="G304" i="91"/>
  <c r="E304" i="91"/>
  <c r="C304" i="91"/>
  <c r="R303" i="91"/>
  <c r="S303" i="91"/>
  <c r="Q303" i="91"/>
  <c r="O303" i="91"/>
  <c r="M303" i="91"/>
  <c r="K303" i="91"/>
  <c r="I303" i="91"/>
  <c r="G303" i="91"/>
  <c r="E303" i="91"/>
  <c r="C303" i="91"/>
  <c r="R302" i="91"/>
  <c r="S302" i="91"/>
  <c r="Q302" i="91"/>
  <c r="O302" i="91"/>
  <c r="M302" i="91"/>
  <c r="K302" i="91"/>
  <c r="I302" i="91"/>
  <c r="G302" i="91"/>
  <c r="E302" i="91"/>
  <c r="C302" i="91"/>
  <c r="R301" i="91"/>
  <c r="S301" i="91"/>
  <c r="Q301" i="91"/>
  <c r="O301" i="91"/>
  <c r="M301" i="91"/>
  <c r="K301" i="91"/>
  <c r="I301" i="91"/>
  <c r="G301" i="91"/>
  <c r="E301" i="91"/>
  <c r="C301" i="91"/>
  <c r="R300" i="91"/>
  <c r="S300" i="91"/>
  <c r="Q300" i="91"/>
  <c r="O300" i="91"/>
  <c r="M300" i="91"/>
  <c r="K300" i="91"/>
  <c r="I300" i="91"/>
  <c r="G300" i="91"/>
  <c r="E300" i="91"/>
  <c r="C300" i="91"/>
  <c r="R299" i="91"/>
  <c r="S299" i="91"/>
  <c r="Q299" i="91"/>
  <c r="O299" i="91"/>
  <c r="M299" i="91"/>
  <c r="K299" i="91"/>
  <c r="I299" i="91"/>
  <c r="G299" i="91"/>
  <c r="E299" i="91"/>
  <c r="C299" i="91"/>
  <c r="R298" i="91"/>
  <c r="S298" i="91"/>
  <c r="Q298" i="91"/>
  <c r="O298" i="91"/>
  <c r="M298" i="91"/>
  <c r="K298" i="91"/>
  <c r="I298" i="91"/>
  <c r="G298" i="91"/>
  <c r="E298" i="91"/>
  <c r="C298" i="91"/>
  <c r="R297" i="91"/>
  <c r="S297" i="91"/>
  <c r="Q297" i="91"/>
  <c r="O297" i="91"/>
  <c r="M297" i="91"/>
  <c r="K297" i="91"/>
  <c r="I297" i="91"/>
  <c r="G297" i="91"/>
  <c r="E297" i="91"/>
  <c r="C297" i="91"/>
  <c r="R296" i="91"/>
  <c r="S296" i="91"/>
  <c r="Q296" i="91"/>
  <c r="O296" i="91"/>
  <c r="M296" i="91"/>
  <c r="K296" i="91"/>
  <c r="I296" i="91"/>
  <c r="G296" i="91"/>
  <c r="E296" i="91"/>
  <c r="C296" i="91"/>
  <c r="R295" i="91"/>
  <c r="S295" i="91"/>
  <c r="Q295" i="91"/>
  <c r="O295" i="91"/>
  <c r="M295" i="91"/>
  <c r="K295" i="91"/>
  <c r="I295" i="91"/>
  <c r="G295" i="91"/>
  <c r="E295" i="91"/>
  <c r="C295" i="91"/>
  <c r="R294" i="91"/>
  <c r="S294" i="91"/>
  <c r="Q294" i="91"/>
  <c r="O294" i="91"/>
  <c r="M294" i="91"/>
  <c r="K294" i="91"/>
  <c r="I294" i="91"/>
  <c r="G294" i="91"/>
  <c r="E294" i="91"/>
  <c r="C294" i="91"/>
  <c r="R293" i="91"/>
  <c r="S293" i="91"/>
  <c r="Q293" i="91"/>
  <c r="O293" i="91"/>
  <c r="M293" i="91"/>
  <c r="K293" i="91"/>
  <c r="I293" i="91"/>
  <c r="G293" i="91"/>
  <c r="E293" i="91"/>
  <c r="C293" i="91"/>
  <c r="R292" i="91"/>
  <c r="S292" i="91"/>
  <c r="Q292" i="91"/>
  <c r="O292" i="91"/>
  <c r="M292" i="91"/>
  <c r="K292" i="91"/>
  <c r="I292" i="91"/>
  <c r="G292" i="91"/>
  <c r="E292" i="91"/>
  <c r="C292" i="91"/>
  <c r="R291" i="91"/>
  <c r="S291" i="91"/>
  <c r="Q291" i="91"/>
  <c r="O291" i="91"/>
  <c r="M291" i="91"/>
  <c r="K291" i="91"/>
  <c r="I291" i="91"/>
  <c r="G291" i="91"/>
  <c r="E291" i="91"/>
  <c r="C291" i="91"/>
  <c r="R290" i="91"/>
  <c r="S290" i="91"/>
  <c r="Q290" i="91"/>
  <c r="O290" i="91"/>
  <c r="M290" i="91"/>
  <c r="K290" i="91"/>
  <c r="I290" i="91"/>
  <c r="G290" i="91"/>
  <c r="E290" i="91"/>
  <c r="C290" i="91"/>
  <c r="R289" i="91"/>
  <c r="S289" i="91"/>
  <c r="Q289" i="91"/>
  <c r="O289" i="91"/>
  <c r="M289" i="91"/>
  <c r="K289" i="91"/>
  <c r="I289" i="91"/>
  <c r="G289" i="91"/>
  <c r="E289" i="91"/>
  <c r="C289" i="91"/>
  <c r="R288" i="91"/>
  <c r="S288" i="91"/>
  <c r="Q288" i="91"/>
  <c r="O288" i="91"/>
  <c r="M288" i="91"/>
  <c r="K288" i="91"/>
  <c r="I288" i="91"/>
  <c r="G288" i="91"/>
  <c r="E288" i="91"/>
  <c r="C288" i="91"/>
  <c r="R287" i="91"/>
  <c r="S287" i="91"/>
  <c r="Q287" i="91"/>
  <c r="O287" i="91"/>
  <c r="M287" i="91"/>
  <c r="K287" i="91"/>
  <c r="I287" i="91"/>
  <c r="G287" i="91"/>
  <c r="E287" i="91"/>
  <c r="C287" i="91"/>
  <c r="R286" i="91"/>
  <c r="S286" i="91"/>
  <c r="Q286" i="91"/>
  <c r="O286" i="91"/>
  <c r="M286" i="91"/>
  <c r="K286" i="91"/>
  <c r="I286" i="91"/>
  <c r="G286" i="91"/>
  <c r="E286" i="91"/>
  <c r="C286" i="91"/>
  <c r="R285" i="91"/>
  <c r="S285" i="91"/>
  <c r="Q285" i="91"/>
  <c r="O285" i="91"/>
  <c r="M285" i="91"/>
  <c r="K285" i="91"/>
  <c r="I285" i="91"/>
  <c r="G285" i="91"/>
  <c r="E285" i="91"/>
  <c r="C285" i="91"/>
  <c r="R284" i="91"/>
  <c r="S284" i="91"/>
  <c r="Q284" i="91"/>
  <c r="O284" i="91"/>
  <c r="M284" i="91"/>
  <c r="K284" i="91"/>
  <c r="I284" i="91"/>
  <c r="G284" i="91"/>
  <c r="E284" i="91"/>
  <c r="C284" i="91"/>
  <c r="R283" i="91"/>
  <c r="S283" i="91"/>
  <c r="Q283" i="91"/>
  <c r="O283" i="91"/>
  <c r="M283" i="91"/>
  <c r="K283" i="91"/>
  <c r="I283" i="91"/>
  <c r="G283" i="91"/>
  <c r="E283" i="91"/>
  <c r="C283" i="91"/>
  <c r="R282" i="91"/>
  <c r="S282" i="91"/>
  <c r="Q282" i="91"/>
  <c r="O282" i="91"/>
  <c r="M282" i="91"/>
  <c r="K282" i="91"/>
  <c r="I282" i="91"/>
  <c r="G282" i="91"/>
  <c r="E282" i="91"/>
  <c r="C282" i="91"/>
  <c r="R281" i="91"/>
  <c r="S281" i="91"/>
  <c r="Q281" i="91"/>
  <c r="O281" i="91"/>
  <c r="M281" i="91"/>
  <c r="K281" i="91"/>
  <c r="I281" i="91"/>
  <c r="G281" i="91"/>
  <c r="E281" i="91"/>
  <c r="C281" i="91"/>
  <c r="R280" i="91"/>
  <c r="S280" i="91"/>
  <c r="Q280" i="91"/>
  <c r="O280" i="91"/>
  <c r="M280" i="91"/>
  <c r="K280" i="91"/>
  <c r="I280" i="91"/>
  <c r="G280" i="91"/>
  <c r="E280" i="91"/>
  <c r="C280" i="91"/>
  <c r="R279" i="91"/>
  <c r="S279" i="91"/>
  <c r="Q279" i="91"/>
  <c r="O279" i="91"/>
  <c r="M279" i="91"/>
  <c r="K279" i="91"/>
  <c r="I279" i="91"/>
  <c r="G279" i="91"/>
  <c r="E279" i="91"/>
  <c r="C279" i="91"/>
  <c r="R278" i="91"/>
  <c r="S278" i="91"/>
  <c r="Q278" i="91"/>
  <c r="O278" i="91"/>
  <c r="M278" i="91"/>
  <c r="K278" i="91"/>
  <c r="I278" i="91"/>
  <c r="G278" i="91"/>
  <c r="E278" i="91"/>
  <c r="C278" i="91"/>
  <c r="R277" i="91"/>
  <c r="S277" i="91"/>
  <c r="Q277" i="91"/>
  <c r="O277" i="91"/>
  <c r="M277" i="91"/>
  <c r="K277" i="91"/>
  <c r="I277" i="91"/>
  <c r="G277" i="91"/>
  <c r="E277" i="91"/>
  <c r="C277" i="91"/>
  <c r="R276" i="91"/>
  <c r="S276" i="91"/>
  <c r="Q276" i="91"/>
  <c r="O276" i="91"/>
  <c r="M276" i="91"/>
  <c r="K276" i="91"/>
  <c r="I276" i="91"/>
  <c r="G276" i="91"/>
  <c r="E276" i="91"/>
  <c r="C276" i="91"/>
  <c r="R275" i="91"/>
  <c r="S275" i="91"/>
  <c r="Q275" i="91"/>
  <c r="O275" i="91"/>
  <c r="M275" i="91"/>
  <c r="K275" i="91"/>
  <c r="I275" i="91"/>
  <c r="G275" i="91"/>
  <c r="E275" i="91"/>
  <c r="C275" i="91"/>
  <c r="R274" i="91"/>
  <c r="S274" i="91"/>
  <c r="Q274" i="91"/>
  <c r="O274" i="91"/>
  <c r="M274" i="91"/>
  <c r="K274" i="91"/>
  <c r="I274" i="91"/>
  <c r="G274" i="91"/>
  <c r="E274" i="91"/>
  <c r="C274" i="91"/>
  <c r="R273" i="91"/>
  <c r="S273" i="91"/>
  <c r="Q273" i="91"/>
  <c r="O273" i="91"/>
  <c r="M273" i="91"/>
  <c r="K273" i="91"/>
  <c r="I273" i="91"/>
  <c r="G273" i="91"/>
  <c r="E273" i="91"/>
  <c r="C273" i="91"/>
  <c r="R272" i="91"/>
  <c r="S272" i="91"/>
  <c r="Q272" i="91"/>
  <c r="O272" i="91"/>
  <c r="M272" i="91"/>
  <c r="K272" i="91"/>
  <c r="I272" i="91"/>
  <c r="G272" i="91"/>
  <c r="E272" i="91"/>
  <c r="C272" i="91"/>
  <c r="R271" i="91"/>
  <c r="S271" i="91"/>
  <c r="Q271" i="91"/>
  <c r="O271" i="91"/>
  <c r="M271" i="91"/>
  <c r="K271" i="91"/>
  <c r="I271" i="91"/>
  <c r="G271" i="91"/>
  <c r="E271" i="91"/>
  <c r="C271" i="91"/>
  <c r="R270" i="91"/>
  <c r="S270" i="91"/>
  <c r="Q270" i="91"/>
  <c r="O270" i="91"/>
  <c r="M270" i="91"/>
  <c r="K270" i="91"/>
  <c r="I270" i="91"/>
  <c r="G270" i="91"/>
  <c r="E270" i="91"/>
  <c r="C270" i="91"/>
  <c r="R269" i="91"/>
  <c r="S269" i="91"/>
  <c r="Q269" i="91"/>
  <c r="O269" i="91"/>
  <c r="M269" i="91"/>
  <c r="K269" i="91"/>
  <c r="I269" i="91"/>
  <c r="G269" i="91"/>
  <c r="E269" i="91"/>
  <c r="C269" i="91"/>
  <c r="R268" i="91"/>
  <c r="S268" i="91"/>
  <c r="Q268" i="91"/>
  <c r="O268" i="91"/>
  <c r="M268" i="91"/>
  <c r="K268" i="91"/>
  <c r="I268" i="91"/>
  <c r="G268" i="91"/>
  <c r="E268" i="91"/>
  <c r="C268" i="91"/>
  <c r="R267" i="91"/>
  <c r="S267" i="91"/>
  <c r="Q267" i="91"/>
  <c r="O267" i="91"/>
  <c r="M267" i="91"/>
  <c r="K267" i="91"/>
  <c r="I267" i="91"/>
  <c r="G267" i="91"/>
  <c r="E267" i="91"/>
  <c r="C267" i="91"/>
  <c r="R266" i="91"/>
  <c r="S266" i="91"/>
  <c r="Q266" i="91"/>
  <c r="O266" i="91"/>
  <c r="M266" i="91"/>
  <c r="K266" i="91"/>
  <c r="I266" i="91"/>
  <c r="G266" i="91"/>
  <c r="E266" i="91"/>
  <c r="C266" i="91"/>
  <c r="R265" i="91"/>
  <c r="S265" i="91"/>
  <c r="Q265" i="91"/>
  <c r="O265" i="91"/>
  <c r="M265" i="91"/>
  <c r="K265" i="91"/>
  <c r="I265" i="91"/>
  <c r="G265" i="91"/>
  <c r="E265" i="91"/>
  <c r="C265" i="91"/>
  <c r="R264" i="91"/>
  <c r="S264" i="91"/>
  <c r="Q264" i="91"/>
  <c r="O264" i="91"/>
  <c r="M264" i="91"/>
  <c r="K264" i="91"/>
  <c r="I264" i="91"/>
  <c r="G264" i="91"/>
  <c r="E264" i="91"/>
  <c r="C264" i="91"/>
  <c r="R263" i="91"/>
  <c r="S263" i="91"/>
  <c r="Q263" i="91"/>
  <c r="O263" i="91"/>
  <c r="M263" i="91"/>
  <c r="K263" i="91"/>
  <c r="I263" i="91"/>
  <c r="G263" i="91"/>
  <c r="E263" i="91"/>
  <c r="C263" i="91"/>
  <c r="R262" i="91"/>
  <c r="S262" i="91"/>
  <c r="Q262" i="91"/>
  <c r="O262" i="91"/>
  <c r="M262" i="91"/>
  <c r="K262" i="91"/>
  <c r="I262" i="91"/>
  <c r="G262" i="91"/>
  <c r="E262" i="91"/>
  <c r="C262" i="91"/>
  <c r="R261" i="91"/>
  <c r="S261" i="91"/>
  <c r="Q261" i="91"/>
  <c r="O261" i="91"/>
  <c r="M261" i="91"/>
  <c r="K261" i="91"/>
  <c r="I261" i="91"/>
  <c r="G261" i="91"/>
  <c r="E261" i="91"/>
  <c r="C261" i="91"/>
  <c r="R260" i="91"/>
  <c r="S260" i="91"/>
  <c r="Q260" i="91"/>
  <c r="O260" i="91"/>
  <c r="M260" i="91"/>
  <c r="K260" i="91"/>
  <c r="I260" i="91"/>
  <c r="G260" i="91"/>
  <c r="E260" i="91"/>
  <c r="C260" i="91"/>
  <c r="R259" i="91"/>
  <c r="S259" i="91"/>
  <c r="Q259" i="91"/>
  <c r="O259" i="91"/>
  <c r="M259" i="91"/>
  <c r="K259" i="91"/>
  <c r="I259" i="91"/>
  <c r="G259" i="91"/>
  <c r="E259" i="91"/>
  <c r="C259" i="91"/>
  <c r="R258" i="91"/>
  <c r="S258" i="91"/>
  <c r="Q258" i="91"/>
  <c r="O258" i="91"/>
  <c r="M258" i="91"/>
  <c r="K258" i="91"/>
  <c r="I258" i="91"/>
  <c r="G258" i="91"/>
  <c r="E258" i="91"/>
  <c r="C258" i="91"/>
  <c r="R257" i="91"/>
  <c r="S257" i="91"/>
  <c r="Q257" i="91"/>
  <c r="O257" i="91"/>
  <c r="M257" i="91"/>
  <c r="K257" i="91"/>
  <c r="I257" i="91"/>
  <c r="G257" i="91"/>
  <c r="E257" i="91"/>
  <c r="C257" i="91"/>
  <c r="R256" i="91"/>
  <c r="S256" i="91"/>
  <c r="Q256" i="91"/>
  <c r="O256" i="91"/>
  <c r="M256" i="91"/>
  <c r="K256" i="91"/>
  <c r="I256" i="91"/>
  <c r="G256" i="91"/>
  <c r="E256" i="91"/>
  <c r="C256" i="91"/>
  <c r="R255" i="91"/>
  <c r="S255" i="91"/>
  <c r="Q255" i="91"/>
  <c r="O255" i="91"/>
  <c r="M255" i="91"/>
  <c r="K255" i="91"/>
  <c r="I255" i="91"/>
  <c r="G255" i="91"/>
  <c r="E255" i="91"/>
  <c r="C255" i="91"/>
  <c r="R254" i="91"/>
  <c r="S254" i="91"/>
  <c r="Q254" i="91"/>
  <c r="O254" i="91"/>
  <c r="M254" i="91"/>
  <c r="K254" i="91"/>
  <c r="I254" i="91"/>
  <c r="G254" i="91"/>
  <c r="E254" i="91"/>
  <c r="C254" i="91"/>
  <c r="R253" i="91"/>
  <c r="S253" i="91"/>
  <c r="Q253" i="91"/>
  <c r="O253" i="91"/>
  <c r="M253" i="91"/>
  <c r="K253" i="91"/>
  <c r="I253" i="91"/>
  <c r="G253" i="91"/>
  <c r="E253" i="91"/>
  <c r="C253" i="91"/>
  <c r="R252" i="91"/>
  <c r="S252" i="91"/>
  <c r="Q252" i="91"/>
  <c r="O252" i="91"/>
  <c r="M252" i="91"/>
  <c r="K252" i="91"/>
  <c r="I252" i="91"/>
  <c r="G252" i="91"/>
  <c r="E252" i="91"/>
  <c r="C252" i="91"/>
  <c r="R251" i="91"/>
  <c r="S251" i="91"/>
  <c r="Q251" i="91"/>
  <c r="O251" i="91"/>
  <c r="M251" i="91"/>
  <c r="K251" i="91"/>
  <c r="I251" i="91"/>
  <c r="G251" i="91"/>
  <c r="E251" i="91"/>
  <c r="C251" i="91"/>
  <c r="R250" i="91"/>
  <c r="S250" i="91"/>
  <c r="Q250" i="91"/>
  <c r="O250" i="91"/>
  <c r="M250" i="91"/>
  <c r="K250" i="91"/>
  <c r="I250" i="91"/>
  <c r="G250" i="91"/>
  <c r="E250" i="91"/>
  <c r="C250" i="91"/>
  <c r="R249" i="91"/>
  <c r="S249" i="91"/>
  <c r="Q249" i="91"/>
  <c r="O249" i="91"/>
  <c r="M249" i="91"/>
  <c r="K249" i="91"/>
  <c r="I249" i="91"/>
  <c r="G249" i="91"/>
  <c r="E249" i="91"/>
  <c r="C249" i="91"/>
  <c r="R248" i="91"/>
  <c r="S248" i="91"/>
  <c r="Q248" i="91"/>
  <c r="O248" i="91"/>
  <c r="M248" i="91"/>
  <c r="K248" i="91"/>
  <c r="I248" i="91"/>
  <c r="G248" i="91"/>
  <c r="E248" i="91"/>
  <c r="C248" i="91"/>
  <c r="R247" i="91"/>
  <c r="S247" i="91"/>
  <c r="Q247" i="91"/>
  <c r="O247" i="91"/>
  <c r="M247" i="91"/>
  <c r="K247" i="91"/>
  <c r="I247" i="91"/>
  <c r="G247" i="91"/>
  <c r="E247" i="91"/>
  <c r="C247" i="91"/>
  <c r="R246" i="91"/>
  <c r="S246" i="91"/>
  <c r="Q246" i="91"/>
  <c r="O246" i="91"/>
  <c r="M246" i="91"/>
  <c r="K246" i="91"/>
  <c r="I246" i="91"/>
  <c r="G246" i="91"/>
  <c r="E246" i="91"/>
  <c r="C246" i="91"/>
  <c r="R245" i="91"/>
  <c r="S245" i="91"/>
  <c r="Q245" i="91"/>
  <c r="O245" i="91"/>
  <c r="M245" i="91"/>
  <c r="K245" i="91"/>
  <c r="I245" i="91"/>
  <c r="G245" i="91"/>
  <c r="E245" i="91"/>
  <c r="C245" i="91"/>
  <c r="R244" i="91"/>
  <c r="S244" i="91"/>
  <c r="Q244" i="91"/>
  <c r="O244" i="91"/>
  <c r="M244" i="91"/>
  <c r="K244" i="91"/>
  <c r="I244" i="91"/>
  <c r="G244" i="91"/>
  <c r="E244" i="91"/>
  <c r="C244" i="91"/>
  <c r="R243" i="91"/>
  <c r="S243" i="91"/>
  <c r="Q243" i="91"/>
  <c r="O243" i="91"/>
  <c r="M243" i="91"/>
  <c r="K243" i="91"/>
  <c r="I243" i="91"/>
  <c r="G243" i="91"/>
  <c r="E243" i="91"/>
  <c r="C243" i="91"/>
  <c r="R242" i="91"/>
  <c r="S242" i="91"/>
  <c r="Q242" i="91"/>
  <c r="O242" i="91"/>
  <c r="M242" i="91"/>
  <c r="K242" i="91"/>
  <c r="I242" i="91"/>
  <c r="G242" i="91"/>
  <c r="E242" i="91"/>
  <c r="C242" i="91"/>
  <c r="R241" i="91"/>
  <c r="S241" i="91"/>
  <c r="Q241" i="91"/>
  <c r="O241" i="91"/>
  <c r="M241" i="91"/>
  <c r="K241" i="91"/>
  <c r="I241" i="91"/>
  <c r="G241" i="91"/>
  <c r="E241" i="91"/>
  <c r="C241" i="91"/>
  <c r="R240" i="91"/>
  <c r="S240" i="91"/>
  <c r="Q240" i="91"/>
  <c r="O240" i="91"/>
  <c r="M240" i="91"/>
  <c r="K240" i="91"/>
  <c r="I240" i="91"/>
  <c r="G240" i="91"/>
  <c r="E240" i="91"/>
  <c r="C240" i="91"/>
  <c r="R239" i="91"/>
  <c r="S239" i="91"/>
  <c r="Q239" i="91"/>
  <c r="O239" i="91"/>
  <c r="M239" i="91"/>
  <c r="K239" i="91"/>
  <c r="I239" i="91"/>
  <c r="G239" i="91"/>
  <c r="E239" i="91"/>
  <c r="C239" i="91"/>
  <c r="R238" i="91"/>
  <c r="S238" i="91"/>
  <c r="Q238" i="91"/>
  <c r="O238" i="91"/>
  <c r="M238" i="91"/>
  <c r="K238" i="91"/>
  <c r="I238" i="91"/>
  <c r="G238" i="91"/>
  <c r="E238" i="91"/>
  <c r="C238" i="91"/>
  <c r="R237" i="91"/>
  <c r="S237" i="91"/>
  <c r="Q237" i="91"/>
  <c r="O237" i="91"/>
  <c r="M237" i="91"/>
  <c r="K237" i="91"/>
  <c r="I237" i="91"/>
  <c r="G237" i="91"/>
  <c r="E237" i="91"/>
  <c r="C237" i="91"/>
  <c r="R236" i="91"/>
  <c r="S236" i="91"/>
  <c r="Q236" i="91"/>
  <c r="O236" i="91"/>
  <c r="M236" i="91"/>
  <c r="K236" i="91"/>
  <c r="I236" i="91"/>
  <c r="G236" i="91"/>
  <c r="E236" i="91"/>
  <c r="C236" i="91"/>
  <c r="R235" i="91"/>
  <c r="S235" i="91"/>
  <c r="Q235" i="91"/>
  <c r="O235" i="91"/>
  <c r="M235" i="91"/>
  <c r="K235" i="91"/>
  <c r="I235" i="91"/>
  <c r="G235" i="91"/>
  <c r="E235" i="91"/>
  <c r="C235" i="91"/>
  <c r="R234" i="91"/>
  <c r="S234" i="91"/>
  <c r="Q234" i="91"/>
  <c r="O234" i="91"/>
  <c r="M234" i="91"/>
  <c r="K234" i="91"/>
  <c r="I234" i="91"/>
  <c r="G234" i="91"/>
  <c r="E234" i="91"/>
  <c r="C234" i="91"/>
  <c r="R233" i="91"/>
  <c r="S233" i="91"/>
  <c r="Q233" i="91"/>
  <c r="O233" i="91"/>
  <c r="M233" i="91"/>
  <c r="K233" i="91"/>
  <c r="I233" i="91"/>
  <c r="G233" i="91"/>
  <c r="E233" i="91"/>
  <c r="C233" i="91"/>
  <c r="R232" i="91"/>
  <c r="S232" i="91"/>
  <c r="Q232" i="91"/>
  <c r="O232" i="91"/>
  <c r="M232" i="91"/>
  <c r="K232" i="91"/>
  <c r="I232" i="91"/>
  <c r="G232" i="91"/>
  <c r="E232" i="91"/>
  <c r="C232" i="91"/>
  <c r="R231" i="91"/>
  <c r="S231" i="91"/>
  <c r="Q231" i="91"/>
  <c r="O231" i="91"/>
  <c r="M231" i="91"/>
  <c r="K231" i="91"/>
  <c r="I231" i="91"/>
  <c r="G231" i="91"/>
  <c r="E231" i="91"/>
  <c r="C231" i="91"/>
  <c r="R230" i="91"/>
  <c r="S230" i="91"/>
  <c r="Q230" i="91"/>
  <c r="O230" i="91"/>
  <c r="M230" i="91"/>
  <c r="K230" i="91"/>
  <c r="I230" i="91"/>
  <c r="G230" i="91"/>
  <c r="E230" i="91"/>
  <c r="C230" i="91"/>
  <c r="R229" i="91"/>
  <c r="S229" i="91"/>
  <c r="Q229" i="91"/>
  <c r="O229" i="91"/>
  <c r="M229" i="91"/>
  <c r="K229" i="91"/>
  <c r="I229" i="91"/>
  <c r="G229" i="91"/>
  <c r="E229" i="91"/>
  <c r="C229" i="91"/>
  <c r="R228" i="91"/>
  <c r="S228" i="91"/>
  <c r="Q228" i="91"/>
  <c r="O228" i="91"/>
  <c r="M228" i="91"/>
  <c r="K228" i="91"/>
  <c r="I228" i="91"/>
  <c r="G228" i="91"/>
  <c r="E228" i="91"/>
  <c r="C228" i="91"/>
  <c r="R227" i="91"/>
  <c r="S227" i="91"/>
  <c r="Q227" i="91"/>
  <c r="O227" i="91"/>
  <c r="M227" i="91"/>
  <c r="K227" i="91"/>
  <c r="I227" i="91"/>
  <c r="G227" i="91"/>
  <c r="E227" i="91"/>
  <c r="C227" i="91"/>
  <c r="R226" i="91"/>
  <c r="S226" i="91"/>
  <c r="Q226" i="91"/>
  <c r="O226" i="91"/>
  <c r="M226" i="91"/>
  <c r="K226" i="91"/>
  <c r="I226" i="91"/>
  <c r="G226" i="91"/>
  <c r="E226" i="91"/>
  <c r="C226" i="91"/>
  <c r="R225" i="91"/>
  <c r="S225" i="91"/>
  <c r="Q225" i="91"/>
  <c r="O225" i="91"/>
  <c r="M225" i="91"/>
  <c r="K225" i="91"/>
  <c r="I225" i="91"/>
  <c r="G225" i="91"/>
  <c r="E225" i="91"/>
  <c r="C225" i="91"/>
  <c r="R224" i="91"/>
  <c r="S224" i="91"/>
  <c r="Q224" i="91"/>
  <c r="O224" i="91"/>
  <c r="M224" i="91"/>
  <c r="K224" i="91"/>
  <c r="I224" i="91"/>
  <c r="G224" i="91"/>
  <c r="E224" i="91"/>
  <c r="C224" i="91"/>
  <c r="R223" i="91"/>
  <c r="S223" i="91"/>
  <c r="Q223" i="91"/>
  <c r="O223" i="91"/>
  <c r="M223" i="91"/>
  <c r="K223" i="91"/>
  <c r="I223" i="91"/>
  <c r="G223" i="91"/>
  <c r="E223" i="91"/>
  <c r="C223" i="91"/>
  <c r="R222" i="91"/>
  <c r="S222" i="91"/>
  <c r="Q222" i="91"/>
  <c r="O222" i="91"/>
  <c r="M222" i="91"/>
  <c r="K222" i="91"/>
  <c r="I222" i="91"/>
  <c r="G222" i="91"/>
  <c r="E222" i="91"/>
  <c r="C222" i="91"/>
  <c r="R221" i="91"/>
  <c r="S221" i="91"/>
  <c r="Q221" i="91"/>
  <c r="O221" i="91"/>
  <c r="M221" i="91"/>
  <c r="K221" i="91"/>
  <c r="I221" i="91"/>
  <c r="G221" i="91"/>
  <c r="E221" i="91"/>
  <c r="C221" i="91"/>
  <c r="R220" i="91"/>
  <c r="S220" i="91"/>
  <c r="Q220" i="91"/>
  <c r="O220" i="91"/>
  <c r="M220" i="91"/>
  <c r="K220" i="91"/>
  <c r="I220" i="91"/>
  <c r="G220" i="91"/>
  <c r="E220" i="91"/>
  <c r="C220" i="91"/>
  <c r="R219" i="91"/>
  <c r="S219" i="91"/>
  <c r="Q219" i="91"/>
  <c r="O219" i="91"/>
  <c r="M219" i="91"/>
  <c r="K219" i="91"/>
  <c r="I219" i="91"/>
  <c r="G219" i="91"/>
  <c r="E219" i="91"/>
  <c r="C219" i="91"/>
  <c r="R218" i="91"/>
  <c r="S218" i="91"/>
  <c r="Q218" i="91"/>
  <c r="O218" i="91"/>
  <c r="M218" i="91"/>
  <c r="K218" i="91"/>
  <c r="I218" i="91"/>
  <c r="G218" i="91"/>
  <c r="E218" i="91"/>
  <c r="C218" i="91"/>
  <c r="R217" i="91"/>
  <c r="S217" i="91"/>
  <c r="Q217" i="91"/>
  <c r="O217" i="91"/>
  <c r="M217" i="91"/>
  <c r="K217" i="91"/>
  <c r="I217" i="91"/>
  <c r="G217" i="91"/>
  <c r="E217" i="91"/>
  <c r="C217" i="91"/>
  <c r="R216" i="91"/>
  <c r="S216" i="91"/>
  <c r="Q216" i="91"/>
  <c r="O216" i="91"/>
  <c r="M216" i="91"/>
  <c r="K216" i="91"/>
  <c r="I216" i="91"/>
  <c r="G216" i="91"/>
  <c r="E216" i="91"/>
  <c r="C216" i="91"/>
  <c r="R215" i="91"/>
  <c r="S215" i="91"/>
  <c r="Q215" i="91"/>
  <c r="O215" i="91"/>
  <c r="M215" i="91"/>
  <c r="K215" i="91"/>
  <c r="I215" i="91"/>
  <c r="G215" i="91"/>
  <c r="E215" i="91"/>
  <c r="C215" i="91"/>
  <c r="R214" i="91"/>
  <c r="S214" i="91"/>
  <c r="Q214" i="91"/>
  <c r="O214" i="91"/>
  <c r="M214" i="91"/>
  <c r="K214" i="91"/>
  <c r="I214" i="91"/>
  <c r="G214" i="91"/>
  <c r="E214" i="91"/>
  <c r="C214" i="91"/>
  <c r="R213" i="91"/>
  <c r="S213" i="91"/>
  <c r="Q213" i="91"/>
  <c r="O213" i="91"/>
  <c r="M213" i="91"/>
  <c r="K213" i="91"/>
  <c r="I213" i="91"/>
  <c r="G213" i="91"/>
  <c r="E213" i="91"/>
  <c r="C213" i="91"/>
  <c r="R212" i="91"/>
  <c r="S212" i="91"/>
  <c r="Q212" i="91"/>
  <c r="O212" i="91"/>
  <c r="M212" i="91"/>
  <c r="K212" i="91"/>
  <c r="I212" i="91"/>
  <c r="G212" i="91"/>
  <c r="E212" i="91"/>
  <c r="C212" i="91"/>
  <c r="R211" i="91"/>
  <c r="S211" i="91"/>
  <c r="Q211" i="91"/>
  <c r="O211" i="91"/>
  <c r="M211" i="91"/>
  <c r="K211" i="91"/>
  <c r="I211" i="91"/>
  <c r="G211" i="91"/>
  <c r="E211" i="91"/>
  <c r="C211" i="91"/>
  <c r="R210" i="91"/>
  <c r="S210" i="91"/>
  <c r="Q210" i="91"/>
  <c r="O210" i="91"/>
  <c r="M210" i="91"/>
  <c r="K210" i="91"/>
  <c r="I210" i="91"/>
  <c r="G210" i="91"/>
  <c r="E210" i="91"/>
  <c r="C210" i="91"/>
  <c r="R209" i="91"/>
  <c r="S209" i="91"/>
  <c r="Q209" i="91"/>
  <c r="O209" i="91"/>
  <c r="M209" i="91"/>
  <c r="K209" i="91"/>
  <c r="I209" i="91"/>
  <c r="G209" i="91"/>
  <c r="E209" i="91"/>
  <c r="C209" i="91"/>
  <c r="R208" i="91"/>
  <c r="S208" i="91"/>
  <c r="Q208" i="91"/>
  <c r="O208" i="91"/>
  <c r="M208" i="91"/>
  <c r="K208" i="91"/>
  <c r="I208" i="91"/>
  <c r="G208" i="91"/>
  <c r="E208" i="91"/>
  <c r="C208" i="91"/>
  <c r="R207" i="91"/>
  <c r="S207" i="91"/>
  <c r="Q207" i="91"/>
  <c r="O207" i="91"/>
  <c r="M207" i="91"/>
  <c r="K207" i="91"/>
  <c r="I207" i="91"/>
  <c r="G207" i="91"/>
  <c r="E207" i="91"/>
  <c r="C207" i="91"/>
  <c r="R206" i="91"/>
  <c r="S206" i="91"/>
  <c r="Q206" i="91"/>
  <c r="O206" i="91"/>
  <c r="M206" i="91"/>
  <c r="K206" i="91"/>
  <c r="I206" i="91"/>
  <c r="G206" i="91"/>
  <c r="E206" i="91"/>
  <c r="C206" i="91"/>
  <c r="R205" i="91"/>
  <c r="S205" i="91"/>
  <c r="Q205" i="91"/>
  <c r="O205" i="91"/>
  <c r="M205" i="91"/>
  <c r="K205" i="91"/>
  <c r="I205" i="91"/>
  <c r="G205" i="91"/>
  <c r="E205" i="91"/>
  <c r="C205" i="91"/>
  <c r="R204" i="91"/>
  <c r="S204" i="91"/>
  <c r="Q204" i="91"/>
  <c r="O204" i="91"/>
  <c r="M204" i="91"/>
  <c r="K204" i="91"/>
  <c r="I204" i="91"/>
  <c r="G204" i="91"/>
  <c r="E204" i="91"/>
  <c r="C204" i="91"/>
  <c r="R203" i="91"/>
  <c r="S203" i="91"/>
  <c r="Q203" i="91"/>
  <c r="O203" i="91"/>
  <c r="M203" i="91"/>
  <c r="K203" i="91"/>
  <c r="I203" i="91"/>
  <c r="G203" i="91"/>
  <c r="E203" i="91"/>
  <c r="C203" i="91"/>
  <c r="R202" i="91"/>
  <c r="S202" i="91"/>
  <c r="Q202" i="91"/>
  <c r="O202" i="91"/>
  <c r="M202" i="91"/>
  <c r="K202" i="91"/>
  <c r="I202" i="91"/>
  <c r="G202" i="91"/>
  <c r="E202" i="91"/>
  <c r="C202" i="91"/>
  <c r="R201" i="91"/>
  <c r="S201" i="91"/>
  <c r="Q201" i="91"/>
  <c r="O201" i="91"/>
  <c r="M201" i="91"/>
  <c r="K201" i="91"/>
  <c r="I201" i="91"/>
  <c r="G201" i="91"/>
  <c r="E201" i="91"/>
  <c r="C201" i="91"/>
  <c r="R200" i="91"/>
  <c r="S200" i="91"/>
  <c r="Q200" i="91"/>
  <c r="O200" i="91"/>
  <c r="M200" i="91"/>
  <c r="K200" i="91"/>
  <c r="I200" i="91"/>
  <c r="G200" i="91"/>
  <c r="E200" i="91"/>
  <c r="C200" i="91"/>
  <c r="R199" i="91"/>
  <c r="S199" i="91"/>
  <c r="Q199" i="91"/>
  <c r="O199" i="91"/>
  <c r="M199" i="91"/>
  <c r="K199" i="91"/>
  <c r="I199" i="91"/>
  <c r="G199" i="91"/>
  <c r="E199" i="91"/>
  <c r="C199" i="91"/>
  <c r="R198" i="91"/>
  <c r="S198" i="91"/>
  <c r="Q198" i="91"/>
  <c r="O198" i="91"/>
  <c r="M198" i="91"/>
  <c r="K198" i="91"/>
  <c r="I198" i="91"/>
  <c r="G198" i="91"/>
  <c r="E198" i="91"/>
  <c r="C198" i="91"/>
  <c r="R197" i="91"/>
  <c r="S197" i="91"/>
  <c r="Q197" i="91"/>
  <c r="O197" i="91"/>
  <c r="M197" i="91"/>
  <c r="K197" i="91"/>
  <c r="I197" i="91"/>
  <c r="G197" i="91"/>
  <c r="E197" i="91"/>
  <c r="C197" i="91"/>
  <c r="R196" i="91"/>
  <c r="S196" i="91"/>
  <c r="Q196" i="91"/>
  <c r="O196" i="91"/>
  <c r="M196" i="91"/>
  <c r="K196" i="91"/>
  <c r="I196" i="91"/>
  <c r="G196" i="91"/>
  <c r="E196" i="91"/>
  <c r="C196" i="91"/>
  <c r="R195" i="91"/>
  <c r="S195" i="91"/>
  <c r="Q195" i="91"/>
  <c r="O195" i="91"/>
  <c r="M195" i="91"/>
  <c r="K195" i="91"/>
  <c r="I195" i="91"/>
  <c r="G195" i="91"/>
  <c r="E195" i="91"/>
  <c r="C195" i="91"/>
  <c r="R194" i="91"/>
  <c r="S194" i="91"/>
  <c r="Q194" i="91"/>
  <c r="O194" i="91"/>
  <c r="M194" i="91"/>
  <c r="K194" i="91"/>
  <c r="I194" i="91"/>
  <c r="G194" i="91"/>
  <c r="E194" i="91"/>
  <c r="C194" i="91"/>
  <c r="R193" i="91"/>
  <c r="S193" i="91"/>
  <c r="Q193" i="91"/>
  <c r="O193" i="91"/>
  <c r="M193" i="91"/>
  <c r="K193" i="91"/>
  <c r="I193" i="91"/>
  <c r="G193" i="91"/>
  <c r="E193" i="91"/>
  <c r="C193" i="91"/>
  <c r="R192" i="91"/>
  <c r="S192" i="91"/>
  <c r="Q192" i="91"/>
  <c r="O192" i="91"/>
  <c r="M192" i="91"/>
  <c r="K192" i="91"/>
  <c r="I192" i="91"/>
  <c r="G192" i="91"/>
  <c r="E192" i="91"/>
  <c r="C192" i="91"/>
  <c r="R191" i="91"/>
  <c r="S191" i="91"/>
  <c r="Q191" i="91"/>
  <c r="O191" i="91"/>
  <c r="M191" i="91"/>
  <c r="K191" i="91"/>
  <c r="I191" i="91"/>
  <c r="G191" i="91"/>
  <c r="E191" i="91"/>
  <c r="C191" i="91"/>
  <c r="R190" i="91"/>
  <c r="S190" i="91"/>
  <c r="Q190" i="91"/>
  <c r="O190" i="91"/>
  <c r="M190" i="91"/>
  <c r="K190" i="91"/>
  <c r="I190" i="91"/>
  <c r="G190" i="91"/>
  <c r="E190" i="91"/>
  <c r="C190" i="91"/>
  <c r="R189" i="91"/>
  <c r="S189" i="91"/>
  <c r="Q189" i="91"/>
  <c r="O189" i="91"/>
  <c r="M189" i="91"/>
  <c r="K189" i="91"/>
  <c r="I189" i="91"/>
  <c r="G189" i="91"/>
  <c r="E189" i="91"/>
  <c r="C189" i="91"/>
  <c r="R188" i="91"/>
  <c r="S188" i="91"/>
  <c r="Q188" i="91"/>
  <c r="O188" i="91"/>
  <c r="M188" i="91"/>
  <c r="K188" i="91"/>
  <c r="I188" i="91"/>
  <c r="G188" i="91"/>
  <c r="E188" i="91"/>
  <c r="C188" i="91"/>
  <c r="R187" i="91"/>
  <c r="S187" i="91"/>
  <c r="Q187" i="91"/>
  <c r="O187" i="91"/>
  <c r="M187" i="91"/>
  <c r="K187" i="91"/>
  <c r="I187" i="91"/>
  <c r="G187" i="91"/>
  <c r="E187" i="91"/>
  <c r="C187" i="91"/>
  <c r="R186" i="91"/>
  <c r="S186" i="91"/>
  <c r="Q186" i="91"/>
  <c r="O186" i="91"/>
  <c r="M186" i="91"/>
  <c r="K186" i="91"/>
  <c r="I186" i="91"/>
  <c r="G186" i="91"/>
  <c r="E186" i="91"/>
  <c r="C186" i="91"/>
  <c r="R185" i="91"/>
  <c r="S185" i="91"/>
  <c r="Q185" i="91"/>
  <c r="O185" i="91"/>
  <c r="M185" i="91"/>
  <c r="K185" i="91"/>
  <c r="I185" i="91"/>
  <c r="G185" i="91"/>
  <c r="E185" i="91"/>
  <c r="C185" i="91"/>
  <c r="R184" i="91"/>
  <c r="S184" i="91"/>
  <c r="Q184" i="91"/>
  <c r="O184" i="91"/>
  <c r="M184" i="91"/>
  <c r="K184" i="91"/>
  <c r="I184" i="91"/>
  <c r="G184" i="91"/>
  <c r="E184" i="91"/>
  <c r="C184" i="91"/>
  <c r="R183" i="91"/>
  <c r="S183" i="91"/>
  <c r="Q183" i="91"/>
  <c r="O183" i="91"/>
  <c r="M183" i="91"/>
  <c r="K183" i="91"/>
  <c r="I183" i="91"/>
  <c r="G183" i="91"/>
  <c r="E183" i="91"/>
  <c r="C183" i="91"/>
  <c r="R182" i="91"/>
  <c r="S182" i="91"/>
  <c r="Q182" i="91"/>
  <c r="O182" i="91"/>
  <c r="M182" i="91"/>
  <c r="K182" i="91"/>
  <c r="I182" i="91"/>
  <c r="G182" i="91"/>
  <c r="E182" i="91"/>
  <c r="C182" i="91"/>
  <c r="R181" i="91"/>
  <c r="S181" i="91"/>
  <c r="Q181" i="91"/>
  <c r="O181" i="91"/>
  <c r="M181" i="91"/>
  <c r="K181" i="91"/>
  <c r="I181" i="91"/>
  <c r="G181" i="91"/>
  <c r="E181" i="91"/>
  <c r="C181" i="91"/>
  <c r="R180" i="91"/>
  <c r="S180" i="91"/>
  <c r="Q180" i="91"/>
  <c r="O180" i="91"/>
  <c r="M180" i="91"/>
  <c r="K180" i="91"/>
  <c r="I180" i="91"/>
  <c r="G180" i="91"/>
  <c r="E180" i="91"/>
  <c r="C180" i="91"/>
  <c r="R179" i="91"/>
  <c r="S179" i="91"/>
  <c r="Q179" i="91"/>
  <c r="O179" i="91"/>
  <c r="M179" i="91"/>
  <c r="K179" i="91"/>
  <c r="I179" i="91"/>
  <c r="G179" i="91"/>
  <c r="E179" i="91"/>
  <c r="C179" i="91"/>
  <c r="R178" i="91"/>
  <c r="S178" i="91"/>
  <c r="Q178" i="91"/>
  <c r="O178" i="91"/>
  <c r="M178" i="91"/>
  <c r="K178" i="91"/>
  <c r="I178" i="91"/>
  <c r="G178" i="91"/>
  <c r="E178" i="91"/>
  <c r="C178" i="91"/>
  <c r="R177" i="91"/>
  <c r="S177" i="91"/>
  <c r="Q177" i="91"/>
  <c r="O177" i="91"/>
  <c r="M177" i="91"/>
  <c r="K177" i="91"/>
  <c r="I177" i="91"/>
  <c r="G177" i="91"/>
  <c r="E177" i="91"/>
  <c r="C177" i="91"/>
  <c r="R176" i="91"/>
  <c r="S176" i="91"/>
  <c r="Q176" i="91"/>
  <c r="O176" i="91"/>
  <c r="M176" i="91"/>
  <c r="K176" i="91"/>
  <c r="I176" i="91"/>
  <c r="G176" i="91"/>
  <c r="E176" i="91"/>
  <c r="C176" i="91"/>
  <c r="R175" i="91"/>
  <c r="S175" i="91"/>
  <c r="Q175" i="91"/>
  <c r="O175" i="91"/>
  <c r="M175" i="91"/>
  <c r="K175" i="91"/>
  <c r="I175" i="91"/>
  <c r="G175" i="91"/>
  <c r="E175" i="91"/>
  <c r="C175" i="91"/>
  <c r="R174" i="91"/>
  <c r="S174" i="91"/>
  <c r="Q174" i="91"/>
  <c r="O174" i="91"/>
  <c r="M174" i="91"/>
  <c r="K174" i="91"/>
  <c r="I174" i="91"/>
  <c r="G174" i="91"/>
  <c r="E174" i="91"/>
  <c r="C174" i="91"/>
  <c r="R173" i="91"/>
  <c r="S173" i="91"/>
  <c r="Q173" i="91"/>
  <c r="O173" i="91"/>
  <c r="M173" i="91"/>
  <c r="K173" i="91"/>
  <c r="I173" i="91"/>
  <c r="G173" i="91"/>
  <c r="E173" i="91"/>
  <c r="C173" i="91"/>
  <c r="R172" i="91"/>
  <c r="S172" i="91"/>
  <c r="Q172" i="91"/>
  <c r="O172" i="91"/>
  <c r="M172" i="91"/>
  <c r="K172" i="91"/>
  <c r="I172" i="91"/>
  <c r="G172" i="91"/>
  <c r="E172" i="91"/>
  <c r="C172" i="91"/>
  <c r="R171" i="91"/>
  <c r="S171" i="91"/>
  <c r="Q171" i="91"/>
  <c r="O171" i="91"/>
  <c r="M171" i="91"/>
  <c r="K171" i="91"/>
  <c r="I171" i="91"/>
  <c r="G171" i="91"/>
  <c r="E171" i="91"/>
  <c r="C171" i="91"/>
  <c r="R170" i="91"/>
  <c r="S170" i="91"/>
  <c r="Q170" i="91"/>
  <c r="O170" i="91"/>
  <c r="M170" i="91"/>
  <c r="K170" i="91"/>
  <c r="I170" i="91"/>
  <c r="G170" i="91"/>
  <c r="E170" i="91"/>
  <c r="C170" i="91"/>
  <c r="R169" i="91"/>
  <c r="S169" i="91"/>
  <c r="Q169" i="91"/>
  <c r="O169" i="91"/>
  <c r="M169" i="91"/>
  <c r="K169" i="91"/>
  <c r="I169" i="91"/>
  <c r="G169" i="91"/>
  <c r="E169" i="91"/>
  <c r="C169" i="91"/>
  <c r="R168" i="91"/>
  <c r="S168" i="91"/>
  <c r="Q168" i="91"/>
  <c r="O168" i="91"/>
  <c r="M168" i="91"/>
  <c r="K168" i="91"/>
  <c r="I168" i="91"/>
  <c r="G168" i="91"/>
  <c r="E168" i="91"/>
  <c r="C168" i="91"/>
  <c r="R167" i="91"/>
  <c r="S167" i="91"/>
  <c r="Q167" i="91"/>
  <c r="O167" i="91"/>
  <c r="M167" i="91"/>
  <c r="K167" i="91"/>
  <c r="I167" i="91"/>
  <c r="G167" i="91"/>
  <c r="E167" i="91"/>
  <c r="C167" i="91"/>
  <c r="R166" i="91"/>
  <c r="S166" i="91"/>
  <c r="Q166" i="91"/>
  <c r="O166" i="91"/>
  <c r="M166" i="91"/>
  <c r="K166" i="91"/>
  <c r="I166" i="91"/>
  <c r="G166" i="91"/>
  <c r="E166" i="91"/>
  <c r="C166" i="91"/>
  <c r="R165" i="91"/>
  <c r="S165" i="91"/>
  <c r="Q165" i="91"/>
  <c r="O165" i="91"/>
  <c r="M165" i="91"/>
  <c r="K165" i="91"/>
  <c r="I165" i="91"/>
  <c r="G165" i="91"/>
  <c r="E165" i="91"/>
  <c r="C165" i="91"/>
  <c r="R164" i="91"/>
  <c r="S164" i="91"/>
  <c r="Q164" i="91"/>
  <c r="O164" i="91"/>
  <c r="M164" i="91"/>
  <c r="K164" i="91"/>
  <c r="I164" i="91"/>
  <c r="G164" i="91"/>
  <c r="E164" i="91"/>
  <c r="C164" i="91"/>
  <c r="R163" i="91"/>
  <c r="S163" i="91"/>
  <c r="Q163" i="91"/>
  <c r="O163" i="91"/>
  <c r="M163" i="91"/>
  <c r="K163" i="91"/>
  <c r="I163" i="91"/>
  <c r="G163" i="91"/>
  <c r="E163" i="91"/>
  <c r="C163" i="91"/>
  <c r="R162" i="91"/>
  <c r="S162" i="91"/>
  <c r="Q162" i="91"/>
  <c r="O162" i="91"/>
  <c r="M162" i="91"/>
  <c r="K162" i="91"/>
  <c r="I162" i="91"/>
  <c r="G162" i="91"/>
  <c r="E162" i="91"/>
  <c r="C162" i="91"/>
  <c r="R161" i="91"/>
  <c r="S161" i="91"/>
  <c r="Q161" i="91"/>
  <c r="O161" i="91"/>
  <c r="M161" i="91"/>
  <c r="K161" i="91"/>
  <c r="I161" i="91"/>
  <c r="G161" i="91"/>
  <c r="E161" i="91"/>
  <c r="C161" i="91"/>
  <c r="R160" i="91"/>
  <c r="S160" i="91"/>
  <c r="Q160" i="91"/>
  <c r="O160" i="91"/>
  <c r="M160" i="91"/>
  <c r="K160" i="91"/>
  <c r="I160" i="91"/>
  <c r="G160" i="91"/>
  <c r="E160" i="91"/>
  <c r="C160" i="91"/>
  <c r="R159" i="91"/>
  <c r="S159" i="91"/>
  <c r="Q159" i="91"/>
  <c r="O159" i="91"/>
  <c r="M159" i="91"/>
  <c r="K159" i="91"/>
  <c r="I159" i="91"/>
  <c r="G159" i="91"/>
  <c r="E159" i="91"/>
  <c r="C159" i="91"/>
  <c r="R158" i="91"/>
  <c r="S158" i="91"/>
  <c r="Q158" i="91"/>
  <c r="O158" i="91"/>
  <c r="M158" i="91"/>
  <c r="K158" i="91"/>
  <c r="I158" i="91"/>
  <c r="G158" i="91"/>
  <c r="E158" i="91"/>
  <c r="C158" i="91"/>
  <c r="R157" i="91"/>
  <c r="S157" i="91"/>
  <c r="Q157" i="91"/>
  <c r="O157" i="91"/>
  <c r="M157" i="91"/>
  <c r="K157" i="91"/>
  <c r="I157" i="91"/>
  <c r="G157" i="91"/>
  <c r="E157" i="91"/>
  <c r="C157" i="91"/>
  <c r="R156" i="91"/>
  <c r="S156" i="91"/>
  <c r="Q156" i="91"/>
  <c r="O156" i="91"/>
  <c r="M156" i="91"/>
  <c r="K156" i="91"/>
  <c r="I156" i="91"/>
  <c r="G156" i="91"/>
  <c r="E156" i="91"/>
  <c r="C156" i="91"/>
  <c r="R155" i="91"/>
  <c r="S155" i="91"/>
  <c r="Q155" i="91"/>
  <c r="O155" i="91"/>
  <c r="M155" i="91"/>
  <c r="K155" i="91"/>
  <c r="I155" i="91"/>
  <c r="G155" i="91"/>
  <c r="E155" i="91"/>
  <c r="C155" i="91"/>
  <c r="R154" i="91"/>
  <c r="S154" i="91"/>
  <c r="Q154" i="91"/>
  <c r="O154" i="91"/>
  <c r="M154" i="91"/>
  <c r="K154" i="91"/>
  <c r="I154" i="91"/>
  <c r="G154" i="91"/>
  <c r="E154" i="91"/>
  <c r="C154" i="91"/>
  <c r="R153" i="91"/>
  <c r="S153" i="91"/>
  <c r="Q153" i="91"/>
  <c r="O153" i="91"/>
  <c r="M153" i="91"/>
  <c r="K153" i="91"/>
  <c r="I153" i="91"/>
  <c r="G153" i="91"/>
  <c r="E153" i="91"/>
  <c r="C153" i="91"/>
  <c r="R152" i="91"/>
  <c r="S152" i="91"/>
  <c r="Q152" i="91"/>
  <c r="O152" i="91"/>
  <c r="M152" i="91"/>
  <c r="K152" i="91"/>
  <c r="I152" i="91"/>
  <c r="G152" i="91"/>
  <c r="E152" i="91"/>
  <c r="C152" i="91"/>
  <c r="R151" i="91"/>
  <c r="S151" i="91"/>
  <c r="Q151" i="91"/>
  <c r="O151" i="91"/>
  <c r="M151" i="91"/>
  <c r="K151" i="91"/>
  <c r="I151" i="91"/>
  <c r="G151" i="91"/>
  <c r="E151" i="91"/>
  <c r="C151" i="91"/>
  <c r="R150" i="91"/>
  <c r="S150" i="91"/>
  <c r="Q150" i="91"/>
  <c r="O150" i="91"/>
  <c r="M150" i="91"/>
  <c r="K150" i="91"/>
  <c r="I150" i="91"/>
  <c r="G150" i="91"/>
  <c r="E150" i="91"/>
  <c r="C150" i="91"/>
  <c r="R149" i="91"/>
  <c r="S149" i="91"/>
  <c r="Q149" i="91"/>
  <c r="O149" i="91"/>
  <c r="M149" i="91"/>
  <c r="K149" i="91"/>
  <c r="I149" i="91"/>
  <c r="G149" i="91"/>
  <c r="E149" i="91"/>
  <c r="C149" i="91"/>
  <c r="R148" i="91"/>
  <c r="S148" i="91"/>
  <c r="Q148" i="91"/>
  <c r="O148" i="91"/>
  <c r="M148" i="91"/>
  <c r="K148" i="91"/>
  <c r="I148" i="91"/>
  <c r="G148" i="91"/>
  <c r="E148" i="91"/>
  <c r="C148" i="91"/>
  <c r="R147" i="91"/>
  <c r="S147" i="91"/>
  <c r="Q147" i="91"/>
  <c r="O147" i="91"/>
  <c r="M147" i="91"/>
  <c r="K147" i="91"/>
  <c r="I147" i="91"/>
  <c r="G147" i="91"/>
  <c r="E147" i="91"/>
  <c r="C147" i="91"/>
  <c r="R146" i="91"/>
  <c r="S146" i="91"/>
  <c r="Q146" i="91"/>
  <c r="O146" i="91"/>
  <c r="M146" i="91"/>
  <c r="K146" i="91"/>
  <c r="I146" i="91"/>
  <c r="G146" i="91"/>
  <c r="E146" i="91"/>
  <c r="C146" i="91"/>
  <c r="R145" i="91"/>
  <c r="S145" i="91"/>
  <c r="Q145" i="91"/>
  <c r="O145" i="91"/>
  <c r="M145" i="91"/>
  <c r="K145" i="91"/>
  <c r="I145" i="91"/>
  <c r="G145" i="91"/>
  <c r="E145" i="91"/>
  <c r="C145" i="91"/>
  <c r="R144" i="91"/>
  <c r="S144" i="91"/>
  <c r="Q144" i="91"/>
  <c r="O144" i="91"/>
  <c r="M144" i="91"/>
  <c r="K144" i="91"/>
  <c r="I144" i="91"/>
  <c r="G144" i="91"/>
  <c r="E144" i="91"/>
  <c r="C144" i="91"/>
  <c r="R143" i="91"/>
  <c r="S143" i="91"/>
  <c r="Q143" i="91"/>
  <c r="O143" i="91"/>
  <c r="M143" i="91"/>
  <c r="K143" i="91"/>
  <c r="I143" i="91"/>
  <c r="G143" i="91"/>
  <c r="E143" i="91"/>
  <c r="C143" i="91"/>
  <c r="R142" i="91"/>
  <c r="S142" i="91"/>
  <c r="Q142" i="91"/>
  <c r="O142" i="91"/>
  <c r="M142" i="91"/>
  <c r="K142" i="91"/>
  <c r="I142" i="91"/>
  <c r="G142" i="91"/>
  <c r="E142" i="91"/>
  <c r="C142" i="91"/>
  <c r="R141" i="91"/>
  <c r="S141" i="91"/>
  <c r="Q141" i="91"/>
  <c r="O141" i="91"/>
  <c r="M141" i="91"/>
  <c r="K141" i="91"/>
  <c r="I141" i="91"/>
  <c r="G141" i="91"/>
  <c r="E141" i="91"/>
  <c r="C141" i="91"/>
  <c r="R140" i="91"/>
  <c r="S140" i="91"/>
  <c r="Q140" i="91"/>
  <c r="O140" i="91"/>
  <c r="M140" i="91"/>
  <c r="K140" i="91"/>
  <c r="I140" i="91"/>
  <c r="G140" i="91"/>
  <c r="E140" i="91"/>
  <c r="C140" i="91"/>
  <c r="R139" i="91"/>
  <c r="S139" i="91"/>
  <c r="Q139" i="91"/>
  <c r="O139" i="91"/>
  <c r="M139" i="91"/>
  <c r="K139" i="91"/>
  <c r="I139" i="91"/>
  <c r="G139" i="91"/>
  <c r="E139" i="91"/>
  <c r="C139" i="91"/>
  <c r="R138" i="91"/>
  <c r="S138" i="91"/>
  <c r="Q138" i="91"/>
  <c r="O138" i="91"/>
  <c r="M138" i="91"/>
  <c r="K138" i="91"/>
  <c r="I138" i="91"/>
  <c r="G138" i="91"/>
  <c r="E138" i="91"/>
  <c r="C138" i="91"/>
  <c r="R137" i="91"/>
  <c r="S137" i="91"/>
  <c r="Q137" i="91"/>
  <c r="O137" i="91"/>
  <c r="M137" i="91"/>
  <c r="K137" i="91"/>
  <c r="I137" i="91"/>
  <c r="G137" i="91"/>
  <c r="E137" i="91"/>
  <c r="C137" i="91"/>
  <c r="R136" i="91"/>
  <c r="S136" i="91"/>
  <c r="Q136" i="91"/>
  <c r="O136" i="91"/>
  <c r="M136" i="91"/>
  <c r="K136" i="91"/>
  <c r="I136" i="91"/>
  <c r="G136" i="91"/>
  <c r="E136" i="91"/>
  <c r="C136" i="91"/>
  <c r="R135" i="91"/>
  <c r="S135" i="91"/>
  <c r="Q135" i="91"/>
  <c r="O135" i="91"/>
  <c r="M135" i="91"/>
  <c r="K135" i="91"/>
  <c r="I135" i="91"/>
  <c r="G135" i="91"/>
  <c r="E135" i="91"/>
  <c r="C135" i="91"/>
  <c r="R134" i="91"/>
  <c r="S134" i="91"/>
  <c r="Q134" i="91"/>
  <c r="O134" i="91"/>
  <c r="M134" i="91"/>
  <c r="K134" i="91"/>
  <c r="I134" i="91"/>
  <c r="G134" i="91"/>
  <c r="E134" i="91"/>
  <c r="C134" i="91"/>
  <c r="R133" i="91"/>
  <c r="S133" i="91"/>
  <c r="Q133" i="91"/>
  <c r="O133" i="91"/>
  <c r="M133" i="91"/>
  <c r="K133" i="91"/>
  <c r="I133" i="91"/>
  <c r="G133" i="91"/>
  <c r="E133" i="91"/>
  <c r="C133" i="91"/>
  <c r="R132" i="91"/>
  <c r="S132" i="91"/>
  <c r="Q132" i="91"/>
  <c r="O132" i="91"/>
  <c r="M132" i="91"/>
  <c r="K132" i="91"/>
  <c r="I132" i="91"/>
  <c r="G132" i="91"/>
  <c r="E132" i="91"/>
  <c r="C132" i="91"/>
  <c r="R131" i="91"/>
  <c r="S131" i="91"/>
  <c r="Q131" i="91"/>
  <c r="O131" i="91"/>
  <c r="M131" i="91"/>
  <c r="K131" i="91"/>
  <c r="I131" i="91"/>
  <c r="G131" i="91"/>
  <c r="E131" i="91"/>
  <c r="C131" i="91"/>
  <c r="R130" i="91"/>
  <c r="S130" i="91"/>
  <c r="Q130" i="91"/>
  <c r="O130" i="91"/>
  <c r="M130" i="91"/>
  <c r="K130" i="91"/>
  <c r="I130" i="91"/>
  <c r="G130" i="91"/>
  <c r="E130" i="91"/>
  <c r="C130" i="91"/>
  <c r="R129" i="91"/>
  <c r="S129" i="91"/>
  <c r="Q129" i="91"/>
  <c r="O129" i="91"/>
  <c r="M129" i="91"/>
  <c r="K129" i="91"/>
  <c r="I129" i="91"/>
  <c r="G129" i="91"/>
  <c r="E129" i="91"/>
  <c r="C129" i="91"/>
  <c r="R128" i="91"/>
  <c r="S128" i="91"/>
  <c r="Q128" i="91"/>
  <c r="O128" i="91"/>
  <c r="M128" i="91"/>
  <c r="K128" i="91"/>
  <c r="I128" i="91"/>
  <c r="G128" i="91"/>
  <c r="E128" i="91"/>
  <c r="C128" i="91"/>
  <c r="R127" i="91"/>
  <c r="S127" i="91"/>
  <c r="Q127" i="91"/>
  <c r="O127" i="91"/>
  <c r="M127" i="91"/>
  <c r="K127" i="91"/>
  <c r="I127" i="91"/>
  <c r="G127" i="91"/>
  <c r="E127" i="91"/>
  <c r="C127" i="91"/>
  <c r="R126" i="91"/>
  <c r="S126" i="91"/>
  <c r="Q126" i="91"/>
  <c r="O126" i="91"/>
  <c r="M126" i="91"/>
  <c r="K126" i="91"/>
  <c r="I126" i="91"/>
  <c r="G126" i="91"/>
  <c r="E126" i="91"/>
  <c r="C126" i="91"/>
  <c r="R125" i="91"/>
  <c r="S125" i="91"/>
  <c r="Q125" i="91"/>
  <c r="O125" i="91"/>
  <c r="M125" i="91"/>
  <c r="K125" i="91"/>
  <c r="I125" i="91"/>
  <c r="G125" i="91"/>
  <c r="E125" i="91"/>
  <c r="C125" i="91"/>
  <c r="R124" i="91"/>
  <c r="S124" i="91"/>
  <c r="Q124" i="91"/>
  <c r="O124" i="91"/>
  <c r="M124" i="91"/>
  <c r="K124" i="91"/>
  <c r="I124" i="91"/>
  <c r="G124" i="91"/>
  <c r="E124" i="91"/>
  <c r="C124" i="91"/>
  <c r="R123" i="91"/>
  <c r="S123" i="91"/>
  <c r="Q123" i="91"/>
  <c r="O123" i="91"/>
  <c r="M123" i="91"/>
  <c r="K123" i="91"/>
  <c r="I123" i="91"/>
  <c r="G123" i="91"/>
  <c r="E123" i="91"/>
  <c r="C123" i="91"/>
  <c r="R122" i="91"/>
  <c r="S122" i="91"/>
  <c r="Q122" i="91"/>
  <c r="O122" i="91"/>
  <c r="M122" i="91"/>
  <c r="K122" i="91"/>
  <c r="I122" i="91"/>
  <c r="G122" i="91"/>
  <c r="E122" i="91"/>
  <c r="C122" i="91"/>
  <c r="R121" i="91"/>
  <c r="S121" i="91"/>
  <c r="Q121" i="91"/>
  <c r="O121" i="91"/>
  <c r="M121" i="91"/>
  <c r="K121" i="91"/>
  <c r="I121" i="91"/>
  <c r="G121" i="91"/>
  <c r="E121" i="91"/>
  <c r="C121" i="91"/>
  <c r="R120" i="91"/>
  <c r="S120" i="91"/>
  <c r="Q120" i="91"/>
  <c r="O120" i="91"/>
  <c r="M120" i="91"/>
  <c r="K120" i="91"/>
  <c r="I120" i="91"/>
  <c r="G120" i="91"/>
  <c r="E120" i="91"/>
  <c r="C120" i="91"/>
  <c r="R119" i="91"/>
  <c r="S119" i="91"/>
  <c r="Q119" i="91"/>
  <c r="O119" i="91"/>
  <c r="M119" i="91"/>
  <c r="K119" i="91"/>
  <c r="I119" i="91"/>
  <c r="G119" i="91"/>
  <c r="E119" i="91"/>
  <c r="C119" i="91"/>
  <c r="R118" i="91"/>
  <c r="S118" i="91"/>
  <c r="Q118" i="91"/>
  <c r="O118" i="91"/>
  <c r="M118" i="91"/>
  <c r="K118" i="91"/>
  <c r="I118" i="91"/>
  <c r="G118" i="91"/>
  <c r="E118" i="91"/>
  <c r="C118" i="91"/>
  <c r="R117" i="91"/>
  <c r="S117" i="91"/>
  <c r="Q117" i="91"/>
  <c r="O117" i="91"/>
  <c r="M117" i="91"/>
  <c r="K117" i="91"/>
  <c r="I117" i="91"/>
  <c r="G117" i="91"/>
  <c r="E117" i="91"/>
  <c r="C117" i="91"/>
  <c r="R116" i="91"/>
  <c r="S116" i="91"/>
  <c r="Q116" i="91"/>
  <c r="O116" i="91"/>
  <c r="M116" i="91"/>
  <c r="K116" i="91"/>
  <c r="I116" i="91"/>
  <c r="G116" i="91"/>
  <c r="E116" i="91"/>
  <c r="C116" i="91"/>
  <c r="R115" i="91"/>
  <c r="S115" i="91"/>
  <c r="Q115" i="91"/>
  <c r="O115" i="91"/>
  <c r="M115" i="91"/>
  <c r="K115" i="91"/>
  <c r="I115" i="91"/>
  <c r="G115" i="91"/>
  <c r="E115" i="91"/>
  <c r="C115" i="91"/>
  <c r="R114" i="91"/>
  <c r="S114" i="91"/>
  <c r="Q114" i="91"/>
  <c r="O114" i="91"/>
  <c r="M114" i="91"/>
  <c r="K114" i="91"/>
  <c r="I114" i="91"/>
  <c r="G114" i="91"/>
  <c r="E114" i="91"/>
  <c r="C114" i="91"/>
  <c r="R113" i="91"/>
  <c r="S113" i="91"/>
  <c r="Q113" i="91"/>
  <c r="O113" i="91"/>
  <c r="M113" i="91"/>
  <c r="K113" i="91"/>
  <c r="I113" i="91"/>
  <c r="G113" i="91"/>
  <c r="E113" i="91"/>
  <c r="C113" i="91"/>
  <c r="R112" i="91"/>
  <c r="S112" i="91"/>
  <c r="Q112" i="91"/>
  <c r="O112" i="91"/>
  <c r="M112" i="91"/>
  <c r="K112" i="91"/>
  <c r="I112" i="91"/>
  <c r="G112" i="91"/>
  <c r="E112" i="91"/>
  <c r="C112" i="91"/>
  <c r="R111" i="91"/>
  <c r="S111" i="91"/>
  <c r="Q111" i="91"/>
  <c r="O111" i="91"/>
  <c r="M111" i="91"/>
  <c r="K111" i="91"/>
  <c r="I111" i="91"/>
  <c r="G111" i="91"/>
  <c r="E111" i="91"/>
  <c r="C111" i="91"/>
  <c r="R110" i="91"/>
  <c r="S110" i="91"/>
  <c r="Q110" i="91"/>
  <c r="O110" i="91"/>
  <c r="M110" i="91"/>
  <c r="K110" i="91"/>
  <c r="I110" i="91"/>
  <c r="G110" i="91"/>
  <c r="E110" i="91"/>
  <c r="C110" i="91"/>
  <c r="R109" i="91"/>
  <c r="S109" i="91"/>
  <c r="Q109" i="91"/>
  <c r="O109" i="91"/>
  <c r="M109" i="91"/>
  <c r="K109" i="91"/>
  <c r="I109" i="91"/>
  <c r="G109" i="91"/>
  <c r="E109" i="91"/>
  <c r="C109" i="91"/>
  <c r="R108" i="91"/>
  <c r="S108" i="91"/>
  <c r="Q108" i="91"/>
  <c r="O108" i="91"/>
  <c r="M108" i="91"/>
  <c r="K108" i="91"/>
  <c r="I108" i="91"/>
  <c r="G108" i="91"/>
  <c r="E108" i="91"/>
  <c r="C108" i="91"/>
  <c r="R107" i="91"/>
  <c r="S107" i="91"/>
  <c r="Q107" i="91"/>
  <c r="O107" i="91"/>
  <c r="M107" i="91"/>
  <c r="K107" i="91"/>
  <c r="I107" i="91"/>
  <c r="G107" i="91"/>
  <c r="E107" i="91"/>
  <c r="C107" i="91"/>
  <c r="R106" i="91"/>
  <c r="S106" i="91"/>
  <c r="Q106" i="91"/>
  <c r="O106" i="91"/>
  <c r="M106" i="91"/>
  <c r="K106" i="91"/>
  <c r="I106" i="91"/>
  <c r="G106" i="91"/>
  <c r="E106" i="91"/>
  <c r="C106" i="91"/>
  <c r="R105" i="91"/>
  <c r="S105" i="91"/>
  <c r="Q105" i="91"/>
  <c r="O105" i="91"/>
  <c r="M105" i="91"/>
  <c r="K105" i="91"/>
  <c r="I105" i="91"/>
  <c r="G105" i="91"/>
  <c r="E105" i="91"/>
  <c r="C105" i="91"/>
  <c r="R104" i="91"/>
  <c r="S104" i="91"/>
  <c r="Q104" i="91"/>
  <c r="O104" i="91"/>
  <c r="M104" i="91"/>
  <c r="K104" i="91"/>
  <c r="I104" i="91"/>
  <c r="G104" i="91"/>
  <c r="E104" i="91"/>
  <c r="C104" i="91"/>
  <c r="R103" i="91"/>
  <c r="S103" i="91"/>
  <c r="Q103" i="91"/>
  <c r="O103" i="91"/>
  <c r="M103" i="91"/>
  <c r="K103" i="91"/>
  <c r="I103" i="91"/>
  <c r="G103" i="91"/>
  <c r="E103" i="91"/>
  <c r="C103" i="91"/>
  <c r="R102" i="91"/>
  <c r="S102" i="91"/>
  <c r="Q102" i="91"/>
  <c r="O102" i="91"/>
  <c r="M102" i="91"/>
  <c r="K102" i="91"/>
  <c r="I102" i="91"/>
  <c r="G102" i="91"/>
  <c r="E102" i="91"/>
  <c r="C102" i="91"/>
  <c r="R101" i="91"/>
  <c r="S101" i="91"/>
  <c r="Q101" i="91"/>
  <c r="O101" i="91"/>
  <c r="M101" i="91"/>
  <c r="K101" i="91"/>
  <c r="I101" i="91"/>
  <c r="G101" i="91"/>
  <c r="E101" i="91"/>
  <c r="C101" i="91"/>
  <c r="R100" i="91"/>
  <c r="S100" i="91"/>
  <c r="Q100" i="91"/>
  <c r="O100" i="91"/>
  <c r="M100" i="91"/>
  <c r="K100" i="91"/>
  <c r="I100" i="91"/>
  <c r="G100" i="91"/>
  <c r="E100" i="91"/>
  <c r="C100" i="91"/>
  <c r="R99" i="91"/>
  <c r="S99" i="91"/>
  <c r="Q99" i="91"/>
  <c r="O99" i="91"/>
  <c r="M99" i="91"/>
  <c r="K99" i="91"/>
  <c r="I99" i="91"/>
  <c r="G99" i="91"/>
  <c r="E99" i="91"/>
  <c r="C99" i="91"/>
  <c r="R98" i="91"/>
  <c r="S98" i="91"/>
  <c r="Q98" i="91"/>
  <c r="O98" i="91"/>
  <c r="M98" i="91"/>
  <c r="K98" i="91"/>
  <c r="I98" i="91"/>
  <c r="G98" i="91"/>
  <c r="E98" i="91"/>
  <c r="C98" i="91"/>
  <c r="R97" i="91"/>
  <c r="S97" i="91"/>
  <c r="Q97" i="91"/>
  <c r="O97" i="91"/>
  <c r="M97" i="91"/>
  <c r="K97" i="91"/>
  <c r="I97" i="91"/>
  <c r="G97" i="91"/>
  <c r="E97" i="91"/>
  <c r="C97" i="91"/>
  <c r="R96" i="91"/>
  <c r="S96" i="91"/>
  <c r="Q96" i="91"/>
  <c r="O96" i="91"/>
  <c r="M96" i="91"/>
  <c r="K96" i="91"/>
  <c r="I96" i="91"/>
  <c r="G96" i="91"/>
  <c r="E96" i="91"/>
  <c r="C96" i="91"/>
  <c r="R95" i="91"/>
  <c r="S95" i="91"/>
  <c r="Q95" i="91"/>
  <c r="O95" i="91"/>
  <c r="M95" i="91"/>
  <c r="K95" i="91"/>
  <c r="I95" i="91"/>
  <c r="G95" i="91"/>
  <c r="E95" i="91"/>
  <c r="C95" i="91"/>
  <c r="R94" i="91"/>
  <c r="S94" i="91"/>
  <c r="Q94" i="91"/>
  <c r="O94" i="91"/>
  <c r="M94" i="91"/>
  <c r="K94" i="91"/>
  <c r="I94" i="91"/>
  <c r="G94" i="91"/>
  <c r="E94" i="91"/>
  <c r="C94" i="91"/>
  <c r="R93" i="91"/>
  <c r="S93" i="91"/>
  <c r="Q93" i="91"/>
  <c r="O93" i="91"/>
  <c r="M93" i="91"/>
  <c r="K93" i="91"/>
  <c r="I93" i="91"/>
  <c r="G93" i="91"/>
  <c r="E93" i="91"/>
  <c r="C93" i="91"/>
  <c r="R92" i="91"/>
  <c r="S92" i="91"/>
  <c r="Q92" i="91"/>
  <c r="O92" i="91"/>
  <c r="M92" i="91"/>
  <c r="K92" i="91"/>
  <c r="I92" i="91"/>
  <c r="G92" i="91"/>
  <c r="E92" i="91"/>
  <c r="C92" i="91"/>
  <c r="R91" i="91"/>
  <c r="S91" i="91"/>
  <c r="Q91" i="91"/>
  <c r="O91" i="91"/>
  <c r="M91" i="91"/>
  <c r="K91" i="91"/>
  <c r="I91" i="91"/>
  <c r="G91" i="91"/>
  <c r="E91" i="91"/>
  <c r="C91" i="91"/>
  <c r="R90" i="91"/>
  <c r="S90" i="91"/>
  <c r="Q90" i="91"/>
  <c r="O90" i="91"/>
  <c r="M90" i="91"/>
  <c r="K90" i="91"/>
  <c r="I90" i="91"/>
  <c r="G90" i="91"/>
  <c r="E90" i="91"/>
  <c r="C90" i="91"/>
  <c r="R89" i="91"/>
  <c r="S89" i="91"/>
  <c r="Q89" i="91"/>
  <c r="O89" i="91"/>
  <c r="M89" i="91"/>
  <c r="K89" i="91"/>
  <c r="I89" i="91"/>
  <c r="G89" i="91"/>
  <c r="E89" i="91"/>
  <c r="C89" i="91"/>
  <c r="R88" i="91"/>
  <c r="S88" i="91"/>
  <c r="Q88" i="91"/>
  <c r="O88" i="91"/>
  <c r="M88" i="91"/>
  <c r="K88" i="91"/>
  <c r="I88" i="91"/>
  <c r="G88" i="91"/>
  <c r="E88" i="91"/>
  <c r="C88" i="91"/>
  <c r="R87" i="91"/>
  <c r="S87" i="91"/>
  <c r="Q87" i="91"/>
  <c r="O87" i="91"/>
  <c r="M87" i="91"/>
  <c r="K87" i="91"/>
  <c r="I87" i="91"/>
  <c r="G87" i="91"/>
  <c r="E87" i="91"/>
  <c r="C87" i="91"/>
  <c r="R86" i="91"/>
  <c r="S86" i="91"/>
  <c r="Q86" i="91"/>
  <c r="O86" i="91"/>
  <c r="M86" i="91"/>
  <c r="K86" i="91"/>
  <c r="I86" i="91"/>
  <c r="G86" i="91"/>
  <c r="E86" i="91"/>
  <c r="C86" i="91"/>
  <c r="R85" i="91"/>
  <c r="S85" i="91"/>
  <c r="Q85" i="91"/>
  <c r="O85" i="91"/>
  <c r="M85" i="91"/>
  <c r="K85" i="91"/>
  <c r="I85" i="91"/>
  <c r="G85" i="91"/>
  <c r="E85" i="91"/>
  <c r="C85" i="91"/>
  <c r="R84" i="91"/>
  <c r="S84" i="91"/>
  <c r="Q84" i="91"/>
  <c r="O84" i="91"/>
  <c r="M84" i="91"/>
  <c r="K84" i="91"/>
  <c r="I84" i="91"/>
  <c r="G84" i="91"/>
  <c r="E84" i="91"/>
  <c r="C84" i="91"/>
  <c r="R83" i="91"/>
  <c r="S83" i="91"/>
  <c r="Q83" i="91"/>
  <c r="O83" i="91"/>
  <c r="M83" i="91"/>
  <c r="K83" i="91"/>
  <c r="I83" i="91"/>
  <c r="G83" i="91"/>
  <c r="E83" i="91"/>
  <c r="C83" i="91"/>
  <c r="R82" i="91"/>
  <c r="S82" i="91"/>
  <c r="Q82" i="91"/>
  <c r="O82" i="91"/>
  <c r="M82" i="91"/>
  <c r="K82" i="91"/>
  <c r="I82" i="91"/>
  <c r="G82" i="91"/>
  <c r="E82" i="91"/>
  <c r="C82" i="91"/>
  <c r="R81" i="91"/>
  <c r="S81" i="91"/>
  <c r="Q81" i="91"/>
  <c r="O81" i="91"/>
  <c r="M81" i="91"/>
  <c r="K81" i="91"/>
  <c r="I81" i="91"/>
  <c r="G81" i="91"/>
  <c r="E81" i="91"/>
  <c r="C81" i="91"/>
  <c r="R80" i="91"/>
  <c r="S80" i="91"/>
  <c r="Q80" i="91"/>
  <c r="O80" i="91"/>
  <c r="M80" i="91"/>
  <c r="K80" i="91"/>
  <c r="I80" i="91"/>
  <c r="G80" i="91"/>
  <c r="E80" i="91"/>
  <c r="C80" i="91"/>
  <c r="R79" i="91"/>
  <c r="S79" i="91"/>
  <c r="Q79" i="91"/>
  <c r="O79" i="91"/>
  <c r="M79" i="91"/>
  <c r="K79" i="91"/>
  <c r="I79" i="91"/>
  <c r="G79" i="91"/>
  <c r="E79" i="91"/>
  <c r="C79" i="91"/>
  <c r="R78" i="91"/>
  <c r="S78" i="91"/>
  <c r="Q78" i="91"/>
  <c r="O78" i="91"/>
  <c r="M78" i="91"/>
  <c r="K78" i="91"/>
  <c r="I78" i="91"/>
  <c r="G78" i="91"/>
  <c r="E78" i="91"/>
  <c r="C78" i="91"/>
  <c r="R77" i="91"/>
  <c r="S77" i="91"/>
  <c r="Q77" i="91"/>
  <c r="O77" i="91"/>
  <c r="M77" i="91"/>
  <c r="K77" i="91"/>
  <c r="I77" i="91"/>
  <c r="G77" i="91"/>
  <c r="E77" i="91"/>
  <c r="C77" i="91"/>
  <c r="R76" i="91"/>
  <c r="S76" i="91"/>
  <c r="Q76" i="91"/>
  <c r="O76" i="91"/>
  <c r="M76" i="91"/>
  <c r="K76" i="91"/>
  <c r="I76" i="91"/>
  <c r="G76" i="91"/>
  <c r="E76" i="91"/>
  <c r="C76" i="91"/>
  <c r="R75" i="91"/>
  <c r="S75" i="91"/>
  <c r="Q75" i="91"/>
  <c r="O75" i="91"/>
  <c r="M75" i="91"/>
  <c r="K75" i="91"/>
  <c r="I75" i="91"/>
  <c r="G75" i="91"/>
  <c r="E75" i="91"/>
  <c r="C75" i="91"/>
  <c r="R74" i="91"/>
  <c r="S74" i="91"/>
  <c r="Q74" i="91"/>
  <c r="O74" i="91"/>
  <c r="M74" i="91"/>
  <c r="K74" i="91"/>
  <c r="I74" i="91"/>
  <c r="G74" i="91"/>
  <c r="E74" i="91"/>
  <c r="C74" i="91"/>
  <c r="R73" i="91"/>
  <c r="S73" i="91"/>
  <c r="Q73" i="91"/>
  <c r="O73" i="91"/>
  <c r="M73" i="91"/>
  <c r="K73" i="91"/>
  <c r="I73" i="91"/>
  <c r="G73" i="91"/>
  <c r="E73" i="91"/>
  <c r="C73" i="91"/>
  <c r="R72" i="91"/>
  <c r="S72" i="91"/>
  <c r="Q72" i="91"/>
  <c r="O72" i="91"/>
  <c r="M72" i="91"/>
  <c r="K72" i="91"/>
  <c r="I72" i="91"/>
  <c r="G72" i="91"/>
  <c r="E72" i="91"/>
  <c r="C72" i="91"/>
  <c r="R71" i="91"/>
  <c r="S71" i="91"/>
  <c r="Q71" i="91"/>
  <c r="O71" i="91"/>
  <c r="M71" i="91"/>
  <c r="K71" i="91"/>
  <c r="I71" i="91"/>
  <c r="G71" i="91"/>
  <c r="E71" i="91"/>
  <c r="C71" i="91"/>
  <c r="R70" i="91"/>
  <c r="S70" i="91"/>
  <c r="Q70" i="91"/>
  <c r="O70" i="91"/>
  <c r="M70" i="91"/>
  <c r="K70" i="91"/>
  <c r="I70" i="91"/>
  <c r="G70" i="91"/>
  <c r="E70" i="91"/>
  <c r="C70" i="91"/>
  <c r="R69" i="91"/>
  <c r="S69" i="91"/>
  <c r="Q69" i="91"/>
  <c r="O69" i="91"/>
  <c r="M69" i="91"/>
  <c r="K69" i="91"/>
  <c r="I69" i="91"/>
  <c r="G69" i="91"/>
  <c r="E69" i="91"/>
  <c r="C69" i="91"/>
  <c r="R68" i="91"/>
  <c r="S68" i="91"/>
  <c r="Q68" i="91"/>
  <c r="O68" i="91"/>
  <c r="M68" i="91"/>
  <c r="K68" i="91"/>
  <c r="I68" i="91"/>
  <c r="G68" i="91"/>
  <c r="E68" i="91"/>
  <c r="C68" i="91"/>
  <c r="R67" i="91"/>
  <c r="S67" i="91"/>
  <c r="Q67" i="91"/>
  <c r="O67" i="91"/>
  <c r="M67" i="91"/>
  <c r="K67" i="91"/>
  <c r="I67" i="91"/>
  <c r="G67" i="91"/>
  <c r="E67" i="91"/>
  <c r="C67" i="91"/>
  <c r="R66" i="91"/>
  <c r="S66" i="91"/>
  <c r="Q66" i="91"/>
  <c r="O66" i="91"/>
  <c r="M66" i="91"/>
  <c r="K66" i="91"/>
  <c r="I66" i="91"/>
  <c r="G66" i="91"/>
  <c r="E66" i="91"/>
  <c r="C66" i="91"/>
  <c r="R65" i="91"/>
  <c r="S65" i="91"/>
  <c r="Q65" i="91"/>
  <c r="O65" i="91"/>
  <c r="M65" i="91"/>
  <c r="K65" i="91"/>
  <c r="I65" i="91"/>
  <c r="G65" i="91"/>
  <c r="E65" i="91"/>
  <c r="C65" i="91"/>
  <c r="R64" i="91"/>
  <c r="S64" i="91"/>
  <c r="Q64" i="91"/>
  <c r="O64" i="91"/>
  <c r="M64" i="91"/>
  <c r="K64" i="91"/>
  <c r="I64" i="91"/>
  <c r="G64" i="91"/>
  <c r="E64" i="91"/>
  <c r="C64" i="91"/>
  <c r="R63" i="91"/>
  <c r="S63" i="91"/>
  <c r="Q63" i="91"/>
  <c r="O63" i="91"/>
  <c r="M63" i="91"/>
  <c r="K63" i="91"/>
  <c r="I63" i="91"/>
  <c r="G63" i="91"/>
  <c r="E63" i="91"/>
  <c r="C63" i="91"/>
  <c r="R62" i="91"/>
  <c r="S62" i="91"/>
  <c r="Q62" i="91"/>
  <c r="O62" i="91"/>
  <c r="M62" i="91"/>
  <c r="K62" i="91"/>
  <c r="I62" i="91"/>
  <c r="G62" i="91"/>
  <c r="E62" i="91"/>
  <c r="C62" i="91"/>
  <c r="R61" i="91"/>
  <c r="S61" i="91"/>
  <c r="Q61" i="91"/>
  <c r="O61" i="91"/>
  <c r="M61" i="91"/>
  <c r="K61" i="91"/>
  <c r="I61" i="91"/>
  <c r="G61" i="91"/>
  <c r="E61" i="91"/>
  <c r="C61" i="91"/>
  <c r="R60" i="91"/>
  <c r="S60" i="91"/>
  <c r="Q60" i="91"/>
  <c r="O60" i="91"/>
  <c r="M60" i="91"/>
  <c r="K60" i="91"/>
  <c r="I60" i="91"/>
  <c r="G60" i="91"/>
  <c r="E60" i="91"/>
  <c r="C60" i="91"/>
  <c r="R59" i="91"/>
  <c r="S59" i="91"/>
  <c r="Q59" i="91"/>
  <c r="O59" i="91"/>
  <c r="M59" i="91"/>
  <c r="K59" i="91"/>
  <c r="I59" i="91"/>
  <c r="G59" i="91"/>
  <c r="E59" i="91"/>
  <c r="C59" i="91"/>
  <c r="R58" i="91"/>
  <c r="S58" i="91"/>
  <c r="Q58" i="91"/>
  <c r="O58" i="91"/>
  <c r="M58" i="91"/>
  <c r="K58" i="91"/>
  <c r="I58" i="91"/>
  <c r="G58" i="91"/>
  <c r="E58" i="91"/>
  <c r="C58" i="91"/>
  <c r="R57" i="91"/>
  <c r="S57" i="91"/>
  <c r="Q57" i="91"/>
  <c r="O57" i="91"/>
  <c r="M57" i="91"/>
  <c r="K57" i="91"/>
  <c r="I57" i="91"/>
  <c r="G57" i="91"/>
  <c r="E57" i="91"/>
  <c r="C57" i="91"/>
  <c r="R56" i="91"/>
  <c r="S56" i="91"/>
  <c r="Q56" i="91"/>
  <c r="O56" i="91"/>
  <c r="M56" i="91"/>
  <c r="K56" i="91"/>
  <c r="I56" i="91"/>
  <c r="G56" i="91"/>
  <c r="E56" i="91"/>
  <c r="C56" i="91"/>
  <c r="R55" i="91"/>
  <c r="S55" i="91"/>
  <c r="Q55" i="91"/>
  <c r="O55" i="91"/>
  <c r="M55" i="91"/>
  <c r="K55" i="91"/>
  <c r="I55" i="91"/>
  <c r="G55" i="91"/>
  <c r="E55" i="91"/>
  <c r="C55" i="91"/>
  <c r="R54" i="91"/>
  <c r="S54" i="91"/>
  <c r="Q54" i="91"/>
  <c r="O54" i="91"/>
  <c r="M54" i="91"/>
  <c r="K54" i="91"/>
  <c r="I54" i="91"/>
  <c r="G54" i="91"/>
  <c r="E54" i="91"/>
  <c r="C54" i="91"/>
  <c r="R53" i="91"/>
  <c r="S53" i="91"/>
  <c r="Q53" i="91"/>
  <c r="O53" i="91"/>
  <c r="M53" i="91"/>
  <c r="K53" i="91"/>
  <c r="I53" i="91"/>
  <c r="G53" i="91"/>
  <c r="E53" i="91"/>
  <c r="C53" i="91"/>
  <c r="R52" i="91"/>
  <c r="S52" i="91"/>
  <c r="Q52" i="91"/>
  <c r="O52" i="91"/>
  <c r="M52" i="91"/>
  <c r="K52" i="91"/>
  <c r="I52" i="91"/>
  <c r="G52" i="91"/>
  <c r="E52" i="91"/>
  <c r="C52" i="91"/>
  <c r="R51" i="91"/>
  <c r="S51" i="91"/>
  <c r="Q51" i="91"/>
  <c r="O51" i="91"/>
  <c r="M51" i="91"/>
  <c r="K51" i="91"/>
  <c r="I51" i="91"/>
  <c r="G51" i="91"/>
  <c r="E51" i="91"/>
  <c r="C51" i="91"/>
  <c r="R50" i="91"/>
  <c r="S50" i="91"/>
  <c r="Q50" i="91"/>
  <c r="O50" i="91"/>
  <c r="M50" i="91"/>
  <c r="K50" i="91"/>
  <c r="I50" i="91"/>
  <c r="G50" i="91"/>
  <c r="E50" i="91"/>
  <c r="C50" i="91"/>
  <c r="R49" i="91"/>
  <c r="S49" i="91"/>
  <c r="Q49" i="91"/>
  <c r="O49" i="91"/>
  <c r="M49" i="91"/>
  <c r="K49" i="91"/>
  <c r="I49" i="91"/>
  <c r="G49" i="91"/>
  <c r="E49" i="91"/>
  <c r="C49" i="91"/>
  <c r="R48" i="91"/>
  <c r="S48" i="91"/>
  <c r="Q48" i="91"/>
  <c r="O48" i="91"/>
  <c r="M48" i="91"/>
  <c r="K48" i="91"/>
  <c r="I48" i="91"/>
  <c r="G48" i="91"/>
  <c r="E48" i="91"/>
  <c r="C48" i="91"/>
  <c r="R47" i="91"/>
  <c r="S47" i="91"/>
  <c r="Q47" i="91"/>
  <c r="O47" i="91"/>
  <c r="M47" i="91"/>
  <c r="K47" i="91"/>
  <c r="I47" i="91"/>
  <c r="G47" i="91"/>
  <c r="E47" i="91"/>
  <c r="C47" i="91"/>
  <c r="R46" i="91"/>
  <c r="S46" i="91"/>
  <c r="Q46" i="91"/>
  <c r="O46" i="91"/>
  <c r="M46" i="91"/>
  <c r="K46" i="91"/>
  <c r="I46" i="91"/>
  <c r="G46" i="91"/>
  <c r="E46" i="91"/>
  <c r="C46" i="91"/>
  <c r="R45" i="91"/>
  <c r="S45" i="91"/>
  <c r="Q45" i="91"/>
  <c r="O45" i="91"/>
  <c r="M45" i="91"/>
  <c r="K45" i="91"/>
  <c r="I45" i="91"/>
  <c r="G45" i="91"/>
  <c r="E45" i="91"/>
  <c r="C45" i="91"/>
  <c r="R44" i="91"/>
  <c r="S44" i="91"/>
  <c r="Q44" i="91"/>
  <c r="O44" i="91"/>
  <c r="M44" i="91"/>
  <c r="K44" i="91"/>
  <c r="I44" i="91"/>
  <c r="G44" i="91"/>
  <c r="E44" i="91"/>
  <c r="C44" i="91"/>
  <c r="R43" i="91"/>
  <c r="S43" i="91"/>
  <c r="Q43" i="91"/>
  <c r="O43" i="91"/>
  <c r="M43" i="91"/>
  <c r="K43" i="91"/>
  <c r="I43" i="91"/>
  <c r="G43" i="91"/>
  <c r="E43" i="91"/>
  <c r="C43" i="91"/>
  <c r="R42" i="91"/>
  <c r="S42" i="91"/>
  <c r="Q42" i="91"/>
  <c r="O42" i="91"/>
  <c r="M42" i="91"/>
  <c r="K42" i="91"/>
  <c r="I42" i="91"/>
  <c r="G42" i="91"/>
  <c r="E42" i="91"/>
  <c r="C42" i="91"/>
  <c r="R41" i="91"/>
  <c r="S41" i="91"/>
  <c r="Q41" i="91"/>
  <c r="O41" i="91"/>
  <c r="M41" i="91"/>
  <c r="K41" i="91"/>
  <c r="I41" i="91"/>
  <c r="G41" i="91"/>
  <c r="E41" i="91"/>
  <c r="C41" i="91"/>
  <c r="R40" i="91"/>
  <c r="S40" i="91"/>
  <c r="Q40" i="91"/>
  <c r="O40" i="91"/>
  <c r="M40" i="91"/>
  <c r="K40" i="91"/>
  <c r="I40" i="91"/>
  <c r="G40" i="91"/>
  <c r="E40" i="91"/>
  <c r="C40" i="91"/>
  <c r="R39" i="91"/>
  <c r="S39" i="91"/>
  <c r="Q39" i="91"/>
  <c r="O39" i="91"/>
  <c r="M39" i="91"/>
  <c r="K39" i="91"/>
  <c r="I39" i="91"/>
  <c r="G39" i="91"/>
  <c r="E39" i="91"/>
  <c r="C39" i="91"/>
  <c r="R38" i="91"/>
  <c r="S38" i="91"/>
  <c r="Q38" i="91"/>
  <c r="O38" i="91"/>
  <c r="M38" i="91"/>
  <c r="K38" i="91"/>
  <c r="I38" i="91"/>
  <c r="G38" i="91"/>
  <c r="E38" i="91"/>
  <c r="C38" i="91"/>
  <c r="R37" i="91"/>
  <c r="S37" i="91"/>
  <c r="Q37" i="91"/>
  <c r="O37" i="91"/>
  <c r="M37" i="91"/>
  <c r="K37" i="91"/>
  <c r="I37" i="91"/>
  <c r="G37" i="91"/>
  <c r="E37" i="91"/>
  <c r="C37" i="91"/>
  <c r="R36" i="91"/>
  <c r="S36" i="91"/>
  <c r="Q36" i="91"/>
  <c r="O36" i="91"/>
  <c r="M36" i="91"/>
  <c r="K36" i="91"/>
  <c r="I36" i="91"/>
  <c r="G36" i="91"/>
  <c r="E36" i="91"/>
  <c r="C36" i="91"/>
  <c r="D3" i="91"/>
  <c r="E3" i="91"/>
  <c r="F3" i="91"/>
  <c r="G3" i="91"/>
  <c r="H3" i="91"/>
  <c r="D4" i="91"/>
  <c r="C35" i="91"/>
  <c r="E35" i="91"/>
  <c r="G35" i="91"/>
  <c r="I35" i="91"/>
  <c r="F12" i="91"/>
  <c r="K35" i="91"/>
  <c r="M35" i="91"/>
  <c r="O35" i="91"/>
  <c r="Q35" i="91"/>
  <c r="R35" i="91"/>
  <c r="S35" i="91"/>
  <c r="C34" i="91"/>
  <c r="E34" i="91"/>
  <c r="G34" i="91"/>
  <c r="I34" i="91"/>
  <c r="K34" i="91"/>
  <c r="M34" i="91"/>
  <c r="O34" i="91"/>
  <c r="Q34" i="91"/>
  <c r="R34" i="91"/>
  <c r="S34" i="91"/>
  <c r="C33" i="91"/>
  <c r="E33" i="91"/>
  <c r="G33" i="91"/>
  <c r="I33" i="91"/>
  <c r="K33" i="91"/>
  <c r="M33" i="91"/>
  <c r="O33" i="91"/>
  <c r="Q33" i="91"/>
  <c r="R33" i="91"/>
  <c r="S33" i="91"/>
  <c r="C32" i="91"/>
  <c r="E32" i="91"/>
  <c r="G32" i="91"/>
  <c r="I32" i="91"/>
  <c r="K32" i="91"/>
  <c r="M32" i="91"/>
  <c r="O32" i="91"/>
  <c r="Q32" i="91"/>
  <c r="R32" i="91"/>
  <c r="S32" i="91"/>
  <c r="C31" i="91"/>
  <c r="E31" i="91"/>
  <c r="G31" i="91"/>
  <c r="I31" i="91"/>
  <c r="K31" i="91"/>
  <c r="M31" i="91"/>
  <c r="O31" i="91"/>
  <c r="Q31" i="91"/>
  <c r="R31" i="91"/>
  <c r="S31" i="91"/>
  <c r="C30" i="91"/>
  <c r="E30" i="91"/>
  <c r="G30" i="91"/>
  <c r="I30" i="91"/>
  <c r="K30" i="91"/>
  <c r="M30" i="91"/>
  <c r="O30" i="91"/>
  <c r="Q30" i="91"/>
  <c r="C29" i="91"/>
  <c r="E29" i="91"/>
  <c r="G29" i="91"/>
  <c r="I29" i="91"/>
  <c r="K29" i="91"/>
  <c r="M29" i="91"/>
  <c r="O29" i="91"/>
  <c r="Q29" i="91"/>
  <c r="C28" i="91"/>
  <c r="E28" i="91"/>
  <c r="G28" i="91"/>
  <c r="I28" i="91"/>
  <c r="K28" i="91"/>
  <c r="M28" i="91"/>
  <c r="O28" i="91"/>
  <c r="Q28" i="91"/>
  <c r="C27" i="91"/>
  <c r="E27" i="91"/>
  <c r="G27" i="91"/>
  <c r="I27" i="91"/>
  <c r="K27" i="91"/>
  <c r="M27" i="91"/>
  <c r="O27" i="91"/>
  <c r="Q27" i="91"/>
  <c r="C26" i="91"/>
  <c r="E26" i="91"/>
  <c r="G26" i="91"/>
  <c r="I26" i="91"/>
  <c r="K26" i="91"/>
  <c r="M26" i="91"/>
  <c r="O26" i="91"/>
  <c r="Q26" i="91"/>
  <c r="C25" i="91"/>
  <c r="E25" i="91"/>
  <c r="G25" i="91"/>
  <c r="I25" i="91"/>
  <c r="K25" i="91"/>
  <c r="M25" i="91"/>
  <c r="O25" i="91"/>
  <c r="Q25" i="91"/>
  <c r="P23" i="91"/>
  <c r="N23" i="91"/>
  <c r="L23" i="91"/>
  <c r="J23" i="91"/>
  <c r="H23" i="91"/>
  <c r="F23" i="91"/>
  <c r="D23" i="91"/>
  <c r="B22" i="91"/>
  <c r="R22" i="91"/>
  <c r="B21" i="91"/>
  <c r="F20" i="91"/>
  <c r="G12" i="91"/>
  <c r="H12" i="91"/>
  <c r="I12" i="91"/>
  <c r="J12" i="91"/>
  <c r="K12" i="91"/>
  <c r="L12" i="91"/>
  <c r="M12" i="91"/>
  <c r="N12" i="91"/>
  <c r="O12" i="91"/>
  <c r="P12" i="91"/>
  <c r="Q12" i="91"/>
  <c r="R12" i="91"/>
  <c r="S12" i="91"/>
  <c r="E10" i="91"/>
  <c r="F10" i="91"/>
  <c r="G10" i="91"/>
  <c r="H10" i="91"/>
  <c r="I10" i="91"/>
  <c r="J10" i="91"/>
  <c r="K10" i="91"/>
  <c r="L10" i="91"/>
  <c r="M10" i="91"/>
  <c r="N10" i="91"/>
  <c r="O10" i="91"/>
  <c r="P10" i="91"/>
  <c r="Q10" i="91"/>
  <c r="R10" i="91"/>
  <c r="S10" i="91"/>
  <c r="E8" i="91"/>
  <c r="F8" i="91"/>
  <c r="G8" i="91"/>
  <c r="H8" i="91"/>
  <c r="I8" i="91"/>
  <c r="J8" i="91"/>
  <c r="K8" i="91"/>
  <c r="L8" i="91"/>
  <c r="M8" i="91"/>
  <c r="N8" i="91"/>
  <c r="O8" i="91"/>
  <c r="P8" i="91"/>
  <c r="Q8" i="91"/>
  <c r="R8" i="91"/>
  <c r="S8" i="91"/>
  <c r="E6" i="91"/>
  <c r="F6" i="91"/>
  <c r="G6" i="91"/>
  <c r="H6" i="91"/>
  <c r="I6" i="91"/>
  <c r="J6" i="91"/>
  <c r="K6" i="91"/>
  <c r="L6" i="91"/>
  <c r="M6" i="91"/>
  <c r="N6" i="91"/>
  <c r="O6" i="91"/>
  <c r="P6" i="91"/>
  <c r="Q6" i="91"/>
  <c r="R6" i="91"/>
  <c r="S6" i="91"/>
  <c r="E4" i="91"/>
  <c r="F4" i="91"/>
  <c r="G4" i="91"/>
  <c r="H4" i="91"/>
  <c r="S2" i="91"/>
  <c r="R2" i="91"/>
  <c r="Q2" i="91"/>
  <c r="P2" i="91"/>
  <c r="O2" i="91"/>
  <c r="N2" i="91"/>
  <c r="M2" i="91"/>
  <c r="L2" i="91"/>
  <c r="K2" i="91"/>
  <c r="J2" i="91"/>
  <c r="I2" i="91"/>
  <c r="H2" i="91"/>
  <c r="G2" i="91"/>
  <c r="F2" i="91"/>
  <c r="E2" i="91"/>
  <c r="D2" i="91"/>
  <c r="C2" i="91"/>
  <c r="E111" i="88"/>
  <c r="H111" i="88"/>
  <c r="D126" i="88"/>
  <c r="D127" i="88"/>
  <c r="A126" i="88"/>
  <c r="E109" i="88"/>
  <c r="R24" i="31"/>
  <c r="S24" i="31"/>
  <c r="D3" i="31"/>
  <c r="E3" i="31"/>
  <c r="F3" i="31"/>
  <c r="G3" i="31"/>
  <c r="H3" i="31"/>
  <c r="D4" i="31"/>
  <c r="C25" i="31"/>
  <c r="D6" i="31"/>
  <c r="E25" i="31"/>
  <c r="D8" i="31"/>
  <c r="G25" i="31"/>
  <c r="D10" i="31"/>
  <c r="I25" i="31"/>
  <c r="D12" i="31"/>
  <c r="E12" i="31"/>
  <c r="K25" i="31"/>
  <c r="M25" i="31"/>
  <c r="O25" i="31"/>
  <c r="Q25" i="31"/>
  <c r="R25" i="31"/>
  <c r="S25" i="31"/>
  <c r="C26" i="31"/>
  <c r="E26" i="31"/>
  <c r="G26" i="31"/>
  <c r="I26" i="31"/>
  <c r="K26" i="31"/>
  <c r="M26" i="31"/>
  <c r="O26" i="31"/>
  <c r="Q26" i="31"/>
  <c r="R26" i="31"/>
  <c r="S26" i="31"/>
  <c r="C27" i="31"/>
  <c r="E27" i="31"/>
  <c r="G27" i="31"/>
  <c r="I27" i="31"/>
  <c r="K27" i="31"/>
  <c r="M27" i="31"/>
  <c r="O27" i="31"/>
  <c r="Q27" i="31"/>
  <c r="R27" i="31"/>
  <c r="S27" i="31"/>
  <c r="C28" i="31"/>
  <c r="E28" i="31"/>
  <c r="G28" i="31"/>
  <c r="I28" i="31"/>
  <c r="K28" i="31"/>
  <c r="M28" i="31"/>
  <c r="O28" i="31"/>
  <c r="Q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7" i="88"/>
  <c r="D17" i="88"/>
  <c r="C18" i="88"/>
  <c r="D18" i="88"/>
  <c r="C24" i="88"/>
  <c r="C32" i="88"/>
  <c r="H118" i="88"/>
  <c r="H101" i="88"/>
  <c r="H105" i="88"/>
  <c r="H106" i="88"/>
  <c r="H109" i="88"/>
  <c r="D124" i="88"/>
  <c r="D125" i="88"/>
  <c r="A124" i="88"/>
  <c r="E107" i="88"/>
  <c r="H103" i="88"/>
  <c r="H107" i="88"/>
  <c r="D122" i="88"/>
  <c r="D123" i="88"/>
  <c r="A122" i="88"/>
  <c r="D120" i="88"/>
  <c r="D121" i="88"/>
  <c r="A120" i="88"/>
  <c r="K120" i="88"/>
  <c r="H119" i="88"/>
  <c r="D35" i="88"/>
  <c r="C35" i="88"/>
  <c r="F118" i="88"/>
  <c r="F119" i="88"/>
  <c r="C34" i="88"/>
  <c r="D118" i="88"/>
  <c r="D119" i="88"/>
  <c r="M18" i="88"/>
  <c r="B118" i="88"/>
  <c r="I118" i="88"/>
  <c r="G118" i="88"/>
  <c r="E118" i="88"/>
  <c r="M19" i="88"/>
  <c r="C118" i="88"/>
  <c r="S2" i="4"/>
  <c r="A118" i="88"/>
  <c r="H112" i="88"/>
  <c r="H110" i="88"/>
  <c r="H108" i="88"/>
  <c r="C105" i="88"/>
  <c r="H104" i="88"/>
  <c r="C104" i="88"/>
  <c r="B22" i="31"/>
  <c r="R22" i="31"/>
  <c r="B21" i="31"/>
  <c r="D20" i="88"/>
  <c r="D103" i="88"/>
  <c r="C20" i="88"/>
  <c r="C103" i="88"/>
  <c r="H102" i="88"/>
  <c r="D102" i="88"/>
  <c r="C102" i="88"/>
  <c r="D101" i="88"/>
  <c r="C101" i="88"/>
  <c r="D45" i="88"/>
  <c r="C85" i="88"/>
  <c r="D89" i="88"/>
  <c r="C89" i="88"/>
  <c r="C87" i="88"/>
  <c r="C91" i="88"/>
  <c r="C92" i="88"/>
  <c r="D93" i="88"/>
  <c r="C93" i="88"/>
  <c r="C94" i="88"/>
  <c r="C86" i="88"/>
  <c r="C95" i="88"/>
  <c r="C96" i="88"/>
  <c r="E96" i="88"/>
  <c r="E97" i="88"/>
  <c r="C97" i="88"/>
  <c r="E90" i="88"/>
  <c r="C72" i="88"/>
  <c r="C76" i="88"/>
  <c r="D77" i="88"/>
  <c r="C77" i="88"/>
  <c r="C74" i="88"/>
  <c r="D78" i="88"/>
  <c r="C78" i="88"/>
  <c r="C73" i="88"/>
  <c r="C79" i="88"/>
  <c r="C80" i="88"/>
  <c r="E80" i="88"/>
  <c r="E81" i="88"/>
  <c r="C81" i="88"/>
  <c r="H77" i="88"/>
  <c r="M49" i="88"/>
  <c r="L63" i="88"/>
  <c r="M63" i="88"/>
  <c r="L64" i="88"/>
  <c r="M64" i="88"/>
  <c r="L65" i="88"/>
  <c r="M65" i="88"/>
  <c r="L66" i="88"/>
  <c r="M66" i="88"/>
  <c r="L67" i="88"/>
  <c r="M67" i="88"/>
  <c r="L68" i="88"/>
  <c r="M68" i="88"/>
  <c r="M69" i="88"/>
  <c r="N69" i="88"/>
  <c r="D68" i="88"/>
  <c r="C64" i="88"/>
  <c r="C63" i="88"/>
  <c r="C67" i="88"/>
  <c r="C68" i="88"/>
  <c r="D54" i="88"/>
  <c r="D48" i="88"/>
  <c r="M52" i="88"/>
  <c r="I55" i="88"/>
  <c r="D55" i="88"/>
  <c r="M53" i="88"/>
  <c r="D58" i="88"/>
  <c r="D56" i="88"/>
  <c r="M54" i="88"/>
  <c r="D59" i="88"/>
  <c r="M55" i="88"/>
  <c r="K6" i="4"/>
  <c r="M56" i="88"/>
  <c r="N57" i="88"/>
  <c r="N59" i="88"/>
  <c r="N61" i="88"/>
  <c r="J55" i="88"/>
  <c r="J56" i="88"/>
  <c r="J57" i="88"/>
  <c r="J59" i="88"/>
  <c r="J61" i="88"/>
  <c r="N60" i="88"/>
  <c r="F59" i="88"/>
  <c r="E59" i="88"/>
  <c r="N58" i="88"/>
  <c r="P57" i="88"/>
  <c r="N56" i="88"/>
  <c r="K56" i="88"/>
  <c r="F56" i="88"/>
  <c r="O55" i="88"/>
  <c r="N55" i="88"/>
  <c r="K55" i="88"/>
  <c r="F55" i="88"/>
  <c r="O54" i="88"/>
  <c r="N54" i="88"/>
  <c r="F54" i="88"/>
  <c r="O53" i="88"/>
  <c r="N53" i="88"/>
  <c r="F53" i="88"/>
  <c r="D53" i="88"/>
  <c r="F48" i="88"/>
  <c r="O52" i="88"/>
  <c r="E48" i="88"/>
  <c r="N52" i="88"/>
  <c r="F52" i="88"/>
  <c r="D52" i="88"/>
  <c r="K49" i="88"/>
  <c r="M48" i="88"/>
  <c r="M47" i="88"/>
  <c r="D34" i="88"/>
  <c r="F33" i="88"/>
  <c r="D27" i="88"/>
  <c r="C25" i="88"/>
  <c r="D22" i="88"/>
  <c r="L19" i="88"/>
  <c r="G21" i="88"/>
  <c r="D21" i="88"/>
  <c r="C21" i="88"/>
  <c r="G20" i="88"/>
  <c r="L18" i="88"/>
  <c r="L4" i="88"/>
  <c r="K4" i="88"/>
  <c r="A2" i="88"/>
  <c r="H1" i="88"/>
  <c r="C5" i="33"/>
  <c r="C19" i="82"/>
  <c r="D19" i="82"/>
  <c r="C17" i="82"/>
  <c r="D17" i="82"/>
  <c r="C18" i="82"/>
  <c r="D18" i="82"/>
  <c r="G19" i="82"/>
  <c r="D45" i="82"/>
  <c r="E111" i="82"/>
  <c r="H111" i="82"/>
  <c r="D126" i="82"/>
  <c r="D127" i="82"/>
  <c r="A126" i="82"/>
  <c r="E109" i="82"/>
  <c r="D4" i="73"/>
  <c r="E20" i="43"/>
  <c r="N17" i="43"/>
  <c r="G20" i="43"/>
  <c r="F7" i="1"/>
  <c r="I20" i="43"/>
  <c r="J20" i="43"/>
  <c r="C20" i="43"/>
  <c r="G2" i="43"/>
  <c r="G17" i="43"/>
  <c r="H17" i="43"/>
  <c r="I17" i="43"/>
  <c r="J17" i="43"/>
  <c r="C17" i="43"/>
  <c r="C16" i="43"/>
  <c r="I2" i="43"/>
  <c r="M7" i="43"/>
  <c r="C6" i="43"/>
  <c r="C5" i="43"/>
  <c r="G3" i="43"/>
  <c r="E22" i="43"/>
  <c r="G22" i="43"/>
  <c r="F22" i="43"/>
  <c r="D22" i="43"/>
  <c r="C21" i="43"/>
  <c r="C18" i="43"/>
  <c r="G19" i="43"/>
  <c r="N5" i="71"/>
  <c r="N6" i="71"/>
  <c r="N7" i="71"/>
  <c r="N8" i="71"/>
  <c r="N9" i="71"/>
  <c r="N10" i="71"/>
  <c r="N11" i="71"/>
  <c r="N12" i="71"/>
  <c r="N13" i="71"/>
  <c r="N14" i="71"/>
  <c r="N15" i="71"/>
  <c r="N16" i="71"/>
  <c r="N17" i="71"/>
  <c r="N18" i="71"/>
  <c r="N19" i="71"/>
  <c r="N20" i="71"/>
  <c r="N21" i="71"/>
  <c r="N22" i="71"/>
  <c r="N23" i="71"/>
  <c r="X3" i="71"/>
  <c r="O5" i="71"/>
  <c r="O6" i="71"/>
  <c r="O7" i="71"/>
  <c r="O8" i="71"/>
  <c r="O9" i="71"/>
  <c r="O10" i="71"/>
  <c r="O11" i="71"/>
  <c r="O12" i="71"/>
  <c r="O13" i="71"/>
  <c r="O14" i="71"/>
  <c r="O15" i="71"/>
  <c r="O16" i="71"/>
  <c r="O17" i="71"/>
  <c r="O18" i="71"/>
  <c r="O19" i="71"/>
  <c r="O20" i="71"/>
  <c r="O21" i="71"/>
  <c r="O22" i="71"/>
  <c r="O23" i="71"/>
  <c r="Y3" i="71"/>
  <c r="Z3" i="71"/>
  <c r="P5" i="71"/>
  <c r="P6" i="71"/>
  <c r="P7" i="71"/>
  <c r="P8" i="71"/>
  <c r="P9" i="71"/>
  <c r="P10" i="71"/>
  <c r="P11" i="71"/>
  <c r="P12" i="71"/>
  <c r="P13" i="71"/>
  <c r="P14" i="71"/>
  <c r="P15" i="71"/>
  <c r="P16" i="71"/>
  <c r="P17" i="71"/>
  <c r="P18" i="71"/>
  <c r="P19" i="71"/>
  <c r="P20" i="71"/>
  <c r="P21" i="71"/>
  <c r="P22" i="71"/>
  <c r="P23" i="71"/>
  <c r="AA3" i="71"/>
  <c r="Q5" i="71"/>
  <c r="Q6" i="71"/>
  <c r="Q7" i="71"/>
  <c r="Q8" i="71"/>
  <c r="Q9" i="71"/>
  <c r="Q10" i="71"/>
  <c r="Q11" i="71"/>
  <c r="Q12" i="71"/>
  <c r="Q13" i="71"/>
  <c r="Q14" i="71"/>
  <c r="Q15" i="71"/>
  <c r="Q16" i="71"/>
  <c r="Q17" i="71"/>
  <c r="Q18" i="71"/>
  <c r="Q19" i="71"/>
  <c r="Q20" i="71"/>
  <c r="Q21" i="71"/>
  <c r="Q22" i="71"/>
  <c r="Q23"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C19" i="43"/>
  <c r="D59" i="43"/>
  <c r="D60" i="43"/>
  <c r="N7" i="43"/>
  <c r="F59" i="43"/>
  <c r="H61" i="43"/>
  <c r="G61" i="43"/>
  <c r="K61" i="43"/>
  <c r="D61" i="43"/>
  <c r="H62" i="43"/>
  <c r="G62" i="43"/>
  <c r="K62" i="43"/>
  <c r="D62" i="43"/>
  <c r="D63" i="43"/>
  <c r="H64" i="43"/>
  <c r="G64" i="43"/>
  <c r="K64" i="43"/>
  <c r="D64" i="43"/>
  <c r="H65" i="43"/>
  <c r="G65" i="43"/>
  <c r="K65" i="43"/>
  <c r="D65" i="43"/>
  <c r="H66" i="43"/>
  <c r="G66" i="43"/>
  <c r="K66" i="43"/>
  <c r="D66" i="43"/>
  <c r="D67" i="43"/>
  <c r="E59" i="43"/>
  <c r="B57" i="43"/>
  <c r="C24" i="43"/>
  <c r="C29" i="43"/>
  <c r="E29" i="43"/>
  <c r="D5" i="43"/>
  <c r="F33" i="43"/>
  <c r="C33" i="43"/>
  <c r="E33" i="43"/>
  <c r="F34" i="43"/>
  <c r="C34" i="43"/>
  <c r="E34" i="43"/>
  <c r="F35" i="43"/>
  <c r="C35" i="43"/>
  <c r="E35" i="43"/>
  <c r="F36" i="43"/>
  <c r="C36" i="43"/>
  <c r="E36" i="43"/>
  <c r="E41" i="43"/>
  <c r="C41" i="43"/>
  <c r="E5" i="43"/>
  <c r="F37" i="43"/>
  <c r="C37" i="43"/>
  <c r="E37" i="43"/>
  <c r="F38" i="43"/>
  <c r="C38" i="43"/>
  <c r="E38" i="43"/>
  <c r="F39" i="43"/>
  <c r="C39" i="43"/>
  <c r="E39" i="43"/>
  <c r="C26" i="43"/>
  <c r="B2" i="43"/>
  <c r="C24" i="82"/>
  <c r="C32" i="82"/>
  <c r="H118" i="82"/>
  <c r="H101" i="82"/>
  <c r="H105" i="82"/>
  <c r="H106" i="82"/>
  <c r="H109" i="82"/>
  <c r="D124" i="82"/>
  <c r="D125" i="82"/>
  <c r="A124" i="82"/>
  <c r="E107"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D1" i="43"/>
  <c r="B3" i="43"/>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C17" i="81"/>
  <c r="C18" i="81"/>
  <c r="C19" i="81"/>
  <c r="C20" i="81"/>
  <c r="I4" i="81"/>
  <c r="F3" i="81"/>
  <c r="H5" i="81"/>
  <c r="B5" i="81"/>
  <c r="D6" i="81"/>
  <c r="B6" i="81"/>
  <c r="B8" i="81"/>
  <c r="E11" i="81"/>
  <c r="C16" i="81"/>
  <c r="C21" i="81"/>
  <c r="C22" i="81"/>
  <c r="C23" i="81"/>
  <c r="C25" i="81"/>
  <c r="C26" i="81"/>
  <c r="C29" i="81"/>
  <c r="D2" i="81"/>
  <c r="E30" i="81"/>
  <c r="C30" i="81"/>
  <c r="C75" i="9"/>
  <c r="E4" i="31"/>
  <c r="F4" i="31"/>
  <c r="G4" i="31"/>
  <c r="H4" i="31"/>
  <c r="N7" i="1"/>
  <c r="Y7" i="1"/>
  <c r="C27" i="81"/>
  <c r="C24" i="81"/>
  <c r="E12" i="81"/>
  <c r="E13" i="81"/>
  <c r="B2" i="81"/>
  <c r="C19" i="9"/>
  <c r="D3" i="34"/>
  <c r="B2" i="34"/>
  <c r="D19" i="9"/>
  <c r="G19" i="9"/>
  <c r="C24" i="9"/>
  <c r="C32" i="9"/>
  <c r="H67" i="43"/>
  <c r="G67" i="43"/>
  <c r="H63" i="43"/>
  <c r="G63" i="43"/>
  <c r="E8" i="78"/>
  <c r="E7" i="78"/>
  <c r="E6" i="78"/>
  <c r="E5" i="78"/>
  <c r="E4" i="78"/>
  <c r="E3" i="78"/>
  <c r="E2" i="78"/>
  <c r="C5" i="34"/>
  <c r="M17" i="43"/>
  <c r="B8" i="71"/>
  <c r="B7" i="71"/>
  <c r="B6" i="71"/>
  <c r="B5" i="71"/>
  <c r="C8" i="71"/>
  <c r="C7" i="71"/>
  <c r="C6" i="71"/>
  <c r="C5" i="71"/>
  <c r="D5" i="71"/>
  <c r="E8" i="71"/>
  <c r="E7" i="71"/>
  <c r="E6" i="71"/>
  <c r="E5" i="71"/>
  <c r="F8" i="71"/>
  <c r="F7" i="71"/>
  <c r="F6" i="71"/>
  <c r="F5"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L3" i="71"/>
  <c r="K3" i="71"/>
  <c r="J3" i="71"/>
  <c r="I3" i="71"/>
  <c r="AH5" i="71"/>
  <c r="AG5" i="71"/>
  <c r="AE5" i="71"/>
  <c r="AF5" i="71"/>
  <c r="AD5" i="71"/>
  <c r="AH6" i="71"/>
  <c r="AG6" i="71"/>
  <c r="AE6" i="71"/>
  <c r="AF6" i="71"/>
  <c r="AD6" i="71"/>
  <c r="G39" i="43"/>
  <c r="G38" i="43"/>
  <c r="G37" i="43"/>
  <c r="G36" i="43"/>
  <c r="G35" i="43"/>
  <c r="G34" i="43"/>
  <c r="M47" i="15"/>
  <c r="J53" i="15"/>
  <c r="I5" i="3"/>
  <c r="AD5" i="3"/>
  <c r="AH5" i="3"/>
  <c r="AL5" i="3"/>
  <c r="AP5" i="3"/>
  <c r="I4" i="6"/>
  <c r="G33" i="43"/>
  <c r="H33" i="43"/>
  <c r="I33" i="43"/>
  <c r="H34" i="43"/>
  <c r="I34" i="43"/>
  <c r="H35" i="43"/>
  <c r="I35" i="43"/>
  <c r="H36" i="43"/>
  <c r="I36" i="43"/>
  <c r="H37" i="43"/>
  <c r="I37" i="43"/>
  <c r="H38" i="43"/>
  <c r="I38" i="43"/>
  <c r="H39" i="43"/>
  <c r="I39" i="43"/>
  <c r="AH7" i="71"/>
  <c r="AG7" i="71"/>
  <c r="AE7" i="71"/>
  <c r="AF7" i="71"/>
  <c r="AD7" i="71"/>
  <c r="M19" i="9"/>
  <c r="C118" i="9"/>
  <c r="C14" i="74"/>
  <c r="M18" i="9"/>
  <c r="B118" i="9"/>
  <c r="B14" i="74"/>
  <c r="AD8" i="71"/>
  <c r="AG8" i="71"/>
  <c r="AH8" i="71"/>
  <c r="AE8" i="71"/>
  <c r="AF8" i="71"/>
  <c r="T8" i="71"/>
  <c r="S8" i="71"/>
  <c r="V8" i="71"/>
  <c r="U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V24" i="71"/>
  <c r="V20" i="71"/>
  <c r="V16" i="71"/>
  <c r="S16" i="71"/>
  <c r="U16" i="71"/>
  <c r="S20" i="71"/>
  <c r="S24" i="71"/>
  <c r="U24" i="71"/>
  <c r="N52" i="71"/>
  <c r="U20" i="71"/>
  <c r="F35" i="71"/>
  <c r="F36" i="71"/>
  <c r="V36"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E83" i="21"/>
  <c r="S21" i="21"/>
  <c r="H1" i="69"/>
  <c r="AC25" i="40"/>
  <c r="W25" i="40"/>
  <c r="AB25" i="40"/>
  <c r="U25" i="40"/>
  <c r="AB29" i="39"/>
  <c r="U29" i="39"/>
  <c r="AC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J50" i="15"/>
  <c r="J51" i="15"/>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9" i="1"/>
  <c r="F10" i="1"/>
  <c r="F11" i="1"/>
  <c r="F12" i="1"/>
  <c r="F13" i="1"/>
  <c r="D9" i="1"/>
  <c r="D10" i="1"/>
  <c r="D11" i="1"/>
  <c r="D12" i="1"/>
  <c r="D13" i="1"/>
  <c r="D7" i="1"/>
  <c r="B8" i="1"/>
  <c r="E8" i="1"/>
  <c r="A10" i="1"/>
  <c r="A11" i="1"/>
  <c r="F3" i="35"/>
  <c r="B11" i="1"/>
  <c r="E11" i="1"/>
  <c r="B7" i="1"/>
  <c r="E7" i="1"/>
  <c r="K10"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F15" i="43"/>
  <c r="E15" i="43"/>
  <c r="D15" i="43"/>
  <c r="C15" i="43"/>
  <c r="C10" i="43"/>
  <c r="C11" i="43"/>
  <c r="C9" i="43"/>
  <c r="A7" i="43"/>
  <c r="F33" i="15"/>
  <c r="F61" i="15"/>
  <c r="M19" i="15"/>
  <c r="M10" i="1"/>
  <c r="O10" i="1"/>
  <c r="B2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E116" i="34"/>
  <c r="F116" i="34"/>
  <c r="G116" i="34"/>
  <c r="H116" i="34"/>
  <c r="I116" i="34"/>
  <c r="J116" i="34"/>
  <c r="K116" i="34"/>
  <c r="L116" i="34"/>
  <c r="M116" i="34"/>
  <c r="F110" i="34"/>
  <c r="E110" i="34"/>
  <c r="D110" i="34"/>
  <c r="C110"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E82"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E121" i="33"/>
  <c r="F109" i="33"/>
  <c r="E109" i="33"/>
  <c r="D109" i="33"/>
  <c r="C109" i="33"/>
  <c r="C23" i="33"/>
  <c r="C19" i="33"/>
  <c r="C17" i="33"/>
  <c r="C15" i="33"/>
  <c r="C15" i="21"/>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F125" i="33"/>
  <c r="H17" i="37"/>
  <c r="U17" i="37"/>
  <c r="AB27" i="37"/>
  <c r="U32" i="33"/>
  <c r="AA36" i="39"/>
  <c r="E123"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BO5" i="3"/>
  <c r="BM5" i="3"/>
  <c r="F29" i="6"/>
  <c r="AC5" i="3"/>
  <c r="BP5" i="3"/>
  <c r="BN5" i="3"/>
  <c r="U36" i="40"/>
  <c r="N4" i="43"/>
  <c r="F81" i="43"/>
  <c r="H83" i="43"/>
  <c r="H113" i="43"/>
  <c r="F48" i="43"/>
  <c r="H52" i="43"/>
  <c r="F70" i="43"/>
  <c r="H73" i="43"/>
  <c r="M6" i="43"/>
  <c r="M11" i="43"/>
  <c r="E17" i="43"/>
  <c r="U17" i="39"/>
  <c r="S14" i="35"/>
  <c r="U43" i="21"/>
  <c r="U35" i="21"/>
  <c r="AC35" i="21"/>
  <c r="U10" i="21"/>
  <c r="G8" i="1"/>
  <c r="G9" i="1"/>
  <c r="G10" i="1"/>
  <c r="F48" i="9"/>
  <c r="O52" i="9"/>
  <c r="AC11" i="3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M18" i="67"/>
  <c r="J18" i="67"/>
  <c r="J19" i="67"/>
  <c r="M21" i="67"/>
  <c r="M20" i="67"/>
  <c r="J20" i="67"/>
  <c r="J17" i="67"/>
  <c r="J14" i="67"/>
  <c r="M22" i="67"/>
  <c r="J22" i="67"/>
  <c r="J15" i="67"/>
  <c r="J13" i="67"/>
  <c r="M23" i="67"/>
  <c r="J23" i="67"/>
  <c r="M24" i="67"/>
  <c r="J24" i="67"/>
  <c r="J16" i="67"/>
  <c r="J25" i="67"/>
  <c r="M28" i="67"/>
  <c r="M26" i="67"/>
  <c r="M27" i="67"/>
  <c r="H118" i="9"/>
  <c r="H101" i="9"/>
  <c r="C64" i="9"/>
  <c r="C63" i="9"/>
  <c r="C67" i="9"/>
  <c r="D68" i="9"/>
  <c r="C68" i="9"/>
  <c r="D54" i="9"/>
  <c r="D48" i="9"/>
  <c r="M52" i="9"/>
  <c r="H86" i="43"/>
  <c r="H82" i="43"/>
  <c r="H87" i="43"/>
  <c r="K9" i="1"/>
  <c r="M9" i="1"/>
  <c r="O9" i="1"/>
  <c r="P9" i="1"/>
  <c r="D93" i="9"/>
  <c r="E12" i="6"/>
  <c r="E15" i="6"/>
  <c r="E60" i="40"/>
  <c r="E13" i="6"/>
  <c r="E58" i="40"/>
  <c r="G29" i="6"/>
  <c r="E29" i="6"/>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U30" i="33"/>
  <c r="W28" i="37"/>
  <c r="S19" i="39"/>
  <c r="H12" i="39"/>
  <c r="AB12" i="39"/>
  <c r="F39" i="40"/>
  <c r="R12" i="1"/>
  <c r="B12" i="1"/>
  <c r="E12" i="1"/>
  <c r="S10" i="1"/>
  <c r="AQ10" i="1"/>
  <c r="R10" i="1"/>
  <c r="B10" i="1"/>
  <c r="E10" i="1"/>
  <c r="D1" i="66"/>
  <c r="E10" i="66"/>
  <c r="M12" i="1"/>
  <c r="O12" i="1"/>
  <c r="P12" i="1"/>
  <c r="AR13" i="1"/>
  <c r="R13" i="1"/>
  <c r="S11" i="1"/>
  <c r="AQ11" i="1"/>
  <c r="R11" i="1"/>
  <c r="S9" i="1"/>
  <c r="A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2" i="37"/>
  <c r="D52" i="37"/>
  <c r="A4" i="51"/>
  <c r="B6" i="72"/>
  <c r="C48" i="35"/>
  <c r="D48" i="35"/>
  <c r="C58" i="21"/>
  <c r="D58" i="21"/>
  <c r="C94" i="9"/>
  <c r="C4" i="12"/>
  <c r="C92" i="9"/>
  <c r="H60" i="43"/>
  <c r="H59" i="43"/>
  <c r="H55" i="43"/>
  <c r="H51" i="43"/>
  <c r="H56" i="43"/>
  <c r="H76" i="43"/>
  <c r="H72" i="43"/>
  <c r="H77" i="43"/>
  <c r="L20" i="6"/>
  <c r="E62" i="39"/>
  <c r="E56" i="39"/>
  <c r="E51" i="40"/>
  <c r="B6" i="1"/>
  <c r="E6" i="1"/>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31" i="12"/>
  <c r="F52" i="9"/>
  <c r="C31" i="12"/>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C24" i="12"/>
  <c r="AA39" i="40"/>
  <c r="S39" i="40"/>
  <c r="S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B5" i="62"/>
  <c r="B73" i="72"/>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8" i="21"/>
  <c r="H58" i="21"/>
  <c r="I58" i="21"/>
  <c r="J58" i="21"/>
  <c r="K58" i="21"/>
  <c r="L58" i="21"/>
  <c r="M58" i="21"/>
  <c r="N58" i="21"/>
  <c r="O58" i="21"/>
  <c r="E63" i="40"/>
  <c r="D65" i="40"/>
  <c r="E68" i="39"/>
  <c r="F68" i="39"/>
  <c r="G68" i="39"/>
  <c r="H68" i="39"/>
  <c r="I68" i="39"/>
  <c r="J68" i="39"/>
  <c r="K68" i="39"/>
  <c r="L68" i="39"/>
  <c r="M68" i="39"/>
  <c r="N68" i="39"/>
  <c r="O68" i="39"/>
  <c r="J10" i="40"/>
  <c r="W10" i="40"/>
  <c r="C5" i="68"/>
  <c r="F10" i="40"/>
  <c r="AA10" i="40"/>
  <c r="S20" i="6"/>
  <c r="M27" i="6"/>
  <c r="H10" i="39"/>
  <c r="J10" i="39"/>
  <c r="M16" i="1"/>
  <c r="N16" i="1"/>
  <c r="F27" i="11"/>
  <c r="Q52" i="67"/>
  <c r="AA7" i="36"/>
  <c r="R36" i="36"/>
  <c r="E36" i="36"/>
  <c r="E40" i="36"/>
  <c r="F40" i="36"/>
  <c r="AC11" i="37"/>
  <c r="W11" i="37"/>
  <c r="AB7" i="37"/>
  <c r="T42" i="37"/>
  <c r="G42" i="37"/>
  <c r="G46" i="37"/>
  <c r="H46" i="37"/>
  <c r="W11" i="34"/>
  <c r="H20" i="6"/>
  <c r="B2" i="74"/>
  <c r="AB7" i="36"/>
  <c r="T36" i="36"/>
  <c r="E6" i="3"/>
  <c r="AA10" i="39"/>
  <c r="D10" i="68"/>
  <c r="C10" i="68"/>
  <c r="D10" i="11"/>
  <c r="C10" i="11"/>
  <c r="D20" i="12"/>
  <c r="C20" i="12"/>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B6" i="70"/>
  <c r="B7" i="70"/>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C103" i="9"/>
  <c r="C21" i="9"/>
  <c r="C102" i="9"/>
  <c r="D22" i="9"/>
  <c r="B2" i="21"/>
  <c r="B3" i="21"/>
  <c r="J20" i="15"/>
  <c r="D103" i="9"/>
  <c r="D102" i="9"/>
  <c r="D21" i="9"/>
  <c r="B2" i="33"/>
  <c r="B3" i="33"/>
  <c r="B2" i="36"/>
  <c r="B3" i="36"/>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B6" i="76"/>
  <c r="B2" i="76"/>
  <c r="C30" i="43"/>
  <c r="E30" i="43"/>
  <c r="C27" i="43"/>
  <c r="E6" i="76"/>
  <c r="E2" i="76"/>
  <c r="B3" i="76"/>
  <c r="AO8" i="1"/>
  <c r="B8" i="70"/>
  <c r="B2" i="70"/>
  <c r="B3"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<sst xmlns="http://schemas.openxmlformats.org/spreadsheetml/2006/main" count="9218" uniqueCount="3317">
  <si>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</si>
  <si>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</si>
  <si>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</si>
  <si>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</si>
  <si>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</si>
  <si>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</si>
  <si>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</si>
  <si>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</si>
  <si>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</si>
  <si>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</si>
  <si>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</si>
  <si>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</si>
  <si>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</si>
  <si>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</si>
  <si>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</si>
  <si>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</si>
  <si>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</si>
  <si>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</si>
  <si>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</si>
  <si>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</si>
  <si>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</si>
  <si>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</si>
  <si>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</si>
  <si>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</si>
  <si>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</si>
  <si>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</si>
  <si>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</si>
  <si>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</si>
  <si>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</si>
  <si>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</si>
  <si>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</si>
  <si>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</si>
  <si>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</si>
  <si>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</si>
  <si>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</si>
  <si>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</si>
  <si>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</si>
  <si>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</si>
  <si>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</si>
  <si>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</si>
  <si>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</si>
  <si>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</si>
  <si>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</si>
  <si>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</si>
  <si>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</si>
  <si>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</si>
  <si>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</si>
  <si>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</si>
  <si>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</si>
  <si>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</si>
  <si>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</si>
  <si>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</si>
  <si>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</si>
  <si>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</si>
  <si>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</si>
  <si>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</si>
  <si>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</si>
  <si>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</si>
  <si>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</si>
  <si>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</si>
  <si>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</si>
  <si>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</si>
  <si>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</si>
  <si>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</si>
  <si>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</si>
  <si>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</si>
  <si>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</si>
  <si>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</si>
  <si>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</si>
  <si>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</si>
  <si>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</si>
  <si>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</si>
  <si>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</si>
  <si>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</si>
  <si>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</si>
  <si>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</si>
  <si>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</si>
  <si>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</si>
  <si>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</si>
  <si>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</si>
  <si>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</si>
  <si>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</si>
  <si>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</si>
  <si>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</si>
  <si>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</si>
  <si>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</si>
  <si>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</si>
  <si>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</si>
  <si>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</si>
  <si>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</si>
  <si>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</si>
  <si>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</si>
  <si>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</si>
  <si>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</si>
  <si>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</si>
  <si>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</si>
  <si>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</si>
  <si>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</si>
  <si>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</si>
  <si>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</si>
  <si>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</si>
  <si>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</si>
  <si>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</si>
  <si>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</si>
  <si>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</si>
  <si>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</si>
  <si>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</si>
  <si>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</si>
  <si>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</si>
  <si>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</si>
  <si>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</si>
  <si>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</si>
  <si>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</si>
  <si>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</si>
  <si>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</si>
  <si>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</si>
  <si>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</si>
  <si>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</si>
  <si>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</si>
  <si>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</si>
  <si>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</si>
  <si>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</si>
  <si>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</si>
  <si>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</si>
  <si>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</si>
  <si>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</si>
  <si>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</si>
  <si>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</si>
  <si>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</si>
  <si>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</si>
  <si>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</si>
  <si>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</si>
  <si>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</si>
  <si>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</si>
  <si>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</si>
  <si>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</si>
  <si>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</si>
  <si>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</si>
  <si>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</si>
  <si>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</si>
  <si>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</si>
  <si>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</si>
  <si>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</si>
  <si>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</si>
  <si>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</si>
  <si>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</si>
  <si>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</si>
  <si>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</si>
  <si>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</si>
  <si>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</si>
  <si>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</si>
  <si>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</si>
  <si>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</si>
  <si>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</si>
  <si>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</si>
  <si>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</si>
  <si>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</si>
  <si>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</si>
  <si>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</si>
  <si>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</si>
  <si>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</si>
  <si>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</si>
  <si>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</si>
  <si>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</si>
  <si>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</si>
  <si>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</si>
  <si>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</si>
  <si>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</si>
  <si>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</si>
  <si>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</si>
  <si>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</si>
  <si>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</si>
  <si>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</si>
  <si>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</si>
  <si>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</si>
  <si>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</si>
  <si>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</si>
  <si>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</si>
  <si>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</si>
  <si>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</si>
  <si>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</si>
  <si>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</si>
  <si>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</si>
  <si>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</si>
  <si>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</si>
  <si>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</si>
  <si>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</si>
  <si>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</si>
  <si>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</si>
  <si>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</si>
  <si>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</si>
  <si>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</si>
  <si>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</si>
  <si>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</si>
  <si>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</si>
  <si>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</si>
  <si>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</si>
  <si>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</si>
  <si>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</si>
  <si>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</si>
  <si>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</si>
  <si>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</si>
  <si>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</si>
  <si>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</si>
  <si>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</si>
  <si>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</si>
  <si>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</si>
  <si>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</si>
  <si>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</si>
  <si>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</si>
  <si>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</si>
  <si>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</si>
  <si>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</si>
  <si>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</si>
  <si>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</si>
  <si>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</si>
  <si>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</si>
  <si>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</si>
  <si>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</si>
  <si>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</si>
  <si>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</si>
  <si>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</si>
  <si>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</si>
  <si>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</si>
  <si>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</si>
  <si>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</si>
  <si>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</si>
  <si>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</si>
  <si>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</si>
  <si>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</si>
  <si>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</si>
  <si>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</si>
  <si>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</si>
  <si>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</si>
  <si>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</si>
  <si>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</si>
  <si>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</si>
  <si>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</si>
  <si>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</si>
  <si>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</si>
  <si>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</si>
  <si>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</si>
  <si>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</si>
  <si>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</si>
  <si>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</si>
  <si>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</si>
  <si>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</si>
  <si>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</si>
  <si>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</si>
  <si>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</si>
  <si>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</si>
  <si>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</si>
  <si>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</si>
  <si>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</si>
  <si>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</si>
  <si>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</si>
  <si>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</si>
  <si>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</si>
  <si>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</si>
  <si>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</si>
  <si>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</si>
  <si>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</si>
  <si>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</si>
  <si>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</si>
  <si>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</si>
  <si>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</si>
  <si>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</si>
  <si>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</si>
  <si>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</si>
  <si>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</si>
  <si>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</si>
  <si>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</si>
  <si>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</si>
  <si>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</si>
  <si>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</si>
  <si>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</si>
  <si>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</si>
  <si>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</si>
  <si>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</si>
  <si>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</si>
  <si>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</si>
  <si>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</si>
  <si>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</si>
  <si>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</si>
  <si>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</si>
  <si>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</si>
  <si>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</si>
  <si>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</si>
  <si>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</si>
  <si>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</si>
  <si>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</si>
  <si>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</si>
  <si>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</si>
  <si>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</si>
  <si>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</si>
  <si>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</si>
  <si>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</si>
  <si>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</si>
  <si>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</si>
  <si>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</si>
  <si>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</si>
  <si>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</si>
  <si>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</si>
  <si>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</si>
  <si>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</si>
  <si>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</si>
  <si>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</si>
  <si>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</si>
  <si>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</si>
  <si>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</si>
  <si>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</si>
  <si>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</si>
  <si>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</si>
  <si>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</si>
  <si>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</si>
  <si>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</si>
  <si>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</si>
  <si>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</si>
  <si>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</si>
  <si>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</si>
  <si>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</si>
  <si>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</si>
  <si>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</si>
  <si>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</si>
  <si>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</si>
  <si>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</si>
  <si>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</si>
  <si>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</si>
  <si>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</si>
  <si>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</si>
  <si>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</si>
  <si>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</si>
  <si>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</si>
  <si>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</si>
  <si>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</si>
  <si>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</si>
  <si>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</si>
  <si>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</si>
  <si>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</si>
  <si>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</si>
  <si>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</si>
  <si>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</si>
  <si>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</si>
  <si>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</si>
  <si>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</si>
  <si>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</si>
  <si>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</si>
  <si>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</si>
  <si>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</si>
  <si>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</si>
  <si>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</si>
  <si>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</si>
  <si>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</si>
  <si>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</si>
  <si>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</si>
  <si>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</si>
  <si>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</si>
  <si>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</si>
  <si>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</si>
  <si>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</si>
  <si>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</si>
  <si>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</si>
  <si>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</si>
  <si>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</si>
  <si>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</si>
  <si>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</si>
  <si>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</si>
  <si>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</si>
  <si>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</si>
  <si>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</si>
  <si>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</si>
  <si>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</si>
  <si>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</si>
  <si>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</si>
  <si>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</si>
  <si>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</si>
  <si>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</si>
  <si>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</si>
  <si>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</si>
  <si>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</si>
  <si>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</si>
  <si>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</si>
  <si>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</si>
  <si>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</si>
  <si>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</si>
  <si>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</si>
  <si>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</si>
  <si>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</si>
  <si>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</si>
  <si>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</si>
  <si>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</si>
  <si>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</si>
  <si>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</si>
  <si>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</si>
  <si>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</si>
  <si>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</si>
  <si>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</si>
  <si>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</si>
  <si>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</si>
  <si>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</si>
  <si>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</si>
  <si>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</si>
  <si>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</si>
  <si>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</si>
  <si>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</si>
  <si>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</si>
  <si>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</si>
  <si>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</si>
  <si>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</si>
  <si>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</si>
  <si>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</si>
  <si>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</si>
  <si>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</si>
  <si>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</si>
  <si>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</si>
  <si>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</si>
  <si>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</si>
  <si>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</si>
  <si>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</si>
  <si>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</si>
  <si>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</si>
  <si>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</si>
  <si>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</si>
  <si>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</si>
  <si>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</si>
  <si>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</si>
  <si>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</si>
  <si>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</si>
  <si>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</si>
  <si>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</si>
  <si>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</si>
  <si>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</si>
  <si>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</si>
  <si>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</si>
  <si>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</si>
  <si>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</si>
  <si>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</si>
  <si>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</si>
  <si>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</si>
  <si>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</si>
  <si>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</si>
  <si>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</si>
  <si>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</si>
  <si>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</si>
  <si>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</si>
  <si>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</si>
  <si>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</si>
  <si>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</si>
  <si>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</si>
  <si>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</si>
  <si>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</si>
  <si>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</si>
  <si>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</si>
  <si>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</si>
  <si>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</si>
  <si>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</si>
  <si>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</si>
  <si>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</si>
  <si>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</si>
  <si>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</si>
  <si>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</si>
  <si>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</si>
  <si>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</si>
  <si>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</si>
  <si>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</si>
  <si>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</si>
  <si>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</si>
  <si>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</si>
  <si>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</si>
  <si>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</si>
  <si>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</si>
  <si>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</si>
  <si>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</si>
  <si>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</si>
  <si>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</si>
  <si>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</si>
  <si>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</si>
  <si>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</si>
  <si>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</si>
  <si>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</si>
  <si>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</si>
  <si>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</si>
  <si>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</si>
  <si>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</si>
  <si>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</si>
  <si>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</si>
  <si>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</si>
  <si>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</si>
  <si>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</si>
  <si>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</si>
  <si>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</si>
  <si>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</si>
  <si>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</si>
  <si>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</si>
  <si>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</si>
  <si>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</si>
  <si>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</si>
  <si>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</si>
  <si>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</si>
  <si>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</si>
  <si>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</si>
  <si>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</si>
  <si>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</si>
  <si>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</si>
  <si>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</si>
  <si>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</si>
  <si>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</si>
  <si>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</si>
  <si>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</si>
  <si>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</si>
  <si>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</si>
  <si>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</si>
  <si>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</si>
  <si>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</si>
  <si>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</si>
  <si>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</si>
  <si>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</si>
  <si>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</si>
  <si>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</si>
  <si>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</si>
  <si>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</si>
  <si>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</si>
  <si>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</si>
  <si>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</si>
  <si>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</si>
  <si>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</si>
  <si>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</si>
  <si>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</si>
  <si>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</si>
  <si>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</si>
  <si>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</si>
  <si>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</si>
  <si>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</si>
  <si>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</si>
  <si>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</si>
  <si>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</si>
  <si>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</si>
  <si>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</si>
  <si>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</si>
  <si>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</si>
  <si>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</si>
  <si>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</si>
  <si>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</si>
  <si>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</si>
  <si>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</si>
  <si>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</si>
  <si>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</si>
  <si>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</si>
  <si>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</si>
  <si>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</si>
  <si>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</si>
  <si>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</si>
  <si>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</si>
  <si>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</si>
  <si>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</si>
  <si>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</si>
  <si>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</si>
  <si>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</si>
  <si>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</si>
  <si>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</si>
  <si>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</si>
  <si>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</si>
  <si>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</si>
  <si>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</si>
  <si>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</si>
  <si>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</si>
  <si>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</si>
  <si>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</si>
  <si>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</si>
  <si>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</si>
  <si>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</si>
  <si>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</si>
  <si>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</si>
  <si>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</si>
  <si>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</si>
  <si>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</si>
  <si>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</si>
  <si>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</si>
  <si>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</si>
  <si>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</si>
  <si>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</si>
  <si>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</si>
  <si>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</si>
  <si>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</si>
  <si>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</si>
  <si>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</si>
  <si>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</si>
  <si>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</si>
  <si>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</si>
  <si>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</si>
  <si>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</si>
  <si>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</si>
  <si>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</si>
  <si>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</si>
  <si>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</si>
  <si>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</si>
  <si>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</si>
  <si>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</si>
  <si>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</si>
  <si>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</si>
  <si>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</si>
  <si>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</si>
  <si>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</si>
  <si>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</si>
  <si>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</si>
  <si>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</si>
  <si>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</si>
  <si>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</si>
  <si>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</si>
  <si>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</si>
  <si>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</si>
  <si>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</si>
  <si>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</si>
  <si>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</si>
  <si>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</si>
  <si>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</si>
  <si>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</si>
  <si>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</si>
  <si>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</si>
  <si>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</si>
  <si>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</si>
  <si>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</si>
  <si>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</si>
  <si>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</si>
  <si>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</si>
  <si>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</si>
  <si>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</si>
  <si>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</si>
  <si>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</si>
  <si>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</si>
  <si>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</si>
  <si>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</si>
  <si>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</si>
  <si>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</si>
  <si>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</si>
  <si>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</si>
  <si>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</si>
  <si>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</si>
  <si>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</si>
  <si>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</si>
  <si>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</si>
  <si>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</si>
  <si>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</si>
  <si>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</si>
  <si>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</si>
  <si>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</si>
  <si>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</si>
  <si>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</si>
  <si>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</si>
  <si>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</si>
  <si>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</si>
  <si>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</si>
  <si>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</si>
  <si>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</si>
  <si>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</si>
  <si>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</si>
  <si>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</si>
  <si>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</si>
  <si>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</si>
  <si>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</si>
  <si>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</si>
  <si>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</si>
  <si>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</si>
  <si>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</si>
  <si>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</si>
  <si>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</si>
  <si>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</si>
  <si>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</si>
  <si>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</si>
  <si>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</si>
  <si>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</si>
  <si>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</si>
  <si>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</si>
  <si>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</si>
  <si>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</si>
  <si>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</si>
  <si>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</si>
  <si>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</si>
  <si>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</si>
  <si>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</si>
  <si>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</si>
  <si>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</si>
  <si>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</si>
  <si>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</si>
  <si>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</si>
  <si>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</si>
  <si>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</si>
  <si>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</si>
  <si>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</si>
  <si>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</si>
  <si>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</si>
  <si>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</si>
  <si>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</si>
  <si>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</si>
  <si>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</si>
  <si>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</si>
  <si>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</si>
  <si>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</si>
  <si>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</si>
  <si>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</si>
  <si>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</si>
  <si>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</si>
  <si>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</si>
  <si>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</si>
  <si>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</si>
  <si>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</si>
  <si>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</si>
  <si>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</si>
  <si>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</si>
  <si>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</si>
  <si>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</si>
  <si>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</si>
  <si>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</si>
  <si>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</si>
  <si>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</si>
  <si>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</si>
  <si>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</si>
  <si>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</si>
  <si>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</si>
  <si>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</si>
  <si>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</si>
  <si>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</si>
  <si>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</si>
  <si>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</si>
  <si>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</si>
  <si>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</si>
  <si>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</si>
  <si>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</si>
  <si>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</si>
  <si>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</si>
  <si>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</si>
  <si>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</si>
  <si>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</si>
  <si>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</si>
  <si>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</si>
  <si>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</si>
  <si>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</si>
  <si>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</si>
  <si>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</si>
  <si>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</si>
  <si>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</si>
  <si>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</si>
  <si>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</si>
  <si>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</si>
  <si>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</si>
  <si>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</si>
  <si>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</si>
  <si>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</si>
  <si>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</si>
  <si>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</si>
  <si>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</si>
  <si>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</si>
  <si>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</si>
  <si>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</si>
  <si>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</si>
  <si>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</si>
  <si>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</si>
  <si>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</si>
  <si>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</si>
  <si>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</si>
  <si>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</si>
  <si>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</si>
  <si>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</si>
  <si>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</si>
  <si>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</si>
  <si>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</si>
  <si>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</si>
  <si>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</si>
  <si>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</si>
  <si>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</si>
  <si>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</si>
  <si>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</si>
  <si>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</si>
  <si>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</si>
  <si>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</si>
  <si>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</si>
  <si>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</si>
  <si>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</si>
  <si>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</si>
  <si>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</si>
  <si>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</si>
  <si>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</si>
  <si>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</si>
  <si>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</si>
  <si>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</si>
  <si>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</si>
  <si>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</si>
  <si>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</si>
  <si>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</si>
  <si>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</si>
  <si>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</si>
  <si>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</si>
  <si>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</si>
  <si>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</si>
  <si>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</si>
  <si>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</si>
  <si>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</si>
  <si>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</si>
  <si>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</si>
  <si>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</si>
  <si>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</si>
  <si>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</si>
  <si>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</si>
  <si>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</si>
  <si>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</si>
  <si>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</si>
  <si>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</si>
  <si>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</si>
  <si>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</si>
  <si>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</si>
  <si>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</si>
  <si>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</si>
  <si>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</si>
  <si>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</si>
  <si>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</si>
  <si>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</si>
  <si>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</si>
  <si>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</si>
  <si>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</si>
  <si>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</si>
  <si>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</si>
  <si>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</si>
  <si>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</si>
  <si>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</si>
  <si>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</si>
  <si>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</si>
  <si>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</si>
  <si>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</si>
  <si>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</si>
  <si>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</si>
  <si>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</si>
  <si>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</si>
  <si>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</si>
  <si>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</si>
  <si>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</si>
  <si>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</si>
  <si>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</si>
  <si>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</si>
  <si>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</si>
  <si>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</si>
  <si>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</si>
  <si>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</si>
  <si>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</si>
  <si>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</si>
  <si>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</si>
  <si>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</si>
  <si>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</si>
  <si>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</si>
  <si>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</si>
  <si>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</si>
  <si>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</si>
  <si>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</si>
  <si>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</si>
  <si>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</si>
  <si>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</si>
  <si>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</si>
  <si>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</si>
  <si>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</si>
  <si>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</si>
  <si>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</si>
  <si>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</si>
  <si>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</si>
  <si>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</si>
  <si>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</si>
  <si>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</si>
  <si>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</si>
  <si>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</si>
  <si>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</si>
  <si>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</si>
  <si>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</si>
  <si>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</si>
  <si>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</si>
  <si>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</si>
  <si>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</si>
  <si>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</si>
  <si>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</si>
  <si>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</si>
  <si>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</si>
  <si>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</si>
  <si>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</si>
  <si>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</si>
  <si>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</si>
  <si>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</si>
  <si>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</si>
  <si>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</si>
  <si>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</si>
  <si>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</si>
  <si>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</si>
  <si>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</si>
  <si>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</si>
  <si>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</si>
  <si>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</si>
  <si>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</si>
  <si>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</si>
  <si>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</si>
  <si>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</si>
  <si>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</si>
  <si>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</si>
  <si>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</si>
  <si>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</si>
  <si>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</si>
  <si>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</si>
  <si>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</si>
  <si>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</si>
  <si>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</si>
  <si>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</si>
  <si>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</si>
  <si>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</si>
  <si>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</si>
  <si>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</si>
  <si>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</si>
  <si>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</si>
  <si>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</si>
  <si>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</si>
  <si>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</si>
  <si>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</si>
  <si>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</si>
  <si>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</si>
  <si>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</si>
  <si>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</si>
  <si>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</si>
  <si>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</si>
  <si>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</si>
  <si>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</si>
  <si>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</si>
  <si>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</si>
  <si>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</si>
  <si>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</si>
  <si>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</si>
  <si>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</si>
  <si>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</si>
  <si>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</si>
  <si>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</si>
  <si>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</si>
  <si>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</si>
  <si>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</si>
  <si>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</si>
  <si>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</si>
  <si>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</si>
  <si>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</si>
  <si>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</si>
  <si>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</si>
  <si>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</si>
  <si>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</si>
  <si>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</si>
  <si>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</si>
  <si>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</si>
  <si>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</si>
  <si>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</si>
  <si>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</si>
  <si>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</si>
  <si>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</si>
  <si>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</si>
  <si>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</si>
  <si>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</si>
  <si>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</si>
  <si>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</si>
  <si>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</si>
  <si>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</si>
  <si>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</si>
  <si>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</si>
  <si>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</si>
  <si>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</si>
  <si>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</si>
  <si>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</si>
  <si>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</si>
  <si>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</si>
  <si>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</si>
  <si>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</si>
  <si>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</si>
  <si>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</si>
  <si>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</si>
  <si>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</si>
  <si>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</si>
  <si>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</si>
  <si>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</si>
  <si>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</si>
  <si>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</si>
  <si>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</si>
  <si>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</si>
  <si>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</si>
  <si>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</si>
  <si>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</si>
  <si>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</si>
  <si>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</si>
  <si>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</si>
  <si>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</si>
  <si>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</si>
  <si>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</si>
  <si>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</si>
  <si>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</si>
  <si>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</si>
  <si>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</si>
  <si>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</si>
  <si>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</si>
  <si>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</si>
  <si>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</si>
  <si>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</si>
  <si>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</si>
  <si>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</si>
  <si>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</si>
  <si>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</si>
  <si>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</si>
  <si>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</si>
  <si>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</si>
  <si>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</si>
  <si>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</si>
  <si>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</si>
  <si>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</si>
  <si>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</si>
  <si>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</si>
  <si>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</si>
  <si>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</si>
  <si>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</si>
  <si>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</si>
  <si>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</si>
  <si>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</si>
  <si>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</si>
  <si>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</si>
  <si>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</si>
  <si>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</si>
  <si>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</si>
  <si>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</si>
  <si>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</si>
  <si>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</si>
  <si>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</si>
  <si>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</si>
  <si>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</si>
  <si>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</si>
  <si>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</si>
  <si>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</si>
  <si>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</si>
  <si>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</si>
  <si>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</si>
  <si>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</si>
  <si>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</si>
  <si>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</si>
  <si>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</si>
  <si>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</si>
  <si>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</si>
  <si>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</si>
  <si>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</si>
  <si>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</si>
  <si>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</si>
  <si>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</si>
  <si>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</si>
  <si>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</si>
  <si>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</si>
  <si>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</si>
  <si>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</si>
  <si>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</si>
  <si>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</si>
  <si>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</si>
  <si>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</si>
  <si>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</si>
  <si>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</si>
  <si>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</si>
  <si>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</si>
  <si>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</si>
  <si>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</si>
  <si>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</si>
  <si>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</si>
  <si>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</si>
  <si>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</si>
  <si>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</si>
  <si>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</si>
  <si>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</si>
  <si>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</si>
  <si>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</si>
  <si>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</si>
  <si>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</si>
  <si>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</si>
  <si>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</si>
  <si>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</si>
  <si>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</si>
  <si>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</si>
  <si>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</si>
  <si>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</si>
  <si>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</si>
  <si>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</si>
  <si>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</si>
  <si>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</si>
  <si>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</si>
  <si>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</si>
  <si>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</si>
  <si>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</si>
  <si>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</si>
  <si>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</si>
  <si>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</si>
  <si>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</si>
  <si>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</si>
  <si>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</si>
  <si>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</si>
  <si>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</si>
  <si>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</si>
  <si>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</si>
  <si>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</si>
  <si>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</si>
  <si>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</si>
  <si>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</si>
  <si>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</si>
  <si>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</si>
  <si>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</si>
  <si>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</si>
  <si>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</si>
  <si>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</si>
  <si>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</si>
  <si>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</si>
  <si>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</si>
  <si>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</si>
  <si>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</si>
  <si>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</si>
  <si>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</si>
  <si>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</si>
  <si>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</si>
  <si>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</si>
  <si>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</si>
  <si>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</si>
  <si>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</si>
  <si>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</si>
  <si>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</si>
  <si>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</si>
  <si>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</si>
  <si>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</si>
  <si>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</si>
  <si>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</si>
  <si>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</si>
  <si>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</si>
  <si>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</si>
  <si>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</si>
  <si>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</si>
  <si>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</si>
  <si>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</si>
  <si>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</si>
  <si>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</si>
  <si>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</si>
  <si>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</si>
  <si>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</si>
  <si>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</si>
  <si>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</si>
  <si>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</si>
  <si>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</si>
  <si>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</si>
  <si>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</si>
  <si>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</si>
  <si>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</si>
  <si>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</si>
  <si>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</si>
  <si>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</si>
  <si>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</si>
  <si>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</si>
  <si>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</si>
  <si>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</si>
  <si>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</si>
  <si>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</si>
  <si>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</si>
  <si>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</si>
  <si>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</si>
  <si>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</si>
  <si>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</si>
  <si>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</si>
  <si>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</si>
  <si>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</si>
  <si>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</si>
  <si>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</si>
  <si>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</si>
  <si>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</si>
  <si>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</si>
  <si>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</si>
  <si>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</si>
  <si>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</si>
  <si>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</si>
  <si>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</si>
  <si>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</si>
  <si>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</si>
  <si>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</si>
  <si>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</si>
  <si>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</si>
  <si>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</si>
  <si>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</si>
  <si>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</si>
  <si>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</si>
  <si>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</si>
  <si>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</si>
  <si>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</si>
  <si>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</si>
  <si>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</si>
  <si>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</si>
  <si>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</si>
  <si>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</si>
  <si>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</si>
  <si>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</si>
  <si>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</si>
  <si>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</si>
  <si>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</si>
  <si>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</si>
  <si>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</si>
  <si>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</si>
  <si>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</si>
  <si>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</si>
  <si>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</si>
  <si>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</si>
  <si>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</si>
  <si>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</si>
  <si>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</si>
  <si>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</si>
  <si>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</si>
  <si>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</si>
  <si>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</si>
  <si>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</si>
  <si>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</si>
  <si>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</si>
  <si>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</si>
  <si>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</si>
  <si>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</si>
  <si>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</si>
  <si>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</si>
  <si>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</si>
  <si>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</si>
  <si>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</si>
  <si>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</si>
  <si>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</si>
  <si>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</si>
  <si>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</si>
  <si>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</si>
  <si>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</si>
  <si>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</si>
  <si>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</si>
  <si>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</si>
  <si>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</si>
  <si>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</si>
  <si>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</si>
  <si>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</si>
  <si>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</si>
  <si>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</si>
  <si>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</si>
  <si>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</si>
  <si>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</si>
  <si>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</si>
  <si>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</si>
  <si>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</si>
  <si>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</si>
  <si>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</si>
  <si>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</si>
  <si>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</si>
  <si>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</si>
  <si>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</si>
  <si>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</si>
  <si>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</si>
  <si>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</si>
  <si>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</si>
  <si>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</si>
  <si>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</si>
  <si>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</si>
  <si>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</si>
  <si>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</si>
  <si>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</si>
  <si>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</si>
  <si>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</si>
  <si>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</si>
  <si>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</si>
  <si>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</si>
  <si>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</si>
  <si>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</si>
  <si>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</si>
  <si>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</si>
  <si>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</si>
  <si>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</si>
  <si>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</si>
  <si>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</si>
  <si>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</si>
  <si>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</si>
  <si>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</si>
  <si>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</si>
  <si>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</si>
  <si>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</si>
  <si>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</si>
  <si>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</si>
  <si>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</si>
  <si>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</si>
  <si>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</si>
  <si>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</si>
  <si>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</si>
  <si>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</si>
  <si>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</si>
  <si>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</si>
  <si>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</si>
  <si>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</si>
  <si>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</si>
  <si>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</si>
  <si>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</si>
  <si>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</si>
  <si>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</si>
  <si>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</si>
  <si>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</si>
  <si>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</si>
  <si>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</si>
  <si>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</si>
  <si>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</si>
  <si>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</si>
  <si>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</si>
  <si>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</si>
  <si>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</si>
  <si>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</si>
  <si>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</si>
  <si>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</si>
  <si>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</si>
  <si>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</si>
  <si>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</si>
  <si>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</si>
  <si>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</si>
  <si>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</si>
  <si>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</si>
  <si>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</si>
  <si>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</si>
  <si>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</si>
  <si>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</si>
  <si>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</si>
  <si>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</si>
  <si>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</si>
  <si>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</si>
  <si>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</si>
  <si>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</si>
  <si>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</si>
  <si>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</si>
  <si>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</si>
  <si>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</si>
  <si>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</si>
  <si>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</si>
  <si>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</si>
  <si>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</si>
  <si>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</si>
  <si>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</si>
  <si>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</si>
  <si>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</si>
  <si>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</si>
  <si>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</si>
  <si>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</si>
  <si>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</si>
  <si>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</si>
  <si>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</si>
  <si>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</si>
  <si>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</si>
  <si>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</si>
  <si>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</si>
  <si>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</si>
  <si>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</si>
  <si>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</si>
  <si>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</si>
  <si>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</si>
  <si>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</si>
  <si>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</si>
  <si>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</si>
  <si>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</si>
  <si>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</si>
  <si>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</si>
  <si>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</si>
  <si>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</si>
  <si>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</si>
  <si>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</si>
  <si>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</si>
  <si>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</si>
  <si>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</si>
  <si>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</si>
  <si>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</si>
  <si>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</si>
  <si>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</si>
  <si>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</si>
  <si>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</si>
  <si>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</si>
  <si>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</si>
  <si>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</si>
  <si>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</si>
  <si>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</si>
  <si>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</si>
  <si>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</si>
  <si>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</si>
  <si>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</si>
  <si>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</si>
  <si>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</si>
  <si>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</si>
  <si>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</si>
  <si>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</si>
  <si>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</si>
  <si>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</si>
  <si>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</si>
  <si>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</si>
  <si>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</si>
  <si>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</si>
  <si>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</si>
  <si>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</si>
  <si>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</si>
  <si>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</si>
  <si>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</si>
  <si>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</si>
  <si>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</si>
  <si>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</si>
  <si>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</si>
  <si>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</si>
  <si>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</si>
  <si>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</si>
  <si>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</si>
  <si>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</si>
  <si>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</si>
  <si>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</si>
  <si>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</si>
  <si>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</si>
  <si>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</si>
  <si>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</si>
  <si>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</si>
  <si>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</si>
  <si>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</si>
  <si>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</si>
  <si>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</si>
  <si>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</si>
  <si>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</si>
  <si>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</si>
  <si>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</si>
  <si>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</si>
  <si>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</si>
  <si>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</si>
  <si>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</si>
  <si>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</si>
  <si>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</si>
  <si>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</si>
  <si>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</si>
  <si>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</si>
  <si>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</si>
  <si>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</si>
  <si>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</si>
  <si>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</si>
  <si>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</si>
  <si>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</si>
  <si>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</si>
  <si>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</si>
  <si>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</si>
  <si>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</si>
  <si>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</si>
  <si>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</si>
  <si>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</si>
  <si>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</si>
  <si>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</si>
  <si>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</si>
  <si>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</si>
  <si>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</si>
  <si>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</si>
  <si>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</si>
  <si>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</si>
  <si>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</si>
  <si>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</si>
  <si>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</si>
  <si>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</si>
  <si>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</si>
  <si>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</si>
  <si>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</si>
  <si>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</si>
  <si>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</si>
  <si>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</si>
  <si>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</si>
  <si>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</si>
  <si>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</si>
  <si>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</si>
  <si>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</si>
  <si>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</si>
  <si>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</si>
  <si>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</si>
  <si>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</si>
  <si>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</si>
  <si>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</si>
  <si>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</si>
  <si>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</si>
  <si>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</si>
  <si>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</si>
  <si>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</si>
  <si>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</si>
  <si>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</si>
  <si>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</si>
  <si>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</si>
  <si>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</si>
  <si>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</si>
  <si>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</si>
  <si>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</si>
  <si>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</si>
  <si>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</si>
  <si>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</si>
  <si>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</si>
  <si>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</si>
  <si>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</si>
  <si>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</si>
  <si>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</si>
  <si>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</si>
  <si>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</si>
  <si>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</si>
  <si>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</si>
  <si>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</si>
  <si>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</si>
  <si>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</si>
  <si>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</si>
  <si>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</si>
  <si>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</si>
  <si>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</si>
  <si>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</si>
  <si>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</si>
  <si>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</si>
  <si>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</si>
  <si>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</si>
  <si>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</si>
  <si>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</si>
  <si>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</si>
  <si>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</si>
  <si>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</si>
  <si>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</si>
  <si>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</si>
  <si>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</si>
  <si>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</si>
  <si>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</si>
  <si>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</si>
  <si>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</si>
  <si>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</si>
  <si>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</si>
  <si>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</si>
  <si>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</si>
  <si>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</si>
  <si>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</si>
  <si>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</si>
  <si>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</si>
  <si>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</si>
  <si>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</si>
  <si>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</si>
  <si>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</si>
  <si>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</si>
  <si>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</si>
  <si>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</si>
  <si>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</si>
  <si>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</si>
  <si>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</si>
  <si>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</si>
  <si>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</si>
  <si>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</si>
  <si>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</si>
  <si>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</si>
  <si>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</si>
  <si>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</si>
  <si>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</si>
  <si>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</si>
  <si>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</si>
  <si>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</si>
  <si>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</si>
  <si>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</si>
  <si>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</si>
  <si>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</si>
  <si>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</si>
  <si>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</si>
  <si>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</si>
  <si>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</si>
  <si>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</si>
  <si>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</si>
  <si>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</si>
  <si>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</si>
  <si>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</si>
  <si>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</si>
  <si>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</si>
  <si>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</si>
  <si>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</si>
  <si>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</si>
  <si>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</si>
  <si>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</si>
  <si>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</si>
  <si>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</si>
  <si>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</si>
  <si>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</si>
  <si>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</si>
  <si>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</si>
  <si>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</si>
  <si>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</si>
  <si>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</si>
  <si>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</si>
  <si>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</si>
  <si>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</si>
  <si>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</si>
  <si>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</si>
  <si>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</si>
  <si>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</si>
  <si>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</si>
  <si>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</si>
  <si>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</si>
  <si>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</si>
  <si>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</si>
  <si>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</si>
  <si>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</si>
  <si>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</si>
  <si>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</si>
  <si>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</si>
  <si>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</si>
  <si>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</si>
  <si>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</si>
  <si>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</si>
  <si>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</si>
  <si>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</si>
  <si>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</si>
  <si>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</si>
  <si>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</si>
  <si>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</si>
  <si>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</si>
  <si>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</si>
  <si>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</si>
  <si>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</si>
  <si>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</si>
  <si>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</si>
  <si>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</si>
  <si>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</si>
  <si>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</si>
  <si>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</si>
  <si>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</si>
  <si>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</si>
  <si>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</si>
  <si>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</si>
  <si>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</si>
  <si>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</si>
  <si>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</si>
  <si>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</si>
  <si>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</si>
  <si>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</si>
  <si>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</si>
  <si>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</si>
  <si>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</si>
  <si>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</si>
  <si>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</si>
  <si>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</si>
  <si>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</si>
  <si>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</si>
  <si>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</si>
  <si>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</si>
  <si>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</si>
  <si>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</si>
  <si>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</si>
  <si>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</si>
  <si>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</si>
  <si>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</si>
  <si>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</si>
  <si>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</si>
  <si>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</si>
  <si>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</si>
  <si>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</si>
  <si>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</si>
  <si>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</si>
  <si>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</si>
  <si>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</si>
  <si>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</si>
  <si>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</si>
  <si>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</si>
  <si>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</si>
  <si>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</si>
  <si>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</si>
  <si>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</si>
  <si>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</si>
  <si>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</si>
  <si>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</si>
  <si>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</si>
  <si>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</si>
  <si>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</si>
  <si>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</si>
  <si>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</si>
  <si>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</si>
  <si>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</si>
  <si>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</si>
  <si>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</si>
  <si>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</si>
  <si>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</si>
  <si>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</si>
  <si>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</si>
  <si>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</si>
  <si>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</si>
  <si>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</si>
  <si>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</si>
  <si>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</si>
  <si>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</si>
  <si>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</si>
  <si>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</si>
  <si>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</si>
  <si>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</si>
  <si>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</si>
  <si>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</si>
  <si>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</si>
  <si>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</si>
  <si>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</si>
  <si>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</si>
  <si>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</si>
  <si>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</si>
  <si>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</si>
  <si>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</si>
  <si>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</si>
  <si>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</si>
  <si>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</si>
  <si>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</si>
  <si>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</si>
  <si>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</si>
  <si>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</si>
  <si>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</si>
  <si>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</si>
  <si>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</si>
  <si>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</si>
  <si>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</si>
  <si>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</si>
  <si>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</si>
  <si>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</si>
  <si>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</si>
  <si>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</si>
  <si>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</si>
  <si>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</si>
  <si>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</si>
  <si>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</si>
  <si>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</si>
  <si>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</si>
  <si>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</si>
  <si>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</si>
  <si>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</si>
  <si>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</si>
  <si>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</si>
  <si>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</si>
  <si>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</si>
  <si>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</si>
  <si>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</si>
  <si>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</si>
  <si>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</si>
  <si>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</si>
  <si>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</si>
  <si>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</si>
  <si>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</si>
  <si>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</si>
  <si>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</si>
  <si>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</si>
  <si>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</si>
  <si>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</si>
  <si>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</si>
  <si>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</si>
  <si>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</si>
  <si>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</si>
  <si>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</si>
  <si>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</si>
  <si>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</si>
  <si>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</si>
  <si>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</si>
  <si>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</si>
  <si>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</si>
  <si>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</si>
  <si>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</si>
  <si>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</si>
  <si>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</si>
  <si>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</si>
  <si>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</si>
  <si>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</si>
  <si>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</si>
  <si>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</si>
  <si>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</si>
  <si>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</si>
  <si>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</si>
  <si>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</si>
  <si>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</si>
  <si>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</si>
  <si>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</si>
  <si>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</si>
  <si>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</si>
  <si>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</si>
  <si>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</si>
  <si>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</si>
  <si>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</si>
  <si>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</si>
  <si>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</si>
  <si>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</si>
  <si>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</si>
  <si>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</si>
  <si>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</si>
  <si>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</si>
  <si>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</si>
  <si>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</si>
  <si>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</si>
  <si>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</si>
  <si>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</si>
  <si>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</si>
  <si>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</si>
  <si>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</si>
  <si>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</si>
  <si>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</si>
  <si>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</si>
  <si>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</si>
  <si>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</si>
  <si>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</si>
  <si>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</si>
  <si>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</si>
  <si>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</si>
  <si>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</si>
  <si>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</si>
  <si>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</si>
  <si>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</si>
  <si>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</si>
  <si>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</si>
  <si>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</si>
  <si>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</si>
  <si>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</si>
  <si>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</si>
  <si>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</si>
  <si>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</si>
  <si>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</si>
  <si>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</si>
  <si>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</si>
  <si>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</si>
  <si>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</si>
  <si>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</si>
  <si>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</si>
  <si>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</si>
  <si>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</si>
  <si>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</si>
  <si>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</si>
  <si>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</si>
  <si>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</si>
  <si>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</si>
  <si>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</si>
  <si>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</si>
  <si>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</si>
  <si>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</si>
  <si>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</si>
  <si>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</si>
  <si>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</si>
  <si>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</si>
  <si>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</si>
  <si>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</si>
  <si>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</si>
  <si>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</si>
  <si>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</si>
  <si>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</si>
  <si>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</si>
  <si>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</si>
  <si>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</si>
  <si>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</si>
  <si>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</si>
  <si>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</si>
  <si>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</si>
  <si>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</si>
  <si>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</si>
  <si>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</si>
  <si>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</si>
  <si>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</si>
  <si>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</si>
  <si>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</si>
  <si>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</si>
  <si>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</si>
  <si>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</si>
  <si>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</si>
  <si>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</si>
  <si>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</si>
  <si>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</si>
  <si>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</si>
  <si>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</si>
  <si>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</si>
  <si>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</si>
  <si>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</si>
  <si>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</si>
  <si>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</si>
  <si>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</si>
  <si>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</si>
  <si>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</si>
  <si>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</si>
  <si>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</si>
  <si>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</si>
  <si>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</si>
  <si>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</si>
  <si>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</si>
  <si>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</si>
  <si>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</si>
  <si>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</si>
  <si>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</si>
  <si>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</si>
  <si>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</si>
  <si>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</si>
  <si>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</si>
  <si>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</si>
  <si>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</si>
  <si>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</si>
  <si>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</si>
  <si>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</si>
  <si>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</si>
  <si>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</si>
  <si>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</si>
  <si>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</si>
  <si>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</si>
  <si>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</si>
  <si>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</si>
  <si>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</si>
  <si>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</si>
  <si>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</si>
  <si>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</si>
  <si>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</si>
  <si>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</si>
  <si>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</si>
  <si>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</si>
  <si>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</si>
  <si>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</si>
  <si>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</si>
  <si>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</si>
  <si>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</si>
  <si>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</si>
  <si>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</si>
  <si>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</si>
  <si>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</si>
  <si>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</si>
  <si>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</si>
  <si>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</si>
  <si>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</si>
  <si>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</si>
  <si>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</si>
  <si>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</si>
  <si>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</si>
  <si>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</si>
  <si>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</si>
  <si>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</si>
  <si>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</si>
  <si>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</si>
  <si>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</si>
  <si>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</si>
  <si>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</si>
  <si>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</si>
  <si>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</si>
  <si>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</si>
  <si>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</si>
  <si>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</si>
  <si>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</si>
  <si>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</si>
  <si>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</si>
  <si>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</si>
  <si>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</si>
  <si>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</si>
  <si>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</si>
  <si>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</si>
  <si>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</si>
  <si>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</si>
  <si>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</si>
  <si>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</si>
  <si>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</si>
  <si>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</si>
  <si>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</si>
  <si>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</si>
  <si>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</si>
  <si>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</si>
  <si>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</si>
  <si>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</si>
  <si>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</si>
  <si>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</si>
  <si>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</si>
  <si>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</si>
  <si>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</si>
  <si>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</si>
  <si>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</si>
  <si>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</si>
  <si>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</si>
  <si>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</si>
  <si>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</si>
  <si>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</si>
  <si>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</si>
  <si>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</si>
  <si>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</si>
  <si>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</si>
  <si>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</si>
  <si>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</si>
  <si>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</si>
  <si>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</si>
  <si>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</si>
  <si>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</si>
  <si>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</si>
  <si>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</si>
  <si>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</si>
  <si>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</si>
  <si>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</si>
  <si>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</si>
  <si>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</si>
  <si>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</si>
  <si>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</si>
  <si>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</si>
  <si>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</si>
  <si>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</si>
  <si>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</si>
  <si>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</si>
  <si>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</si>
  <si>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</si>
  <si>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</si>
  <si>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</si>
  <si>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</si>
  <si>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</si>
  <si>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</si>
  <si>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</si>
  <si>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</si>
  <si>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</si>
  <si>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</si>
  <si>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</si>
  <si>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</si>
  <si>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</si>
  <si>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</si>
  <si>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</si>
  <si>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</si>
  <si>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</si>
  <si>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</si>
  <si>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</si>
  <si>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</si>
  <si>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</si>
  <si>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</si>
  <si>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</si>
  <si>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</si>
  <si>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</si>
  <si>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</si>
  <si>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</si>
  <si>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</si>
  <si>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</si>
  <si>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</si>
  <si>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</si>
  <si>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</si>
  <si>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</si>
  <si>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</si>
  <si>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</si>
  <si>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</si>
  <si>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</si>
  <si>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</si>
  <si>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</si>
  <si>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</si>
  <si>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</si>
  <si>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</si>
  <si>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</si>
  <si>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</si>
  <si>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</si>
  <si>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</si>
  <si>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</si>
  <si>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</si>
  <si>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</si>
  <si>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</si>
  <si>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</si>
  <si>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</si>
  <si>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</si>
  <si>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</si>
  <si>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</si>
  <si>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</si>
  <si>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</si>
  <si>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</si>
  <si>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</si>
  <si>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</si>
  <si>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</si>
  <si>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</si>
  <si>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</si>
  <si>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</si>
  <si>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</si>
  <si>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</si>
  <si>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</si>
  <si>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</si>
  <si>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</si>
  <si>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</si>
  <si>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</si>
  <si>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</si>
  <si>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</si>
  <si>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</si>
  <si>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</si>
  <si>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</si>
  <si>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</si>
  <si>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</si>
  <si>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</si>
  <si>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</si>
  <si>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</si>
  <si>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</si>
  <si>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</si>
  <si>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</si>
  <si>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</si>
  <si>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</si>
  <si>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</si>
  <si>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</si>
  <si>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</si>
  <si>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</si>
  <si>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</si>
  <si>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</si>
  <si>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</si>
  <si>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</si>
  <si>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</si>
  <si>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</si>
  <si>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</si>
  <si>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</si>
  <si>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</si>
  <si>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</si>
  <si>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</si>
  <si>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</si>
  <si>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</si>
  <si>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</si>
  <si>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</si>
  <si>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</si>
  <si>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</si>
  <si>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</si>
  <si>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</si>
  <si>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</si>
  <si>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</si>
  <si>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</si>
  <si>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</si>
  <si>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</si>
  <si>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</si>
  <si>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</si>
  <si>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</si>
  <si>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</si>
  <si>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</si>
  <si>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</si>
  <si>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</si>
  <si>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</si>
  <si>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</si>
  <si>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</si>
  <si>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</si>
  <si>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</si>
  <si>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</si>
  <si>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</si>
  <si>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</si>
  <si>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</si>
  <si>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</si>
  <si>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</si>
  <si>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</si>
  <si>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</si>
  <si>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</si>
  <si>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</si>
  <si>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</si>
  <si>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</si>
  <si>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</si>
  <si>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</si>
  <si>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</si>
  <si>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</si>
  <si>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</si>
  <si>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</si>
  <si>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</si>
  <si>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</si>
  <si>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</si>
  <si>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</si>
  <si>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</si>
  <si>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</si>
  <si>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</si>
  <si>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</si>
  <si>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</si>
  <si>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</si>
  <si>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</si>
  <si>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</si>
  <si>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</si>
  <si>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</si>
  <si>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</si>
  <si>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</si>
  <si>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</si>
  <si>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</si>
  <si>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</si>
  <si>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</si>
  <si>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</si>
  <si>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</si>
  <si>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</si>
  <si>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</si>
  <si>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</si>
  <si>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</si>
  <si>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</si>
  <si>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</si>
  <si>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</si>
  <si>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</si>
  <si>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</si>
  <si>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</si>
  <si>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</si>
  <si>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</si>
  <si>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</si>
  <si>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</si>
  <si>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</si>
  <si>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</si>
  <si>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</si>
  <si>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</si>
  <si>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</si>
  <si>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</si>
  <si>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</si>
  <si>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</si>
  <si>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</si>
  <si>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</si>
  <si>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</si>
  <si>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</si>
  <si>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</si>
  <si>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</si>
  <si>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</si>
  <si>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</si>
  <si>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</si>
  <si>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</si>
  <si>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</si>
  <si>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</si>
  <si>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</si>
  <si>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</si>
  <si>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</si>
  <si>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</si>
  <si>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</si>
  <si>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</si>
  <si>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</si>
  <si>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</si>
  <si>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</si>
  <si>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</si>
  <si>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</si>
  <si>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</si>
  <si>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</si>
  <si>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</si>
  <si>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</si>
  <si>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</si>
  <si>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</si>
  <si>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</si>
  <si>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</si>
  <si>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</si>
  <si>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</si>
  <si>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</si>
  <si>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</si>
  <si>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</si>
  <si>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</si>
  <si>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</si>
  <si>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</si>
  <si>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</si>
  <si>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</si>
  <si>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</si>
  <si>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</si>
  <si>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</si>
  <si>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</si>
  <si>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</si>
  <si>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</si>
  <si>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</si>
  <si>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</si>
  <si>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</si>
  <si>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</si>
  <si>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</si>
  <si>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</si>
  <si>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</si>
  <si>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</si>
  <si>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</si>
  <si>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</si>
  <si>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</si>
  <si>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</si>
  <si>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</si>
  <si>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</si>
  <si>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</si>
  <si>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</si>
  <si>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</si>
  <si>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</si>
  <si>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</si>
  <si>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</si>
  <si>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</si>
  <si>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</si>
  <si>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</si>
  <si>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</si>
  <si>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</si>
  <si>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</si>
  <si>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</si>
  <si>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</si>
  <si>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</si>
  <si>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</si>
  <si>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</si>
  <si>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</si>
  <si>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</si>
  <si>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</si>
  <si>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</si>
  <si>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</si>
  <si>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</si>
  <si>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</si>
  <si>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</si>
  <si>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</si>
  <si>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</si>
  <si>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</si>
  <si>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</si>
  <si>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</si>
  <si>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</si>
  <si>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</si>
  <si>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</si>
  <si>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</si>
  <si>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</si>
  <si>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</si>
  <si>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</si>
  <si>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</si>
  <si>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</si>
  <si>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</si>
  <si>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</si>
  <si>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</si>
  <si>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</si>
  <si>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</si>
  <si>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</si>
  <si>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</si>
  <si>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</si>
  <si>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</si>
  <si>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</si>
  <si>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</si>
  <si>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</si>
  <si>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</si>
  <si>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</si>
  <si>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</si>
  <si>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</si>
  <si>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</si>
  <si>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</si>
  <si>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</si>
  <si>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</si>
  <si>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</si>
  <si>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</si>
  <si>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</si>
  <si>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</si>
  <si>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</si>
  <si>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</si>
  <si>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</si>
  <si>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</si>
  <si>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</si>
  <si>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</si>
  <si>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</si>
  <si>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</si>
  <si>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</si>
  <si>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</si>
  <si>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</si>
  <si>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</si>
  <si>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</si>
  <si>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</si>
  <si>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</si>
  <si>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</si>
  <si>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</si>
  <si>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</si>
  <si>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</si>
  <si>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</si>
  <si>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</si>
  <si>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</si>
  <si>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</si>
  <si>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</si>
  <si>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</si>
  <si>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</si>
  <si>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</si>
  <si>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</si>
  <si>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</si>
  <si>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</si>
  <si>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</si>
  <si>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</si>
  <si>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</si>
  <si>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</si>
  <si>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</si>
  <si>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</si>
  <si>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</si>
  <si>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</si>
  <si>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</si>
  <si>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</si>
  <si>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</si>
  <si>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</si>
  <si>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</si>
  <si>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</si>
  <si>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</si>
  <si>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</si>
  <si>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</si>
  <si>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</si>
  <si>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</si>
  <si>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</si>
  <si>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</si>
  <si>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</si>
  <si>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</si>
  <si>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</si>
  <si>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</si>
  <si>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</si>
  <si>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</si>
  <si>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</si>
  <si>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</si>
  <si>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</si>
  <si>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</si>
  <si>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</si>
  <si>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</si>
  <si>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</si>
  <si>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</si>
  <si>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</si>
  <si>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</si>
  <si>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</si>
  <si>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</si>
  <si>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</si>
  <si>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</si>
  <si>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</si>
  <si>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</si>
  <si>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</si>
  <si>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</si>
  <si>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</si>
  <si>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</si>
  <si>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</si>
  <si>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</si>
  <si>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</si>
  <si>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</si>
  <si>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</si>
  <si>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</si>
  <si>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</si>
  <si>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</si>
  <si>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</si>
  <si>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</si>
  <si>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</si>
  <si>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</si>
  <si>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</si>
  <si>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</si>
  <si>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</si>
  <si>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</si>
  <si>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</si>
  <si>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</si>
  <si>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</si>
  <si>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</si>
  <si>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</si>
  <si>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</si>
  <si>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</si>
  <si>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</si>
  <si>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</si>
  <si>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</si>
  <si>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</si>
  <si>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</si>
  <si>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</si>
  <si>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</si>
  <si>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</si>
  <si>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</si>
  <si>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</si>
  <si>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</si>
  <si>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</si>
  <si>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</si>
  <si>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</si>
  <si>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</si>
  <si>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</si>
  <si>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</si>
  <si>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</si>
  <si>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</si>
  <si>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</si>
  <si>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</si>
  <si>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</si>
  <si>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</si>
  <si>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</si>
  <si>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</si>
  <si>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</si>
  <si>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</si>
  <si>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</si>
  <si>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</si>
  <si>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</si>
  <si>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</si>
  <si>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</si>
  <si>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</si>
  <si>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</si>
  <si>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</si>
  <si>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</si>
  <si>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</si>
  <si>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</si>
  <si>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</si>
  <si>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</si>
  <si>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</si>
  <si>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</si>
  <si>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</si>
  <si>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</si>
  <si>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</si>
  <si>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</si>
  <si>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</si>
  <si>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</si>
  <si>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</si>
  <si>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</si>
  <si>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</si>
  <si>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</si>
  <si>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</si>
  <si>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</si>
  <si>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</si>
  <si>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</si>
  <si>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</si>
  <si>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</si>
  <si>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</si>
  <si>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</si>
  <si>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</si>
  <si>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</si>
  <si>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</si>
  <si>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</si>
  <si>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</si>
  <si>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</si>
  <si>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</si>
  <si>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</si>
  <si>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</si>
  <si>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</si>
  <si>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</si>
  <si>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</si>
  <si>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</si>
  <si>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</si>
  <si>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</si>
  <si>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</si>
  <si>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</si>
  <si>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</si>
  <si>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</si>
  <si>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</si>
  <si>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</si>
  <si>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</si>
  <si>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</si>
  <si>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</si>
  <si>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</si>
  <si>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</si>
  <si>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</si>
  <si>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</si>
  <si>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</si>
  <si>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</si>
  <si>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</si>
  <si>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</si>
  <si>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</si>
  <si>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</si>
  <si>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</si>
  <si>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</si>
  <si>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</si>
  <si>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</si>
  <si>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</si>
  <si>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</si>
  <si>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</si>
  <si>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</si>
  <si>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</si>
  <si>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</si>
  <si>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</si>
  <si>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</si>
  <si>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</si>
  <si>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</si>
  <si>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</si>
  <si>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</si>
  <si>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</si>
  <si>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</si>
  <si>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</si>
  <si>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</si>
  <si>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</si>
  <si>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</si>
  <si>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</si>
  <si>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</si>
  <si>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</si>
  <si>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</si>
  <si>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</si>
  <si>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</si>
  <si>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</si>
  <si>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</si>
  <si>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</si>
  <si>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</si>
  <si>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</si>
  <si>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</si>
  <si>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</si>
  <si>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</si>
  <si>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</si>
  <si>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</si>
  <si>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</si>
  <si>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</si>
  <si>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</si>
  <si>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</si>
  <si>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</si>
  <si>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</si>
  <si>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</si>
  <si>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</si>
  <si>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</si>
  <si>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</si>
  <si>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</si>
  <si>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</si>
  <si>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</si>
  <si>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</si>
  <si>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</si>
  <si>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</si>
  <si>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</si>
  <si>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</si>
  <si>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</si>
  <si>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</si>
  <si>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</si>
  <si>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</si>
  <si>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</si>
  <si>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</si>
  <si>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</si>
  <si>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</si>
  <si>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</si>
  <si>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</si>
  <si>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</si>
  <si>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</si>
  <si>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</si>
  <si>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</si>
  <si>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</si>
  <si>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</si>
  <si>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</si>
  <si>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</si>
  <si>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</si>
  <si>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</si>
  <si>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</si>
  <si>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</si>
  <si>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</si>
  <si>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</si>
  <si>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</si>
  <si>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</si>
  <si>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</si>
  <si>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</si>
  <si>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</si>
  <si>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</si>
  <si>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</si>
  <si>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</si>
  <si>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</si>
  <si>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</si>
  <si>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</si>
  <si>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</si>
  <si>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</si>
  <si>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</si>
  <si>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</si>
  <si>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</si>
  <si>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</si>
  <si>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</si>
  <si>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</si>
  <si>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</si>
  <si>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</si>
  <si>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</si>
  <si>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</si>
  <si>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</si>
  <si>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</si>
  <si>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</si>
  <si>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</si>
  <si>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</si>
  <si>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</si>
  <si>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</si>
  <si>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</si>
  <si>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</si>
  <si>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</si>
  <si>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</si>
  <si>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</si>
  <si>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</si>
  <si>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</si>
  <si>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</si>
  <si>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</si>
  <si>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</si>
  <si>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</si>
  <si>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</si>
  <si>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</si>
  <si>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</si>
  <si>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</si>
  <si>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</si>
  <si>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</si>
  <si>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</si>
  <si>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</si>
  <si>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</si>
  <si>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</si>
  <si>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</si>
  <si>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</si>
  <si>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</si>
  <si>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</si>
  <si>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</si>
  <si>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</si>
  <si>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</si>
  <si>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</si>
  <si>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</si>
  <si>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</si>
  <si>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</si>
  <si>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</si>
  <si>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</si>
  <si>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</si>
  <si>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</si>
  <si>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</si>
  <si>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</si>
  <si>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</si>
  <si>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</si>
  <si>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</si>
  <si>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</si>
  <si>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</si>
  <si>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</si>
  <si>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</si>
  <si>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</si>
  <si>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</si>
  <si>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</si>
  <si>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</si>
  <si>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</si>
  <si>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</si>
  <si>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</si>
  <si>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</si>
  <si>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</si>
  <si>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</si>
  <si>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</si>
  <si>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</si>
  <si>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</si>
  <si>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</si>
  <si>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</si>
  <si>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</si>
  <si>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</si>
  <si>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</si>
  <si>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</si>
  <si>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</si>
  <si>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</si>
  <si>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</si>
  <si>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</si>
  <si>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</si>
  <si>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</si>
  <si>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</si>
  <si>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</si>
  <si>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</si>
  <si>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</si>
  <si>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</si>
  <si>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</si>
  <si>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</si>
  <si>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</si>
  <si>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</si>
  <si>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</si>
  <si>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</si>
  <si>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</si>
  <si>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</si>
  <si>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</si>
  <si>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</si>
  <si>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</si>
  <si>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</si>
  <si>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</si>
  <si>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</si>
  <si>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</si>
  <si>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</si>
  <si>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</si>
  <si>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</si>
  <si>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</si>
  <si>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</si>
  <si>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</si>
  <si>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</si>
  <si>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</si>
  <si>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</si>
  <si>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</si>
  <si>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</si>
  <si>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</si>
  <si>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</si>
  <si>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</si>
  <si>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</si>
  <si>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</si>
  <si>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</si>
  <si>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</si>
  <si>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</si>
  <si>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</si>
  <si>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</si>
  <si>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</si>
  <si>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</si>
  <si>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</si>
  <si>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</si>
  <si>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</si>
  <si>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</si>
  <si>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</si>
  <si>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</si>
  <si>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</si>
  <si>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</si>
  <si>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</si>
  <si>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</si>
  <si>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</si>
  <si>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</si>
  <si>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</si>
  <si>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</si>
  <si>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</si>
  <si>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</si>
  <si>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</si>
  <si>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</si>
  <si>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</si>
  <si>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</si>
  <si>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</si>
  <si>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</si>
  <si>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</si>
  <si>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</si>
  <si>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</si>
  <si>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</si>
  <si>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</si>
  <si>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</si>
  <si>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</si>
  <si>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</si>
  <si>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</si>
  <si>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</si>
  <si>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</si>
  <si>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</si>
  <si>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</si>
  <si>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</si>
  <si>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</si>
  <si>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</si>
  <si>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</si>
  <si>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</si>
  <si>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</si>
  <si>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</si>
  <si>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</si>
  <si>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</si>
  <si>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</si>
  <si>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</si>
  <si>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</si>
  <si>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</si>
  <si>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</si>
  <si>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</si>
  <si>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</si>
  <si>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</si>
  <si>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</si>
  <si>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</si>
  <si>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</si>
  <si>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</si>
  <si>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</si>
  <si>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</si>
  <si>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</si>
  <si>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</si>
  <si>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</si>
  <si>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</si>
  <si>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</si>
  <si>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</si>
  <si>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</si>
  <si>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</si>
  <si>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</si>
  <si>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</si>
  <si>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</si>
  <si>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</si>
  <si>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</si>
  <si>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</si>
  <si>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</si>
  <si>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</si>
  <si>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</si>
  <si>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</si>
  <si>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</si>
  <si>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</si>
  <si>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</si>
  <si>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</si>
  <si>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</si>
  <si>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</si>
  <si>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</si>
  <si>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</si>
  <si>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</si>
  <si>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</si>
  <si>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</si>
  <si>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</si>
  <si>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</si>
  <si>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</si>
  <si>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</si>
  <si>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</si>
  <si>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</si>
  <si>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</si>
  <si>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</si>
  <si>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</si>
  <si>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</si>
  <si>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</si>
  <si>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</si>
  <si>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</si>
  <si>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</si>
  <si>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</si>
  <si>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</si>
  <si>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</si>
  <si>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</si>
  <si>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</si>
  <si>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</si>
  <si>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</si>
  <si>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</si>
  <si>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</si>
  <si>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</si>
  <si>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</si>
  <si>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</si>
  <si>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</si>
  <si>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</si>
  <si>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</si>
  <si>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</si>
  <si>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</si>
  <si>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</si>
  <si>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</si>
  <si>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</si>
  <si>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</si>
  <si>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</si>
  <si>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</si>
  <si>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</si>
  <si>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</si>
  <si>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</si>
  <si>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</si>
  <si>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</si>
  <si>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</si>
  <si>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</si>
  <si>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</si>
  <si>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</si>
  <si>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</si>
  <si>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</si>
  <si>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</si>
  <si>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</si>
  <si>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</si>
  <si>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</si>
  <si>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</si>
  <si>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</si>
  <si>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</si>
  <si>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</si>
  <si>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</si>
  <si>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</si>
  <si>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</si>
  <si>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</si>
  <si>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</si>
  <si>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</si>
  <si>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</si>
  <si>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</si>
  <si>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</si>
  <si>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</si>
  <si>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</si>
  <si>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</si>
  <si>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</si>
  <si>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</si>
  <si>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</si>
  <si>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</si>
  <si>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</si>
  <si>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</si>
  <si>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</si>
  <si>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</si>
  <si>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</si>
  <si>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</si>
  <si>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</si>
  <si>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</si>
  <si>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</si>
  <si>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</si>
  <si>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</si>
  <si>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</si>
  <si>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</si>
  <si>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</si>
  <si>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</si>
  <si>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</si>
  <si>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</si>
  <si>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</si>
  <si>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</si>
  <si>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</si>
  <si>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</si>
  <si>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</si>
  <si>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</si>
  <si>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</si>
  <si>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</si>
  <si>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</si>
  <si>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</si>
  <si>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</si>
  <si>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</si>
  <si>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</si>
  <si>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</si>
  <si>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</si>
  <si>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</si>
  <si>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</si>
  <si>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</si>
  <si>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</si>
  <si>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</si>
  <si>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</si>
  <si>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</si>
  <si>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</si>
  <si>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</si>
  <si>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</si>
  <si>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</si>
  <si>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</si>
  <si>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</si>
  <si>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</si>
  <si>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</si>
  <si>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</si>
  <si>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</si>
  <si>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</si>
  <si>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</si>
  <si>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</si>
  <si>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</si>
  <si>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</si>
  <si>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</si>
  <si>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</si>
  <si>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</si>
  <si>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</si>
  <si>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</si>
  <si>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</si>
  <si>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</si>
  <si>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</si>
  <si>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</si>
  <si>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</si>
  <si>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</si>
  <si>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</si>
  <si>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</si>
  <si>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</si>
  <si>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</si>
  <si>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</si>
  <si>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</si>
  <si>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</si>
  <si>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</si>
  <si>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</si>
  <si>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</si>
  <si>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</si>
  <si>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</si>
  <si>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</si>
  <si>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</si>
  <si>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</si>
  <si>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</si>
  <si>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</si>
  <si>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</si>
  <si>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</si>
  <si>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</si>
  <si>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</si>
  <si>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</si>
  <si>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</si>
  <si>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</si>
  <si>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</si>
  <si>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</si>
  <si>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</si>
  <si>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</si>
  <si>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</si>
  <si>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</si>
  <si>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</si>
  <si>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</si>
  <si>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</si>
  <si>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</si>
  <si>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</si>
  <si>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</si>
  <si>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</si>
  <si>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</si>
  <si>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</si>
  <si>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</si>
  <si>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</si>
  <si>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</si>
  <si>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</si>
  <si>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</si>
  <si>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</si>
  <si>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</si>
  <si>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</si>
  <si>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</si>
  <si>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</si>
  <si>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</si>
  <si>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</si>
  <si>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</si>
  <si>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</si>
  <si>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</si>
  <si>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</si>
  <si>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</si>
  <si>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</si>
  <si>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</si>
  <si>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</si>
  <si>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</si>
  <si>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</si>
  <si>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</si>
  <si>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</si>
  <si>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</si>
  <si>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</si>
  <si>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</si>
  <si>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</si>
  <si>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</si>
  <si>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</si>
  <si>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</si>
  <si>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</si>
  <si>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</si>
  <si>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</si>
  <si>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</si>
  <si>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</si>
  <si>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</si>
  <si>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</si>
  <si>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</si>
  <si>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</si>
  <si>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</si>
  <si>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</si>
  <si>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</si>
  <si>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</si>
  <si>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</si>
  <si>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</si>
  <si>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</si>
  <si>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</si>
  <si>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</si>
  <si>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</si>
  <si>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</si>
  <si>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</si>
  <si>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</si>
  <si>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</si>
  <si>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</si>
  <si>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</si>
  <si>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</si>
  <si>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</si>
  <si>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</si>
  <si>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</si>
  <si>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</si>
  <si>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</si>
  <si>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</si>
  <si>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</si>
  <si>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</si>
  <si>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</si>
  <si>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</si>
  <si>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</si>
  <si>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</si>
  <si>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</si>
  <si>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</si>
  <si>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</si>
  <si>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</si>
  <si>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</si>
  <si>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</si>
  <si>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</si>
  <si>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</si>
  <si>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</si>
  <si>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</si>
  <si>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</si>
  <si>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</si>
  <si>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</si>
  <si>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</si>
  <si>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</si>
  <si>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</si>
  <si>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</si>
  <si>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</si>
  <si>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</si>
  <si>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</si>
  <si>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</si>
  <si>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</si>
  <si>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</si>
  <si>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</si>
  <si>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</si>
  <si>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</si>
  <si>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</si>
  <si>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</si>
  <si>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</si>
  <si>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</si>
  <si>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</si>
  <si>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</si>
  <si>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</si>
  <si>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</si>
  <si>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</si>
  <si>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</si>
  <si>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</si>
  <si>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</si>
  <si>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</si>
  <si>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</si>
  <si>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</si>
  <si>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</si>
  <si>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</si>
  <si>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</si>
  <si>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</si>
  <si>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</si>
  <si>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</si>
  <si>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</si>
  <si>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</si>
  <si>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</si>
  <si>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</si>
  <si>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</si>
  <si>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</si>
  <si>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</si>
  <si>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</si>
  <si>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</si>
  <si>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</si>
  <si>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</si>
  <si>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</si>
  <si>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</si>
  <si>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</si>
  <si>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</si>
  <si>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</si>
  <si>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</si>
  <si>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</si>
  <si>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</si>
  <si>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</si>
  <si>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</si>
  <si>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</si>
  <si>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</si>
  <si>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</si>
  <si>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</si>
  <si>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</si>
  <si>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</si>
  <si>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</si>
  <si>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</si>
  <si>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</si>
  <si>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</si>
  <si>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</si>
  <si>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</si>
  <si>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</si>
  <si>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</si>
  <si>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</si>
  <si>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</si>
  <si>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</si>
  <si>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</si>
  <si>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</si>
  <si>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</si>
  <si>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</si>
  <si>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</si>
  <si>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</si>
  <si>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</si>
  <si>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</si>
  <si>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</si>
  <si>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</si>
  <si>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</si>
  <si>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</si>
  <si>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</si>
  <si>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</si>
  <si>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</si>
  <si>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</si>
  <si>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</si>
  <si>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</si>
  <si>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</si>
  <si>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</si>
  <si>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</si>
  <si>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</si>
  <si>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</si>
  <si>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</si>
  <si>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</si>
  <si>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</si>
  <si>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</si>
  <si>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</si>
  <si>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</si>
  <si>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</si>
  <si>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</si>
  <si>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</si>
  <si>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</si>
  <si>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</si>
  <si>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</si>
  <si>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</si>
  <si>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</si>
  <si>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</si>
  <si>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</si>
  <si>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</si>
  <si>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</si>
  <si>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</si>
  <si>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</si>
  <si>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</si>
  <si>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</si>
  <si>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</si>
  <si>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</si>
  <si>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</si>
  <si>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</si>
  <si>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</si>
  <si>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</si>
  <si>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</si>
  <si>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</si>
  <si>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</si>
  <si>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</si>
  <si>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</si>
  <si>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</si>
  <si>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</si>
  <si>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</si>
  <si>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</si>
  <si>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</si>
  <si>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</si>
  <si>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</si>
  <si>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</si>
  <si>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</si>
  <si>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</si>
  <si>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</si>
  <si>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</si>
  <si>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</si>
  <si>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</si>
  <si>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</si>
  <si>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</si>
  <si>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</si>
  <si>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</si>
  <si>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</si>
  <si>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</si>
  <si>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</si>
  <si>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</si>
  <si>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</si>
  <si>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</si>
  <si>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</si>
  <si>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</si>
  <si>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</si>
  <si>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</si>
  <si>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</si>
  <si>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</si>
  <si>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</si>
  <si>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</si>
  <si>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</si>
  <si>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</si>
  <si>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</si>
  <si>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</si>
  <si>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</si>
  <si>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</si>
  <si>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</si>
  <si>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</si>
  <si>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</si>
  <si>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</si>
  <si>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</si>
  <si>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</si>
  <si>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</si>
  <si>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</si>
  <si>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</si>
  <si>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</si>
  <si>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</si>
  <si>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</si>
  <si>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</si>
  <si>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</si>
  <si>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</si>
  <si>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</si>
  <si>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</si>
  <si>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</si>
  <si>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</si>
  <si>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</si>
  <si>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</si>
  <si>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</si>
  <si>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</si>
  <si>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</si>
  <si>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</si>
  <si>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</si>
  <si>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</si>
  <si>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</si>
  <si>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</si>
  <si>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</si>
  <si>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</si>
  <si>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</si>
  <si>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</si>
  <si>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</si>
  <si>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</si>
  <si>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</si>
  <si>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</si>
  <si>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</si>
  <si>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</si>
  <si>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</si>
  <si>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</si>
  <si>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phoneticPr fontId="16" type="noConversion"/>
  </si>
  <si>
    <t>租金</t>
  </si>
  <si>
    <t>小天竺路3号</t>
    <phoneticPr fontId="3" type="noConversion"/>
  </si>
  <si>
    <t>项目位置</t>
    <phoneticPr fontId="3" type="noConversion"/>
  </si>
  <si>
    <t>海航国兴城</t>
    <phoneticPr fontId="3" type="noConversion"/>
  </si>
  <si>
    <t>商业</t>
    <phoneticPr fontId="31" type="noConversion"/>
  </si>
  <si>
    <t>办公</t>
    <phoneticPr fontId="31" type="noConversion"/>
  </si>
  <si>
    <t>住宅</t>
    <phoneticPr fontId="31" type="noConversion"/>
  </si>
  <si>
    <t>较差</t>
  </si>
  <si>
    <t>多面临街</t>
    <phoneticPr fontId="31" type="noConversion"/>
  </si>
  <si>
    <t>双面临街</t>
    <phoneticPr fontId="31" type="noConversion"/>
  </si>
  <si>
    <t>单面临街</t>
    <phoneticPr fontId="31" type="noConversion"/>
  </si>
  <si>
    <t>不临街</t>
    <phoneticPr fontId="31" type="noConversion"/>
  </si>
  <si>
    <t>较大</t>
    <phoneticPr fontId="31" type="noConversion"/>
  </si>
  <si>
    <t>大</t>
    <phoneticPr fontId="31" type="noConversion"/>
  </si>
  <si>
    <t>一般</t>
    <phoneticPr fontId="31" type="noConversion"/>
  </si>
  <si>
    <t>较差</t>
    <phoneticPr fontId="31" type="noConversion"/>
  </si>
  <si>
    <t>差</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</si>
  <si>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</si>
  <si>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</si>
  <si>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</si>
  <si>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</si>
  <si>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</si>
  <si>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住宅底商</t>
    <phoneticPr fontId="31" type="noConversion"/>
  </si>
  <si>
    <t>钢混</t>
    <phoneticPr fontId="31" type="noConversion"/>
  </si>
  <si>
    <t>砖混</t>
    <phoneticPr fontId="31" type="noConversion"/>
  </si>
  <si>
    <t>精装</t>
  </si>
  <si>
    <t>简装</t>
  </si>
  <si>
    <t>商铺底商</t>
    <phoneticPr fontId="31" type="noConversion"/>
  </si>
  <si>
    <t>写字楼底商</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</si>
  <si>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</si>
  <si>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</si>
  <si>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</si>
  <si>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</si>
  <si>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</si>
  <si>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</si>
  <si>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phoneticPr fontId="31" type="noConversion"/>
  </si>
  <si>
    <t>一般</t>
    <phoneticPr fontId="31" type="noConversion"/>
  </si>
  <si>
    <t>较大</t>
  </si>
  <si>
    <t>顺义后沙峪</t>
    <phoneticPr fontId="3" type="noConversion"/>
  </si>
  <si>
    <t>商铺底商</t>
  </si>
  <si>
    <t>万元</t>
    <phoneticPr fontId="18" type="noConversion"/>
  </si>
  <si>
    <t>典型户型修正（估价对象1）</t>
  </si>
  <si>
    <t>典型户型修正（估价对象2）</t>
  </si>
  <si>
    <t>典型户型修正（估价对象2）</t>
    <phoneticPr fontId="16" type="noConversion"/>
  </si>
  <si>
    <t>商业</t>
    <phoneticPr fontId="32" type="noConversion"/>
  </si>
  <si>
    <t>商业</t>
    <phoneticPr fontId="32" type="noConversion"/>
  </si>
  <si>
    <t>评估对象1总价</t>
    <phoneticPr fontId="143" type="noConversion"/>
  </si>
  <si>
    <t>评估对象2总价</t>
    <phoneticPr fontId="143" type="noConversion"/>
  </si>
  <si>
    <t>项目局部</t>
  </si>
  <si>
    <t>估价对象2</t>
  </si>
  <si>
    <t>收益法 (元) (估价对象2)</t>
  </si>
  <si>
    <t>比较法-商业 (估价对象2)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</si>
</sst>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37" fillId="19" borderId="44" xfId="0" applyNumberFormat="1" applyFont="1" applyFill="1" applyBorder="1" applyAlignment="1" applyProtection="1">
      <alignment horizontal="center" vertical="center" wrapText="1"/>
      <protection locked="0"/>
    </xf>
    <xf numFmtId="0" fontId="98" fillId="19" borderId="44"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99" fillId="7" borderId="0" xfId="10"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horizontal="left"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3" fillId="0" borderId="3" xfId="10" applyNumberFormat="1" applyFont="1" applyBorder="1" applyAlignment="1">
      <alignment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3" fillId="0" borderId="1"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122610</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23810" cy="1638095"/>
        </a:xfrm>
        <a:prstGeom prst="rect">
          <a:avLst/>
        </a:prstGeom>
      </xdr:spPr>
    </xdr:pic>
    <xdr:clientData/>
  </xdr:twoCellAnchor>
  <xdr:twoCellAnchor editAs="oneCell">
    <xdr:from>
      <xdr:col>0</xdr:col>
      <xdr:colOff>28575</xdr:colOff>
      <xdr:row>9</xdr:row>
      <xdr:rowOff>152400</xdr:rowOff>
    </xdr:from>
    <xdr:to>
      <xdr:col>13</xdr:col>
      <xdr:colOff>627461</xdr:colOff>
      <xdr:row>20</xdr:row>
      <xdr:rowOff>152164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695450"/>
          <a:ext cx="9514286" cy="1885714"/>
        </a:xfrm>
        <a:prstGeom prst="rect">
          <a:avLst/>
        </a:prstGeom>
      </xdr:spPr>
    </xdr:pic>
    <xdr:clientData/>
  </xdr:twoCellAnchor>
  <xdr:twoCellAnchor editAs="oneCell">
    <xdr:from>
      <xdr:col>0</xdr:col>
      <xdr:colOff>28575</xdr:colOff>
      <xdr:row>21</xdr:row>
      <xdr:rowOff>142875</xdr:rowOff>
    </xdr:from>
    <xdr:to>
      <xdr:col>14</xdr:col>
      <xdr:colOff>284519</xdr:colOff>
      <xdr:row>31</xdr:row>
      <xdr:rowOff>47423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3743325"/>
          <a:ext cx="9857144"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579839</xdr:colOff>
      <xdr:row>10</xdr:row>
      <xdr:rowOff>56929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495239" cy="1771429"/>
        </a:xfrm>
        <a:prstGeom prst="rect">
          <a:avLst/>
        </a:prstGeom>
      </xdr:spPr>
    </xdr:pic>
    <xdr:clientData/>
  </xdr:twoCellAnchor>
  <xdr:twoCellAnchor editAs="oneCell">
    <xdr:from>
      <xdr:col>0</xdr:col>
      <xdr:colOff>0</xdr:colOff>
      <xdr:row>11</xdr:row>
      <xdr:rowOff>0</xdr:rowOff>
    </xdr:from>
    <xdr:to>
      <xdr:col>14</xdr:col>
      <xdr:colOff>8324</xdr:colOff>
      <xdr:row>20</xdr:row>
      <xdr:rowOff>133141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85950"/>
          <a:ext cx="9609524" cy="1676191"/>
        </a:xfrm>
        <a:prstGeom prst="rect">
          <a:avLst/>
        </a:prstGeom>
      </xdr:spPr>
    </xdr:pic>
    <xdr:clientData/>
  </xdr:twoCellAnchor>
  <xdr:twoCellAnchor editAs="oneCell">
    <xdr:from>
      <xdr:col>0</xdr:col>
      <xdr:colOff>0</xdr:colOff>
      <xdr:row>22</xdr:row>
      <xdr:rowOff>0</xdr:rowOff>
    </xdr:from>
    <xdr:to>
      <xdr:col>14</xdr:col>
      <xdr:colOff>236896</xdr:colOff>
      <xdr:row>31</xdr:row>
      <xdr:rowOff>114093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9838096"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385</v>
      </c>
    </row>
    <row r="21" spans="1:2" s="1592" customFormat="1">
      <c r="A21" s="1590" t="s">
        <v>1231</v>
      </c>
      <c r="B21" s="1591">
        <f ca="1">'预评函-2'!D7</f>
        <v>33133</v>
      </c>
    </row>
    <row r="22" spans="1:2" s="1592" customFormat="1">
      <c r="A22" s="1590" t="s">
        <v>1232</v>
      </c>
      <c r="B22" s="1591" t="str">
        <f ca="1">'预评函-2'!D6</f>
        <v>叁佰捌拾伍万元整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385</v>
      </c>
    </row>
    <row r="31" spans="1:2" s="1592" customFormat="1">
      <c r="A31" s="1590" t="s">
        <v>1270</v>
      </c>
      <c r="B31" s="1591">
        <f ca="1">'预评函-2'!D15</f>
        <v>3040</v>
      </c>
    </row>
    <row r="32" spans="1:2" s="1592" customFormat="1">
      <c r="A32" s="1590" t="s">
        <v>1237</v>
      </c>
      <c r="B32" s="1591" t="str">
        <f ca="1">'预评函-2'!D14</f>
        <v>叁佰捌拾伍万元整</v>
      </c>
    </row>
    <row r="33" spans="1:2" s="1592" customFormat="1">
      <c r="A33" s="1590" t="s">
        <v>1272</v>
      </c>
      <c r="B33" s="1591" t="str">
        <f>'预评函-2'!B16</f>
        <v>4.抵押担保权已注销时的房地产抵押价值</v>
      </c>
    </row>
    <row r="34" spans="1:2" s="1592" customFormat="1">
      <c r="A34" s="1590" t="s">
        <v>1290</v>
      </c>
      <c r="B34" s="1591">
        <f ca="1">'预评函-2'!D16</f>
        <v>385</v>
      </c>
    </row>
    <row r="35" spans="1:2" s="1592" customFormat="1">
      <c r="A35" s="1590" t="s">
        <v>1271</v>
      </c>
      <c r="B35" s="1591">
        <f ca="1">'预评函-2'!D18</f>
        <v>3040</v>
      </c>
    </row>
    <row r="36" spans="1:2" s="1592" customFormat="1">
      <c r="A36" s="1590" t="s">
        <v>1238</v>
      </c>
      <c r="B36" s="1591" t="str">
        <f ca="1">'预评函-2'!D17</f>
        <v>叁佰捌拾伍万元整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300</v>
      </c>
    </row>
    <row r="48" spans="1:2" s="1592" customFormat="1">
      <c r="A48" s="1590" t="s">
        <v>1243</v>
      </c>
      <c r="B48" s="1591">
        <f ca="1">'预评函-3'!E4</f>
        <v>25818</v>
      </c>
    </row>
    <row r="49" spans="1:2" s="1592" customFormat="1">
      <c r="A49" s="1590" t="s">
        <v>1244</v>
      </c>
      <c r="B49" s="1591" t="str">
        <f ca="1">'预评函-3'!D5</f>
        <v>叁佰万元整</v>
      </c>
    </row>
    <row r="50" spans="1:2" s="1592" customFormat="1">
      <c r="A50" s="1590" t="s">
        <v>1268</v>
      </c>
      <c r="B50" s="1591" t="str">
        <f>'预评函-3'!F2</f>
        <v>在建建筑物价值</v>
      </c>
    </row>
    <row r="51" spans="1:2" s="1592" customFormat="1">
      <c r="A51" s="1590" t="s">
        <v>1245</v>
      </c>
      <c r="B51" s="1591">
        <f ca="1">'预评函-3'!F4</f>
        <v>85</v>
      </c>
    </row>
    <row r="52" spans="1:2" s="1592" customFormat="1">
      <c r="A52" s="1590" t="s">
        <v>1246</v>
      </c>
      <c r="B52" s="1591">
        <f ca="1">'预评函-3'!G4</f>
        <v>7315</v>
      </c>
    </row>
    <row r="53" spans="1:2" s="1592" customFormat="1">
      <c r="A53" s="1590" t="s">
        <v>1274</v>
      </c>
      <c r="B53" s="1591" t="str">
        <f ca="1">'预评函-3'!F5</f>
        <v>捌拾伍万元整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3306</v>
      </c>
      <c r="C17" s="2013"/>
    </row>
    <row r="18" spans="1:3">
      <c r="A18" s="2012" t="s">
        <v>1763</v>
      </c>
      <c r="B18" s="2012" t="s">
        <v>3308</v>
      </c>
      <c r="C18" s="2013"/>
    </row>
    <row r="19" spans="1:3">
      <c r="A19" s="2012" t="s">
        <v>1764</v>
      </c>
      <c r="B19" s="2012" t="s">
        <v>3316</v>
      </c>
      <c r="C19" s="2013"/>
    </row>
    <row r="20" spans="1:3">
      <c r="A20" s="2012" t="s">
        <v>1765</v>
      </c>
      <c r="B20" s="2012" t="s">
        <v>3264</v>
      </c>
      <c r="C20" s="2013"/>
    </row>
    <row r="21" spans="1:3">
      <c r="A21" s="2012" t="s">
        <v>1766</v>
      </c>
      <c r="B21" s="2012" t="s">
        <v>3315</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3086</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4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2020" t="s">
        <v>861</v>
      </c>
      <c r="C54" s="2017" t="s">
        <v>1277</v>
      </c>
    </row>
    <row r="55" spans="1:4">
      <c r="A55" s="3140"/>
      <c r="B55" s="2020" t="s">
        <v>862</v>
      </c>
      <c r="C55" s="2017" t="s">
        <v>1278</v>
      </c>
    </row>
    <row r="56" spans="1:4">
      <c r="A56" s="3140"/>
      <c r="B56" s="2020" t="s">
        <v>863</v>
      </c>
      <c r="C56" s="2017" t="s">
        <v>1282</v>
      </c>
    </row>
    <row r="57" spans="1:4">
      <c r="A57" s="314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141" t="str">
        <f>IF(B10="北京市","北京市",C10)&amp;F10&amp;IF('结果表（典型户型价值）'!G1="在建","出让国有建设用地使用权及在建建筑物",IF('结果表（典型户型价值）'!G1="土地","出让国有建设用地使用权",))&amp;B9&amp;"预评估"</f>
        <v>北京市顺义区天竺地区小天竺路一号院1号楼101-112号办公用房房地产抵押价值预评估</v>
      </c>
      <c r="C1" s="3142"/>
      <c r="D1" s="3142"/>
      <c r="E1" s="3142"/>
      <c r="F1" s="3142"/>
      <c r="G1" s="3142"/>
      <c r="H1" s="3142"/>
      <c r="I1" s="3143"/>
      <c r="J1" s="2024"/>
      <c r="K1" s="2025"/>
      <c r="L1" s="2026"/>
      <c r="M1" s="2026"/>
      <c r="N1" s="2027"/>
      <c r="O1" s="2028"/>
      <c r="P1" s="2027"/>
      <c r="Q1" s="2027"/>
      <c r="R1" s="2027"/>
      <c r="S1" s="2029" t="str">
        <f>IF(B10="北京市","北京市",C10)&amp;F10&amp;IF('结果表（典型户型价值）'!G1="在建","出让国有建设用地使用权及在建建筑物房地产抵押价值",IF('结果表（典型户型价值）'!G1="土地","出让国有建设用地使用权抵押价值",B9))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IF(B10="北京市","北京市",C10)&amp;F10&amp;IF('结果表（典型户型价值）'!G1="在建","出让国有建设用地使用权及在建建筑物房地产",IF('结果表（典型户型价值）'!G1="土地","出让国有建设用地使用权","房地产"))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144" t="s">
        <v>1781</v>
      </c>
      <c r="E8" s="2054" t="s">
        <v>3263</v>
      </c>
      <c r="F8" s="2055"/>
      <c r="G8" s="2024"/>
      <c r="H8" s="2024"/>
      <c r="I8" s="2024"/>
      <c r="J8" s="2040"/>
      <c r="K8" s="2041"/>
      <c r="L8" s="2026"/>
      <c r="M8" s="2026"/>
      <c r="N8" s="2027"/>
      <c r="O8" s="2028"/>
      <c r="P8" s="2027"/>
      <c r="Q8" s="2027"/>
      <c r="R8" s="2027"/>
    </row>
    <row r="9" spans="1:19" ht="18" customHeight="1" thickBot="1">
      <c r="A9" s="2038" t="s">
        <v>1782</v>
      </c>
      <c r="B9" s="2056" t="s">
        <v>3042</v>
      </c>
      <c r="C9" s="2057"/>
      <c r="D9" s="3145"/>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151"/>
      <c r="C16" s="3152"/>
      <c r="D16" s="3153"/>
      <c r="E16" s="2082" t="s">
        <v>1798</v>
      </c>
      <c r="F16" s="3154" t="s">
        <v>3055</v>
      </c>
      <c r="G16" s="3155"/>
      <c r="H16" s="3155"/>
      <c r="I16" s="3156"/>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57" t="s">
        <v>1802</v>
      </c>
      <c r="F17" s="3158"/>
      <c r="G17" s="3158"/>
      <c r="H17" s="3158"/>
      <c r="I17" s="3159"/>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60" t="s">
        <v>1805</v>
      </c>
      <c r="F18" s="3161"/>
      <c r="G18" s="3161"/>
      <c r="H18" s="3161"/>
      <c r="I18" s="3162"/>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147" t="s">
        <v>1810</v>
      </c>
      <c r="C20" s="3148"/>
      <c r="D20" s="3149" t="s">
        <v>1811</v>
      </c>
      <c r="E20" s="3150"/>
      <c r="F20" s="2094" t="s">
        <v>1812</v>
      </c>
      <c r="G20" s="2040"/>
      <c r="H20" s="2040"/>
      <c r="I20" s="2040"/>
      <c r="J20" s="2040"/>
      <c r="K20" s="3146"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14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146"/>
      <c r="L22" s="745" t="str">
        <f>IF(E19="否","",IF('结果表（典型户型价值）'!D36="同一抵押权人同一抵押物续贷","由于本次评估为同一抵押权人的续贷房地产抵押估价，故未将已抵押担保的债权数额（"&amp;C26&amp;"）作为法定优先受偿款予以扣减。",IF('结果表（典型户型价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164"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164"/>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164"/>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165"/>
      <c r="B30" s="2033" t="s">
        <v>1828</v>
      </c>
      <c r="C30" s="3166"/>
      <c r="D30" s="3167"/>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168"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169"/>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169"/>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3214</v>
      </c>
      <c r="C34" s="2130" t="s">
        <v>3215</v>
      </c>
      <c r="D34" s="2130" t="s">
        <v>3216</v>
      </c>
      <c r="E34" s="2130" t="s">
        <v>3217</v>
      </c>
      <c r="F34" s="2130" t="s">
        <v>3218</v>
      </c>
      <c r="G34" s="2130" t="s">
        <v>3219</v>
      </c>
      <c r="H34" s="2130"/>
      <c r="I34" s="2040"/>
      <c r="J34" s="2040"/>
      <c r="K34" s="1793">
        <f>COUNTIF(B34:H34,"——")</f>
        <v>0</v>
      </c>
      <c r="L34" s="2071" t="s">
        <v>1831</v>
      </c>
      <c r="M34" s="2071" t="s">
        <v>1832</v>
      </c>
      <c r="N34" s="2071" t="s">
        <v>1833</v>
      </c>
      <c r="O34" s="2071" t="s">
        <v>1834</v>
      </c>
      <c r="P34" s="2071" t="s">
        <v>1835</v>
      </c>
      <c r="Q34" s="2071" t="s">
        <v>1836</v>
      </c>
      <c r="R34" s="2071" t="s">
        <v>1837</v>
      </c>
      <c r="S34" s="3163" t="s">
        <v>1838</v>
      </c>
      <c r="T34" s="2131" t="str">
        <f>NUMBERSTRING(7-K34,1)&amp;"通"</f>
        <v>七通</v>
      </c>
      <c r="U34" s="2027"/>
      <c r="V34" s="2027"/>
    </row>
    <row r="35" spans="1:22" ht="18" customHeight="1">
      <c r="A35" s="2132"/>
      <c r="B35" s="3170" t="s">
        <v>1839</v>
      </c>
      <c r="C35" s="3170"/>
      <c r="D35" s="3170"/>
      <c r="E35" s="3170"/>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63"/>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82" t="s">
        <v>1935</v>
      </c>
      <c r="B2" s="3182"/>
      <c r="C2" s="3182"/>
      <c r="D2" s="967" t="s">
        <v>1911</v>
      </c>
      <c r="E2" s="2224" t="s">
        <v>1912</v>
      </c>
      <c r="F2" s="1391"/>
      <c r="G2" s="2225"/>
      <c r="H2" s="2226"/>
      <c r="I2" s="2227" t="s">
        <v>1936</v>
      </c>
      <c r="J2" s="1391"/>
      <c r="K2" s="1391"/>
      <c r="L2" s="1391"/>
      <c r="M2" s="1391"/>
      <c r="N2" s="1426"/>
      <c r="O2" s="1391"/>
      <c r="P2" s="1391"/>
    </row>
    <row r="3" spans="1:16" ht="15.75" thickBot="1">
      <c r="A3" s="3183" t="s">
        <v>1909</v>
      </c>
      <c r="B3" s="3183"/>
      <c r="C3" s="3183"/>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84"/>
      <c r="B4" s="3185"/>
      <c r="C4" s="3186"/>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87" t="s">
        <v>1914</v>
      </c>
      <c r="C5" s="3187"/>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87" t="s">
        <v>1915</v>
      </c>
      <c r="C6" s="3187"/>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79"/>
      <c r="B7" s="3180"/>
      <c r="C7" s="3181"/>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76" t="s">
        <v>1939</v>
      </c>
      <c r="L16" s="3177"/>
      <c r="M16" s="3177"/>
      <c r="N16" s="3177"/>
      <c r="O16" s="3177"/>
      <c r="P16" s="3178"/>
    </row>
    <row r="17" spans="1:19" ht="15">
      <c r="A17" s="2239" t="s">
        <v>1940</v>
      </c>
      <c r="B17" s="2240" t="s">
        <v>1941</v>
      </c>
      <c r="C17" s="2241" t="s">
        <v>1942</v>
      </c>
      <c r="D17" s="2242" t="s">
        <v>1930</v>
      </c>
      <c r="E17" s="2243" t="s">
        <v>1931</v>
      </c>
      <c r="F17" s="2244"/>
      <c r="G17" s="2245"/>
      <c r="H17" s="2246" t="s">
        <v>1943</v>
      </c>
      <c r="I17" s="2247" t="s">
        <v>1928</v>
      </c>
      <c r="J17" s="1391"/>
      <c r="K17" s="3173" t="s">
        <v>1944</v>
      </c>
      <c r="L17" s="3174"/>
      <c r="M17" s="3175"/>
      <c r="N17" s="3173" t="s">
        <v>1945</v>
      </c>
      <c r="O17" s="3174"/>
      <c r="P17" s="3175"/>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1024.71</v>
      </c>
      <c r="F20" s="57">
        <v>1024.71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1024.71</v>
      </c>
    </row>
    <row r="21" spans="1:19">
      <c r="A21" s="2260"/>
      <c r="B21" s="50" t="s">
        <v>1957</v>
      </c>
      <c r="C21" s="2257">
        <v>106</v>
      </c>
      <c r="D21" s="48">
        <f t="shared" si="6"/>
        <v>0</v>
      </c>
      <c r="E21" s="56">
        <f t="shared" si="1"/>
        <v>116.2</v>
      </c>
      <c r="F21" s="57">
        <v>116.2</v>
      </c>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116.2</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22" sqref="AK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034">
        <v>2800</v>
      </c>
      <c r="M6" s="75">
        <f t="shared" ref="M6:M14" si="0">ROUND(K6*L6/10000,0)</f>
        <v>35</v>
      </c>
      <c r="N6" s="3033">
        <f>ROUND(1-(2018-2007)/60,2)</f>
        <v>0.82</v>
      </c>
      <c r="O6" s="75" t="str">
        <f>IF($N$5="成新度","——",ROUND(M6*N6,0))</f>
        <v>——</v>
      </c>
      <c r="P6" s="76" t="str">
        <f>IF($N$5="成新度","——",M6-O6)</f>
        <v>——</v>
      </c>
      <c r="Q6" s="3045">
        <v>0.25</v>
      </c>
      <c r="R6" s="77">
        <f ca="1">SUMIF('数据-汇总表'!C$19:C$33,A6,'数据-汇总表'!R$19:R$27)</f>
        <v>0</v>
      </c>
      <c r="S6" s="54">
        <f>IF('数据-汇总表'!$I$17="按面积比例",SUMIF('数据-汇总表'!C$19:C$33,A6,'数据-汇总表'!K$19:K$33),SUMIF('数据-汇总表'!C$19:C$33,A6,'数据-汇总表'!N$19:N$33))</f>
        <v>0</v>
      </c>
      <c r="T6" s="1442">
        <f>ROUND($L$14*S6/10000,0)</f>
        <v>0</v>
      </c>
      <c r="U6" s="3046">
        <f>'比较法-租金'!C49</f>
        <v>5.5</v>
      </c>
      <c r="V6" s="3035">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1024.71</v>
      </c>
      <c r="L7" s="3034">
        <v>2800</v>
      </c>
      <c r="M7" s="75">
        <f t="shared" si="0"/>
        <v>287</v>
      </c>
      <c r="N7" s="3033">
        <f>ROUND(1-(2018-2007)/60,2)</f>
        <v>0.82</v>
      </c>
      <c r="O7" s="75" t="str">
        <f t="shared" ref="O7:O14" si="3">IF($N$5="成新度","——",ROUND(M7*N7,0))</f>
        <v>——</v>
      </c>
      <c r="P7" s="76" t="str">
        <f t="shared" ref="P7:P14" si="4">IF($N$5="成新度","——",M7-O7)</f>
        <v>——</v>
      </c>
      <c r="Q7" s="3045">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046">
        <f>U6</f>
        <v>5.5</v>
      </c>
      <c r="V7" s="3035">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106</v>
      </c>
      <c r="B8" s="2304" t="str">
        <f t="shared" si="1"/>
        <v>经营性</v>
      </c>
      <c r="C8" s="2305" t="s">
        <v>27</v>
      </c>
      <c r="D8" s="1051">
        <f>SUMIF(项目基本情况!D$12:I$12,C8,项目基本情况!D$14:I$14)</f>
        <v>50</v>
      </c>
      <c r="E8" s="1048">
        <f>IF(B8="","",SUMIF(项目基本情况!D$12:I$12,C8,项目基本情况!D$13:I$13))</f>
        <v>56958</v>
      </c>
      <c r="F8" s="72">
        <f>SUMIF(项目基本情况!D$12:I$12,C8,项目基本情况!D$15:I$15)</f>
        <v>37.020000000000003</v>
      </c>
      <c r="G8" s="73">
        <f t="shared" si="2"/>
        <v>0.91600000000000004</v>
      </c>
      <c r="H8" s="799">
        <v>0.05</v>
      </c>
      <c r="I8" s="799">
        <v>5.5E-2</v>
      </c>
      <c r="J8" s="74">
        <v>8.5000000000000006E-2</v>
      </c>
      <c r="K8" s="1250">
        <f>SUMIF('数据-汇总表'!C$19:C$33,A8,'数据-汇总表'!E$19:E$33)</f>
        <v>116.2</v>
      </c>
      <c r="L8" s="800">
        <v>2800</v>
      </c>
      <c r="M8" s="75">
        <f>ROUND(K8*L8/10000,0)</f>
        <v>33</v>
      </c>
      <c r="N8" s="798">
        <v>0.82</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42">
        <f t="shared" si="5"/>
        <v>0</v>
      </c>
      <c r="U8" s="802">
        <v>5.5</v>
      </c>
      <c r="V8" s="803">
        <v>0.03</v>
      </c>
      <c r="W8" s="803">
        <v>0.1</v>
      </c>
      <c r="X8" s="1260"/>
      <c r="Y8" s="804">
        <v>0.82</v>
      </c>
      <c r="Z8" s="81"/>
      <c r="AA8" s="74"/>
      <c r="AB8" s="74"/>
      <c r="AC8" s="1260"/>
      <c r="AD8" s="82"/>
      <c r="AE8" s="1261">
        <f t="shared" ca="1" si="6"/>
        <v>37.020000000000003</v>
      </c>
      <c r="AF8" s="1802"/>
      <c r="AG8" s="147">
        <f t="shared" si="7"/>
        <v>0</v>
      </c>
      <c r="AH8" s="805"/>
      <c r="AI8" s="85">
        <v>365</v>
      </c>
      <c r="AJ8" s="86"/>
      <c r="AK8" s="806">
        <v>1.4999999999999999E-2</v>
      </c>
      <c r="AL8" s="807">
        <v>1.5E-3</v>
      </c>
      <c r="AM8" s="808">
        <v>0.01</v>
      </c>
      <c r="AN8" s="2306" t="s">
        <v>3315</v>
      </c>
      <c r="AO8" s="55">
        <f t="shared" ca="1" si="8"/>
        <v>385</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2803</v>
      </c>
      <c r="M16" s="102">
        <f>SUM(M6:M14)</f>
        <v>355</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88" t="s">
        <v>2080</v>
      </c>
      <c r="B1" s="3189"/>
      <c r="C1" s="3189"/>
      <c r="D1" s="3189"/>
      <c r="E1" s="3189"/>
      <c r="F1" s="3189"/>
      <c r="G1" s="318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3077</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3078</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3079</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3080</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3081</v>
      </c>
      <c r="D8" s="2372"/>
      <c r="E8" s="2372"/>
      <c r="F8" s="1132"/>
      <c r="G8" s="1132"/>
      <c r="H8" s="2365"/>
      <c r="I8" s="2365"/>
      <c r="J8" s="2365"/>
      <c r="K8" s="2365"/>
      <c r="L8" s="2365"/>
      <c r="M8" s="2365"/>
      <c r="N8" s="2365"/>
      <c r="O8" s="2365"/>
      <c r="P8" s="2365"/>
      <c r="Q8" s="2365"/>
      <c r="R8" s="2365"/>
    </row>
    <row r="9" spans="1:29" ht="67.5">
      <c r="A9" s="431"/>
      <c r="B9" s="1793" t="s">
        <v>2098</v>
      </c>
      <c r="C9" s="2946" t="s">
        <v>3082</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3076</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671.51</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2223</v>
      </c>
      <c r="C5" s="1742">
        <f ca="1">ROUND(B5*10000/$B$1,0)</f>
        <v>33104</v>
      </c>
      <c r="D5" s="1742" t="e">
        <f ca="1">ROUND(B5*10000/$B$2,0)</f>
        <v>#DIV/0!</v>
      </c>
      <c r="E5" s="1741"/>
      <c r="F5" s="1739"/>
      <c r="G5" s="1739"/>
    </row>
    <row r="6" spans="1:10" ht="16.5">
      <c r="A6" s="1742" t="s">
        <v>1352</v>
      </c>
      <c r="B6" s="1742">
        <f ca="1">SUM(G14:G23)</f>
        <v>2223</v>
      </c>
      <c r="C6" s="1742">
        <f ca="1">ROUND(B6*10000/$B$1,0)</f>
        <v>33104</v>
      </c>
      <c r="D6" s="1742" t="e">
        <f ca="1">ROUND(B6*10000/$B$2,0)</f>
        <v>#DIV/0!</v>
      </c>
      <c r="E6" s="1741"/>
      <c r="F6" s="1739"/>
      <c r="G6" s="1739"/>
    </row>
    <row r="7" spans="1:10" ht="16.5">
      <c r="A7" s="1742" t="s">
        <v>1360</v>
      </c>
      <c r="B7" s="1742">
        <f ca="1">SUM(H14:H23)</f>
        <v>2223</v>
      </c>
      <c r="C7" s="1742">
        <f ca="1">ROUND(B7*10000/$B$1,0)</f>
        <v>33104</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'结果表（典型户型价值）'!B118</f>
        <v>116.2</v>
      </c>
      <c r="C14" s="1740">
        <f>'结果表（典型户型价值）'!C118</f>
        <v>0</v>
      </c>
      <c r="D14" s="1740">
        <f ca="1">'结果表（典型户型价值）'!H118</f>
        <v>385</v>
      </c>
      <c r="E14" s="1740">
        <f ca="1">ROUND(D14*10000/B14,0)</f>
        <v>33133</v>
      </c>
      <c r="F14" s="1740" t="e">
        <f ca="1">ROUND(D14*10000/C14,0)</f>
        <v>#DIV/0!</v>
      </c>
      <c r="G14" s="1740">
        <f ca="1">'结果表（典型户型价值）'!D122</f>
        <v>385</v>
      </c>
      <c r="H14" s="1740">
        <f ca="1">'结果表（典型户型价值）'!D124</f>
        <v>385</v>
      </c>
      <c r="I14" s="1740" t="str">
        <f>'结果表（典型户型价值）'!D126</f>
        <v>——</v>
      </c>
      <c r="J14" s="1739"/>
    </row>
    <row r="15" spans="1:10" ht="16.5">
      <c r="A15" s="1738" t="s">
        <v>1345</v>
      </c>
      <c r="B15" s="1745">
        <v>555.30999999999995</v>
      </c>
      <c r="C15" s="1745"/>
      <c r="D15" s="1745">
        <v>1838</v>
      </c>
      <c r="E15" s="1740">
        <f t="shared" ref="E15:E23" si="0">ROUND(D15*10000/B15,0)</f>
        <v>33099</v>
      </c>
      <c r="F15" s="1740" t="e">
        <f t="shared" ref="F15:F23" si="1">ROUND(D15*10000/C15,0)</f>
        <v>#DIV/0!</v>
      </c>
      <c r="G15" s="1746">
        <v>1838</v>
      </c>
      <c r="H15" s="1746">
        <v>1838</v>
      </c>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F34" zoomScaleNormal="100" zoomScaleSheetLayoutView="100" zoomScalePageLayoutView="80" workbookViewId="0">
      <selection activeCell="C1" sqref="C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3313</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3306</v>
      </c>
      <c r="D4" s="2423" t="s">
        <v>3306</v>
      </c>
      <c r="E4" s="3242" t="s">
        <v>2118</v>
      </c>
      <c r="F4" s="3244"/>
      <c r="G4" s="3244"/>
      <c r="H4" s="3244"/>
      <c r="I4" s="3243"/>
      <c r="K4" s="2424" t="str">
        <f>IF(ISNUMBER(FIND("比较法",'结果表 (估价对象1净值)'!C4)),"比较法",IF(ISNUMBER(FIND("成本法",'结果表 (估价对象1净值)'!C4)),"成本法",IF(ISNUMBER(FIND("假设开发法",'结果表 (估价对象1净值)'!C4)),"假设开发法",IF(ISNUMBER(FIND("收益法",'结果表 (估价对象1净值)'!C4)),"收益法","基准地价系数修正法"))))</f>
        <v>基准地价系数修正法</v>
      </c>
      <c r="L4" s="2424" t="str">
        <f>IF(ISNUMBER(FIND("比较法",'结果表 (估价对象1净值)'!D4)),"比较法",IF(ISNUMBER(FIND("成本法",'结果表 (估价对象1净值)'!D4)),"成本法",IF(ISNUMBER(FIND("假设开发法",'结果表 (估价对象1净值)'!D4)),"假设开发法",IF(ISNUMBER(FIND("收益法",'结果表 (估价对象1净值)'!D4)),"收益法","基准地价系数修正法"))))</f>
        <v>基准地价系数修正法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(估价对象1净值)'!B19,INDIRECT("'"&amp;C4&amp;"'"&amp;"!B:B"))</f>
        <v>1998</v>
      </c>
      <c r="D19" s="144">
        <f ca="1">SUMIF(INDIRECT("'"&amp;D4&amp;"'"&amp;"!A:A"),'结果表 (估价对象1净值)'!B19,INDIRECT("'"&amp;D4&amp;"'"&amp;"!B:B"))</f>
        <v>1998</v>
      </c>
      <c r="E19" s="2430" t="s">
        <v>2143</v>
      </c>
      <c r="F19" s="2431" t="s">
        <v>2142</v>
      </c>
      <c r="G19" s="145">
        <f ca="1">ROUND(C19*$C$18+D19*$D$18,0)</f>
        <v>1998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(估价对象1净值)'!B20,INDIRECT("'"&amp;C4&amp;"'"&amp;"!B:B"))</f>
        <v>33572</v>
      </c>
      <c r="D20" s="147">
        <f ca="1">SUMIF(INDIRECT("'"&amp;D4&amp;"'"&amp;"!A:A"),'结果表 (估价对象1净值)'!B20,INDIRECT("'"&amp;D4&amp;"'"&amp;"!B:B"))</f>
        <v>33572</v>
      </c>
      <c r="E20" s="2433"/>
      <c r="F20" s="1246" t="s">
        <v>2146</v>
      </c>
      <c r="G20" s="148">
        <f ca="1">ROUND(C20*$C$18+D20*$D$18,0)</f>
        <v>33572</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1998</v>
      </c>
      <c r="D32" s="2445" t="s">
        <v>2157</v>
      </c>
      <c r="E32" s="138"/>
      <c r="F32" s="138"/>
      <c r="G32" s="138"/>
      <c r="H32" s="138"/>
      <c r="I32" s="138"/>
    </row>
    <row r="33" spans="1:15" ht="15">
      <c r="A33" s="957" t="s">
        <v>2158</v>
      </c>
      <c r="B33" s="2446"/>
      <c r="C33" s="2447" t="s">
        <v>3147</v>
      </c>
      <c r="D33" s="2448" t="s">
        <v>3054</v>
      </c>
      <c r="E33" s="2449" t="s">
        <v>2159</v>
      </c>
      <c r="F33" s="2969" t="str">
        <f>IF(D32="楼面单价","取值（单价）","取值（总价）")</f>
        <v>取值（总价）</v>
      </c>
      <c r="G33" s="138"/>
      <c r="H33" s="138"/>
      <c r="I33" s="138"/>
    </row>
    <row r="34" spans="1:15" ht="15">
      <c r="A34" s="2451"/>
      <c r="B34" s="2452" t="s">
        <v>2160</v>
      </c>
      <c r="C34" s="157">
        <f ca="1">IF(C33="自定义",F34,C32-C35)</f>
        <v>1556</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442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f ca="1">ROUND(G19*F45,0)</f>
        <v>1279</v>
      </c>
      <c r="E45" s="165" t="s">
        <v>2179</v>
      </c>
      <c r="F45" s="166">
        <v>0.64</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2974">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2974">
        <v>2</v>
      </c>
      <c r="K47" s="3254" t="s">
        <v>2189</v>
      </c>
      <c r="L47" s="3254"/>
      <c r="M47" s="3255">
        <f>'数据-取费表'!B2</f>
        <v>43444</v>
      </c>
      <c r="N47" s="3255"/>
      <c r="O47" s="3255"/>
    </row>
    <row r="48" spans="1:15" ht="25.5">
      <c r="A48" s="3256" t="s">
        <v>2190</v>
      </c>
      <c r="B48" s="3251"/>
      <c r="C48" s="3251"/>
      <c r="D48" s="140">
        <f ca="1">IF(H48="情况1",0,IF(H48="情况2",D52,IF(H48="情况3",D53,IF(H48="情况4",D54))))</f>
        <v>38</v>
      </c>
      <c r="E48" s="2983" t="str">
        <f>IF(H48="情况4","(销售额-原购置价)×税（费）率","销售额×税（费）率")</f>
        <v>(销售额-原购置价)×税（费）率</v>
      </c>
      <c r="F48" s="175">
        <f>IF(H48="情况1","免征",'数据-取费表'!B41)</f>
        <v>5.6000000000000001E-2</v>
      </c>
      <c r="G48" s="2990">
        <v>41665</v>
      </c>
      <c r="H48" s="2477" t="s">
        <v>3185</v>
      </c>
      <c r="I48" s="2476"/>
      <c r="J48" s="2974">
        <v>3</v>
      </c>
      <c r="K48" s="3254" t="s">
        <v>2191</v>
      </c>
      <c r="L48" s="3254"/>
      <c r="M48" s="3257">
        <f ca="1">H101</f>
        <v>1998</v>
      </c>
      <c r="N48" s="3257"/>
      <c r="O48" s="3257"/>
    </row>
    <row r="49" spans="1:35" ht="25.5" customHeight="1">
      <c r="A49" s="176" t="s">
        <v>2192</v>
      </c>
      <c r="B49" s="3231" t="s">
        <v>2193</v>
      </c>
      <c r="C49" s="3231"/>
      <c r="D49" s="177">
        <v>0</v>
      </c>
      <c r="E49" s="23" t="s">
        <v>2194</v>
      </c>
      <c r="F49" s="28" t="s">
        <v>34</v>
      </c>
      <c r="G49" s="3258"/>
      <c r="H49" s="138"/>
      <c r="I49" s="2478"/>
      <c r="J49" s="2974">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1998</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2971" t="s">
        <v>2198</v>
      </c>
      <c r="K51" s="3254" t="s">
        <v>2199</v>
      </c>
      <c r="L51" s="3254"/>
      <c r="M51" s="2971" t="s">
        <v>2200</v>
      </c>
      <c r="N51" s="2971" t="s">
        <v>2201</v>
      </c>
      <c r="O51" s="2971" t="s">
        <v>2202</v>
      </c>
    </row>
    <row r="52" spans="1:35" ht="24" customHeight="1">
      <c r="A52" s="183" t="s">
        <v>2203</v>
      </c>
      <c r="B52" s="3231" t="s">
        <v>2204</v>
      </c>
      <c r="C52" s="3231"/>
      <c r="D52" s="182">
        <f ca="1">ROUND(D45*'数据-取费表'!B41/(1+'数据-取费表'!C42),0)</f>
        <v>68</v>
      </c>
      <c r="E52" s="11" t="s">
        <v>2205</v>
      </c>
      <c r="F52" s="184">
        <f>'数据-取费表'!B41</f>
        <v>5.6000000000000001E-2</v>
      </c>
      <c r="G52" s="2480"/>
      <c r="H52" s="138"/>
      <c r="I52" s="2478"/>
      <c r="J52" s="2974">
        <v>1</v>
      </c>
      <c r="K52" s="3238" t="s">
        <v>2206</v>
      </c>
      <c r="L52" s="3238"/>
      <c r="M52" s="1750">
        <f ca="1">D48</f>
        <v>38</v>
      </c>
      <c r="N52" s="2974" t="str">
        <f>E48</f>
        <v>(销售额-原购置价)×税（费）率</v>
      </c>
      <c r="O52" s="1751">
        <f>F48</f>
        <v>5.6000000000000001E-2</v>
      </c>
    </row>
    <row r="53" spans="1:35" ht="12" customHeight="1">
      <c r="A53" s="183" t="s">
        <v>2207</v>
      </c>
      <c r="B53" s="3230" t="s">
        <v>2208</v>
      </c>
      <c r="C53" s="3249"/>
      <c r="D53" s="182">
        <f ca="1">ROUND(D45*'数据-取费表'!B41/(1+'数据-取费表'!C42),0)</f>
        <v>68</v>
      </c>
      <c r="E53" s="11" t="s">
        <v>2205</v>
      </c>
      <c r="F53" s="184">
        <f>'数据-取费表'!B41</f>
        <v>5.6000000000000001E-2</v>
      </c>
      <c r="G53" s="2480"/>
      <c r="H53" s="138"/>
      <c r="I53" s="2478"/>
      <c r="J53" s="2974">
        <v>2</v>
      </c>
      <c r="K53" s="3238" t="s">
        <v>2209</v>
      </c>
      <c r="L53" s="3238"/>
      <c r="M53" s="1750">
        <f t="shared" ref="M53:O54" ca="1" si="0">D55</f>
        <v>1</v>
      </c>
      <c r="N53" s="2974" t="str">
        <f t="shared" si="0"/>
        <v>销售额×税（费）率</v>
      </c>
      <c r="O53" s="1751">
        <f t="shared" si="0"/>
        <v>5.0000000000000001E-4</v>
      </c>
    </row>
    <row r="54" spans="1:35" ht="12" customHeight="1">
      <c r="A54" s="183" t="s">
        <v>2210</v>
      </c>
      <c r="B54" s="3230" t="s">
        <v>2211</v>
      </c>
      <c r="C54" s="3249"/>
      <c r="D54" s="182">
        <f ca="1">C68</f>
        <v>38</v>
      </c>
      <c r="E54" s="30" t="s">
        <v>2212</v>
      </c>
      <c r="F54" s="184">
        <f>'数据-取费表'!B41</f>
        <v>5.6000000000000001E-2</v>
      </c>
      <c r="G54" s="2480"/>
      <c r="H54" s="2481"/>
      <c r="I54" s="2478"/>
      <c r="J54" s="2974">
        <v>3</v>
      </c>
      <c r="K54" s="3238" t="s">
        <v>2213</v>
      </c>
      <c r="L54" s="3238"/>
      <c r="M54" s="1750">
        <f t="shared" ca="1" si="0"/>
        <v>258</v>
      </c>
      <c r="N54" s="2974" t="str">
        <f t="shared" si="0"/>
        <v>增值额×税（费）率</v>
      </c>
      <c r="O54" s="1752" t="str">
        <f t="shared" si="0"/>
        <v>——</v>
      </c>
    </row>
    <row r="55" spans="1:35" ht="24" customHeight="1">
      <c r="A55" s="3250" t="s">
        <v>2214</v>
      </c>
      <c r="B55" s="3251"/>
      <c r="C55" s="3251"/>
      <c r="D55" s="185">
        <f ca="1">IF(H55="个人住宅",0,ROUND(D45*I55,0))</f>
        <v>1</v>
      </c>
      <c r="E55" s="11" t="s">
        <v>2215</v>
      </c>
      <c r="F55" s="184">
        <f>IF(H55="正常",I55,"免征")</f>
        <v>5.0000000000000001E-4</v>
      </c>
      <c r="G55" s="2480"/>
      <c r="H55" s="2477" t="s">
        <v>3071</v>
      </c>
      <c r="I55" s="186">
        <f>'数据-取费表'!B49</f>
        <v>5.0000000000000001E-4</v>
      </c>
      <c r="J55" s="2974">
        <f>IF(H59="非个人房产","",4)</f>
        <v>4</v>
      </c>
      <c r="K55" s="3238" t="str">
        <f>IF(H59="非个人房产","——","个人所得税")</f>
        <v>个人所得税</v>
      </c>
      <c r="L55" s="3238"/>
      <c r="M55" s="1753">
        <f ca="1">D59</f>
        <v>13</v>
      </c>
      <c r="N55" s="2975" t="str">
        <f>E59</f>
        <v>销售额×税（费）率</v>
      </c>
      <c r="O55" s="1754">
        <f>F59</f>
        <v>0.01</v>
      </c>
    </row>
    <row r="56" spans="1:35" ht="24.75">
      <c r="A56" s="3250" t="s">
        <v>2217</v>
      </c>
      <c r="B56" s="3251"/>
      <c r="C56" s="3251"/>
      <c r="D56" s="185">
        <f ca="1">IF(H56="个人住宅",D57,D58)</f>
        <v>258</v>
      </c>
      <c r="E56" s="11" t="s">
        <v>2218</v>
      </c>
      <c r="F56" s="184" t="str">
        <f>IF(H56="正常",F58,"免征")</f>
        <v>——</v>
      </c>
      <c r="G56" s="2482" t="s">
        <v>2219</v>
      </c>
      <c r="H56" s="2483" t="s">
        <v>3071</v>
      </c>
      <c r="I56" s="2484"/>
      <c r="J56" s="2974"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 (估价对象1净值)'!J56+1,'结果表 (估价对象1净值)'!J55+1))</f>
        <v>5</v>
      </c>
      <c r="K57" s="3238" t="s">
        <v>2221</v>
      </c>
      <c r="L57" s="2485" t="s">
        <v>2222</v>
      </c>
      <c r="M57" s="1755"/>
      <c r="N57" s="1756">
        <f ca="1">SUMIF(M52:M56,"&lt;9e307")</f>
        <v>310</v>
      </c>
      <c r="O57" s="2486"/>
      <c r="P57" s="1749">
        <f ca="1">N57/M49</f>
        <v>0.15515515515515516</v>
      </c>
    </row>
    <row r="58" spans="1:35" ht="24.75">
      <c r="A58" s="183" t="s">
        <v>2203</v>
      </c>
      <c r="B58" s="3242" t="s">
        <v>2223</v>
      </c>
      <c r="C58" s="3244"/>
      <c r="D58" s="185">
        <f ca="1">IF(H58="转让取得",C81,C97)</f>
        <v>258</v>
      </c>
      <c r="E58" s="11" t="s">
        <v>2218</v>
      </c>
      <c r="F58" s="24" t="s">
        <v>34</v>
      </c>
      <c r="G58" s="2480"/>
      <c r="H58" s="2483" t="s">
        <v>3186</v>
      </c>
      <c r="I58" s="2484"/>
      <c r="J58" s="3238"/>
      <c r="K58" s="3238"/>
      <c r="L58" s="2485" t="s">
        <v>2224</v>
      </c>
      <c r="M58" s="1757"/>
      <c r="N58" s="2487" t="str">
        <f ca="1">NUMBERSTRING(INT(N57*10000),2)&amp;"元整"</f>
        <v>叁佰壹拾万元整</v>
      </c>
      <c r="O58" s="2488"/>
    </row>
    <row r="59" spans="1:35" ht="26.25" thickBot="1">
      <c r="A59" s="3245" t="s">
        <v>2225</v>
      </c>
      <c r="B59" s="3246"/>
      <c r="C59" s="3246"/>
      <c r="D59" s="188">
        <f ca="1">IF(H59="非个人房产","——",IF(H59="个人住宅",0,ROUND(D45*I59,0)))</f>
        <v>13</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2974" t="s">
        <v>2222</v>
      </c>
      <c r="M59" s="1758"/>
      <c r="N59" s="1759">
        <f ca="1">M49-N57</f>
        <v>1688</v>
      </c>
      <c r="O59" s="2490"/>
    </row>
    <row r="60" spans="1:35" ht="12" customHeight="1">
      <c r="A60" s="2491"/>
      <c r="B60" s="2414"/>
      <c r="C60" s="2414"/>
      <c r="D60" s="2414"/>
      <c r="E60" s="2163"/>
      <c r="F60" s="2484"/>
      <c r="G60" s="2484"/>
      <c r="H60" s="2492"/>
      <c r="I60" s="138"/>
      <c r="J60" s="3248"/>
      <c r="K60" s="3238"/>
      <c r="L60" s="2485" t="s">
        <v>2224</v>
      </c>
      <c r="M60" s="1757"/>
      <c r="N60" s="2487" t="str">
        <f ca="1">NUMBERSTRING(INT(N59*10000),2)&amp;"元整"</f>
        <v>壹仟陆佰捌拾捌万元整</v>
      </c>
      <c r="O60" s="2488"/>
    </row>
    <row r="61" spans="1:35" ht="13.5" thickBot="1">
      <c r="A61" s="3237" t="s">
        <v>2227</v>
      </c>
      <c r="B61" s="3237"/>
      <c r="C61" s="3237"/>
      <c r="D61" s="3237"/>
      <c r="E61" s="3237"/>
      <c r="F61" s="2484"/>
      <c r="G61" s="2484"/>
      <c r="H61" s="2492"/>
      <c r="I61" s="138"/>
      <c r="J61" s="2974">
        <f>J59+1</f>
        <v>7</v>
      </c>
      <c r="K61" s="3238" t="s">
        <v>2228</v>
      </c>
      <c r="L61" s="3238"/>
      <c r="M61" s="1760"/>
      <c r="N61" s="1761">
        <f ca="1">ROUND(N59*10000/'数据-汇总表'!E3,0)</f>
        <v>13326</v>
      </c>
      <c r="O61" s="2493"/>
    </row>
    <row r="62" spans="1:35" ht="12.75">
      <c r="A62" s="3235" t="s">
        <v>2229</v>
      </c>
      <c r="B62" s="3236"/>
      <c r="C62" s="2979"/>
      <c r="D62" s="2979" t="s">
        <v>2230</v>
      </c>
      <c r="E62" s="192" t="s">
        <v>2231</v>
      </c>
      <c r="F62" s="2484"/>
      <c r="G62" s="2484"/>
      <c r="H62" s="2492"/>
      <c r="I62" s="138"/>
    </row>
    <row r="63" spans="1:35" ht="12.75">
      <c r="A63" s="203" t="s">
        <v>775</v>
      </c>
      <c r="B63" s="193" t="s">
        <v>2232</v>
      </c>
      <c r="C63" s="194">
        <f ca="1">ROUND((C64+C65)/(1+'数据-取费表'!C42),0)</f>
        <v>1218</v>
      </c>
      <c r="D63" s="195"/>
      <c r="E63" s="196"/>
      <c r="F63" s="2484"/>
      <c r="G63" s="2484"/>
      <c r="H63" s="2492"/>
      <c r="I63" s="138"/>
      <c r="J63" s="3239" t="s">
        <v>2233</v>
      </c>
      <c r="K63" s="2972" t="s">
        <v>2234</v>
      </c>
      <c r="L63" s="1748">
        <f ca="1">IF(M49&gt;10000,M49*0.5%,IF(AND(M49&gt;1000,M49&lt;=10000),M49*1%,IF(AND(M49&gt;100,M49&lt;=1000),M49*3%,IF(AND(M49&gt;10,M49&lt;=100),M49*5%,M49*8%))))</f>
        <v>19.98</v>
      </c>
      <c r="M63" s="24">
        <f ca="1">ROUND(L63,1)</f>
        <v>20</v>
      </c>
      <c r="Z63" s="2419"/>
      <c r="AI63" s="2420"/>
    </row>
    <row r="64" spans="1:35" ht="14.25" customHeight="1">
      <c r="A64" s="197" t="s">
        <v>770</v>
      </c>
      <c r="B64" s="198" t="s">
        <v>2235</v>
      </c>
      <c r="C64" s="199">
        <f ca="1">D45</f>
        <v>1279</v>
      </c>
      <c r="D64" s="200" t="s">
        <v>32</v>
      </c>
      <c r="E64" s="201"/>
      <c r="F64" s="2484"/>
      <c r="G64" s="2484"/>
      <c r="H64" s="2492"/>
      <c r="I64" s="138"/>
      <c r="J64" s="3239"/>
      <c r="K64" s="2972" t="s">
        <v>2236</v>
      </c>
      <c r="L64" s="1748">
        <f ca="1">IF(M49&gt;2000,M49*0.5%,IF(AND(M49&gt;1000,M49&lt;=2000),M49*0.6%,IF(AND(M49&gt;500,M49&lt;=1000),M49*0.7%,IF(AND(M49&gt;200,M49&lt;=500),M49*0.8%,IF(AND(M49&gt;100,M49&lt;=200),M49*0.9%,IF(AND(M49&gt;50,M49&lt;=100),M49*1%,IF(AND(M49&gt;20,M49&lt;=50),M49*1.5%,IF(AND(M49&gt;10,M49&lt;=20),M49*2%,IF(AND(M49&gt;1,M49&lt;=10),M49*2.5%)))))))))</f>
        <v>11.988</v>
      </c>
      <c r="M64" s="24">
        <f t="shared" ref="M64:M65" ca="1" si="1">ROUND(L64,1)</f>
        <v>12</v>
      </c>
      <c r="N64" s="138" t="s">
        <v>2237</v>
      </c>
      <c r="Z64" s="2419"/>
      <c r="AI64" s="2420"/>
    </row>
    <row r="65" spans="1:35" ht="14.25" customHeight="1">
      <c r="A65" s="197" t="s">
        <v>771</v>
      </c>
      <c r="B65" s="198" t="s">
        <v>2238</v>
      </c>
      <c r="C65" s="202"/>
      <c r="D65" s="200"/>
      <c r="E65" s="201"/>
      <c r="F65" s="2484"/>
      <c r="G65" s="2484"/>
      <c r="H65" s="2492"/>
      <c r="I65" s="138"/>
      <c r="J65" s="3239"/>
      <c r="K65" s="2972" t="s">
        <v>2239</v>
      </c>
      <c r="L65" s="1748">
        <f ca="1">IF(M49&gt;1000,M49*0.1%,IF(AND(M49&gt;500,M49&lt;=1000),M49*0.5%,IF(AND(M49&gt;50,M49&lt;=500),M49*1%,IF(AND(M49&gt;1,M49&lt;=50),M49*1.5%))))</f>
        <v>1.998</v>
      </c>
      <c r="M65" s="24">
        <f t="shared" ca="1" si="1"/>
        <v>2</v>
      </c>
      <c r="N65" s="138" t="s">
        <v>2237</v>
      </c>
      <c r="Z65" s="2419"/>
      <c r="AI65" s="2420"/>
    </row>
    <row r="66" spans="1:35" ht="14.25" customHeight="1">
      <c r="A66" s="203" t="s">
        <v>772</v>
      </c>
      <c r="B66" s="204" t="s">
        <v>2240</v>
      </c>
      <c r="C66" s="205">
        <f>土增税估算!C31</f>
        <v>543</v>
      </c>
      <c r="D66" s="206" t="s">
        <v>32</v>
      </c>
      <c r="E66" s="1771" t="s">
        <v>1367</v>
      </c>
      <c r="F66" s="2484"/>
      <c r="G66" s="2484"/>
      <c r="H66" s="2492"/>
      <c r="I66" s="138"/>
      <c r="J66" s="3239"/>
      <c r="K66" s="2972" t="s">
        <v>2241</v>
      </c>
      <c r="L66" s="1748">
        <f ca="1">M49*0.5%</f>
        <v>9.99</v>
      </c>
      <c r="M66" s="24">
        <f ca="1">IF(L66&gt;0.5,0.5,ROUND(L66,0))</f>
        <v>0.5</v>
      </c>
      <c r="N66" s="138" t="s">
        <v>2242</v>
      </c>
      <c r="Z66" s="2419"/>
      <c r="AI66" s="2420"/>
    </row>
    <row r="67" spans="1:35" ht="14.25" customHeight="1">
      <c r="A67" s="203" t="s">
        <v>773</v>
      </c>
      <c r="B67" s="204" t="s">
        <v>2243</v>
      </c>
      <c r="C67" s="207">
        <f ca="1">C63-C66</f>
        <v>675</v>
      </c>
      <c r="D67" s="200" t="s">
        <v>32</v>
      </c>
      <c r="E67" s="201"/>
      <c r="F67" s="2484"/>
      <c r="G67" s="2484"/>
      <c r="H67" s="2492"/>
      <c r="I67" s="138"/>
      <c r="J67" s="3239"/>
      <c r="K67" s="2972" t="s">
        <v>2244</v>
      </c>
      <c r="L67" s="1748">
        <f ca="1">IF(M49&gt;=10000,(8.25+(M49-10000)*0.01%),IF(AND(M49&gt;=8000,M49&lt;10000),(7.85+(M49-8000)*0.02%),IF(AND(M49&gt;=5000,M49&lt;8000),(6.65+(M49-5000)*0.04%),IF(AND(M49&gt;=2000,M49&lt;5000),(4.25+(PM49-2000)*0.08%),IF(AND(M49&gt;=1000,M49&lt;2000),(2.75+(M49-1000)*0.15%),IF(AND(M49&gt;=100,M49&lt;1000),(0.5+(M49-100)*0.25%),IF(AND(M49&gt;0,M49&lt;100),M49*0.5%)))))))</f>
        <v>4.2469999999999999</v>
      </c>
      <c r="M67" s="24">
        <f ca="1">ROUND(L67*0.9,1)</f>
        <v>3.8</v>
      </c>
      <c r="Z67" s="2419"/>
      <c r="AI67" s="2420"/>
    </row>
    <row r="68" spans="1:35" ht="14.25" customHeight="1" thickBot="1">
      <c r="A68" s="208" t="s">
        <v>774</v>
      </c>
      <c r="B68" s="209" t="s">
        <v>2245</v>
      </c>
      <c r="C68" s="210">
        <f ca="1">IF(C67&lt;=0,0,ROUND(C67*D68,0))</f>
        <v>38</v>
      </c>
      <c r="D68" s="211">
        <f>'数据-取费表'!B41</f>
        <v>5.6000000000000001E-2</v>
      </c>
      <c r="E68" s="212"/>
      <c r="F68" s="2484"/>
      <c r="G68" s="2484"/>
      <c r="H68" s="2492"/>
      <c r="I68" s="138"/>
      <c r="J68" s="3239"/>
      <c r="K68" s="2972" t="s">
        <v>2246</v>
      </c>
      <c r="L68" s="1748">
        <f ca="1">IF(M49&gt;10000,M49*0.5%,IF(AND(M49&gt;5000,M49&lt;=10000),M49*1%,IF(AND(M49&gt;1000,M49&lt;=5000),M49*2%,IF(AND(M49&gt;200,M49&lt;=1000),M49*3%,M49*5%))))</f>
        <v>39.96</v>
      </c>
      <c r="M68" s="24">
        <f ca="1">ROUND(L68,1)</f>
        <v>40</v>
      </c>
      <c r="Z68" s="2419"/>
      <c r="AI68" s="2420"/>
    </row>
    <row r="69" spans="1:35" s="2442" customFormat="1" ht="16.5" customHeight="1">
      <c r="A69" s="2495"/>
      <c r="B69" s="2496"/>
      <c r="C69" s="2497"/>
      <c r="D69" s="2498"/>
      <c r="E69" s="2499"/>
      <c r="F69" s="2163"/>
      <c r="G69" s="2163"/>
      <c r="H69" s="2162"/>
      <c r="I69" s="2414"/>
      <c r="J69" s="3239"/>
      <c r="K69" s="2972" t="s">
        <v>2247</v>
      </c>
      <c r="L69" s="2500"/>
      <c r="M69" s="24">
        <f ca="1">ROUND(SUM(M63:M68),0)</f>
        <v>78</v>
      </c>
      <c r="N69" s="1749">
        <f ca="1">M69/M49</f>
        <v>3.903903903903904E-2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1218</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540</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533</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土增税估算!C31</f>
        <v>543</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16</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7</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678</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1.2555555555555555</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1218</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7</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7</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1211</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173</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724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典型户型修正（估价对象1）</v>
      </c>
      <c r="D101" s="734" t="str">
        <f>D4</f>
        <v>典型户型修正（估价对象1）</v>
      </c>
      <c r="E101" s="3227" t="s">
        <v>2288</v>
      </c>
      <c r="F101" s="3209"/>
      <c r="G101" s="2515" t="s">
        <v>2289</v>
      </c>
      <c r="H101" s="1045">
        <f ca="1">H118</f>
        <v>1998</v>
      </c>
      <c r="I101" s="138"/>
    </row>
    <row r="102" spans="1:35" ht="18.75" customHeight="1">
      <c r="A102" s="3206" t="s">
        <v>2290</v>
      </c>
      <c r="B102" s="2515" t="s">
        <v>2289</v>
      </c>
      <c r="C102" s="733">
        <f ca="1">C19</f>
        <v>1998</v>
      </c>
      <c r="D102" s="734">
        <f ca="1">D19</f>
        <v>1998</v>
      </c>
      <c r="E102" s="3227"/>
      <c r="F102" s="3209"/>
      <c r="G102" s="2515" t="s">
        <v>2291</v>
      </c>
      <c r="H102" s="371">
        <f ca="1">I118</f>
        <v>158899</v>
      </c>
      <c r="I102" s="138"/>
    </row>
    <row r="103" spans="1:35" ht="42.75" customHeight="1">
      <c r="A103" s="3206"/>
      <c r="B103" s="2515" t="s">
        <v>2291</v>
      </c>
      <c r="C103" s="735">
        <f ca="1">C20</f>
        <v>33572</v>
      </c>
      <c r="D103" s="736">
        <f ca="1">D20</f>
        <v>33572</v>
      </c>
      <c r="E103" s="3228" t="s">
        <v>2292</v>
      </c>
      <c r="F103" s="3229"/>
      <c r="G103" s="2516" t="s">
        <v>2293</v>
      </c>
      <c r="H103" s="1045">
        <f>IF(D36="正常操作",H104+H105+H106,H105+H106)</f>
        <v>0</v>
      </c>
      <c r="I103" s="138"/>
    </row>
    <row r="104" spans="1:35" ht="18.75" customHeight="1">
      <c r="A104" s="3206" t="s">
        <v>2294</v>
      </c>
      <c r="B104" s="2517" t="s">
        <v>2289</v>
      </c>
      <c r="C104" s="737">
        <f ca="1">H118</f>
        <v>1998</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f ca="1">I118</f>
        <v>158899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1998</v>
      </c>
      <c r="I107" s="138"/>
    </row>
    <row r="108" spans="1:35" ht="18.75" customHeight="1">
      <c r="A108" s="138"/>
      <c r="B108" s="138"/>
      <c r="C108" s="138"/>
      <c r="D108" s="138"/>
      <c r="E108" s="3208"/>
      <c r="F108" s="3209"/>
      <c r="G108" s="2515" t="s">
        <v>2291</v>
      </c>
      <c r="H108" s="371">
        <f ca="1">ROUND(H107*10000/'数据-汇总表'!E3,0)</f>
        <v>15774</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1998</v>
      </c>
      <c r="I109" s="138"/>
    </row>
    <row r="110" spans="1:35" ht="18.75" customHeight="1">
      <c r="A110" s="138"/>
      <c r="B110" s="138"/>
      <c r="C110" s="138"/>
      <c r="D110" s="138"/>
      <c r="E110" s="3208"/>
      <c r="F110" s="3209"/>
      <c r="G110" s="2515" t="s">
        <v>2291</v>
      </c>
      <c r="H110" s="371">
        <f ca="1">IF(H109="——","——",ROUND(H109*10000/'数据-汇总表'!E3,0))</f>
        <v>15774</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1556</v>
      </c>
      <c r="E118" s="2970">
        <f ca="1">ROUND(IF(C33="自定义",IF(D32="楼面单价",C34,D118*10000/B118),I118-G118),0)</f>
        <v>123747</v>
      </c>
      <c r="F118" s="2970">
        <f ca="1">ROUND(IF(D32="总价",C35,G118*B118/10000),0)</f>
        <v>442</v>
      </c>
      <c r="G118" s="2970">
        <f ca="1">ROUND(IF(D32="楼面单价",C35,F118*10000/B118),0)</f>
        <v>35152</v>
      </c>
      <c r="H118" s="2970">
        <f ca="1">ROUND(IF(D32="总价",C32,I118*B118/10000),0)</f>
        <v>1998</v>
      </c>
      <c r="I118" s="2970">
        <f ca="1">ROUND(IF(D32="楼面单价",C32,H118*10000/B118),0)</f>
        <v>158899</v>
      </c>
    </row>
    <row r="119" spans="1:11" ht="18.75" customHeight="1">
      <c r="A119" s="3163" t="s">
        <v>2309</v>
      </c>
      <c r="B119" s="3163"/>
      <c r="C119" s="3163"/>
      <c r="D119" s="3190" t="str">
        <f ca="1">NUMBERSTRING(INT(D118*10000),2)&amp;"元整"</f>
        <v>壹仟伍佰伍拾陆万元整</v>
      </c>
      <c r="E119" s="3192"/>
      <c r="F119" s="3190" t="str">
        <f ca="1">NUMBERSTRING(INT(F118*10000),2)&amp;"元整"</f>
        <v>肆佰肆拾贰万元整</v>
      </c>
      <c r="G119" s="3192"/>
      <c r="H119" s="3190" t="str">
        <f ca="1">NUMBERSTRING(INT(H118*10000),2)&amp;"元整"</f>
        <v>壹仟玖佰玖拾捌万元整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1998</v>
      </c>
      <c r="E122" s="3196"/>
      <c r="F122" s="3196"/>
      <c r="G122" s="3196"/>
      <c r="H122" s="3196"/>
      <c r="I122" s="3197"/>
    </row>
    <row r="123" spans="1:11" ht="18.75" customHeight="1">
      <c r="A123" s="3163" t="s">
        <v>2309</v>
      </c>
      <c r="B123" s="3163"/>
      <c r="C123" s="3163"/>
      <c r="D123" s="3190" t="str">
        <f ca="1">NUMBERSTRING(INT(D122*10000),2)&amp;"元整"</f>
        <v>壹仟玖佰玖拾捌万元整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1998</v>
      </c>
      <c r="E124" s="3196"/>
      <c r="F124" s="3196"/>
      <c r="G124" s="3196"/>
      <c r="H124" s="3196"/>
      <c r="I124" s="3197"/>
    </row>
    <row r="125" spans="1:11" ht="18.75" customHeight="1">
      <c r="A125" s="3163" t="s">
        <v>2309</v>
      </c>
      <c r="B125" s="3163"/>
      <c r="C125" s="3163"/>
      <c r="D125" s="3190" t="str">
        <f ca="1">NUMBERSTRING(INT(D124*10000),2)&amp;"元整"</f>
        <v>壹仟玖佰玖拾捌万元整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23" zoomScaleNormal="100" zoomScaleSheetLayoutView="100" zoomScalePageLayoutView="80" workbookViewId="0">
      <selection activeCell="J42" sqref="J42"/>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3314</v>
      </c>
      <c r="D1" s="2414"/>
      <c r="E1" s="2414"/>
      <c r="F1" s="2416" t="s">
        <v>2114</v>
      </c>
      <c r="G1" s="2067" t="s">
        <v>3058</v>
      </c>
      <c r="H1" s="2417" t="str">
        <f>IF(G1="现房","——","估价对象范围")</f>
        <v>——</v>
      </c>
      <c r="I1" s="2418" t="s">
        <v>3174</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3307</v>
      </c>
      <c r="D4" s="2423" t="s">
        <v>3307</v>
      </c>
      <c r="E4" s="3242" t="s">
        <v>2118</v>
      </c>
      <c r="F4" s="3244"/>
      <c r="G4" s="3244"/>
      <c r="H4" s="3244"/>
      <c r="I4" s="3243"/>
      <c r="K4" s="2424" t="str">
        <f>IF(ISNUMBER(FIND("比较法",'结果表 (估价对象2净值) '!C4)),"比较法",IF(ISNUMBER(FIND("成本法",'结果表 (估价对象2净值) '!C4)),"成本法",IF(ISNUMBER(FIND("假设开发法",'结果表 (估价对象2净值) '!C4)),"假设开发法",IF(ISNUMBER(FIND("收益法",'结果表 (估价对象2净值) '!C4)),"收益法","基准地价系数修正法"))))</f>
        <v>基准地价系数修正法</v>
      </c>
      <c r="L4" s="2424" t="str">
        <f>IF(ISNUMBER(FIND("比较法",'结果表 (估价对象2净值) '!D4)),"比较法",IF(ISNUMBER(FIND("成本法",'结果表 (估价对象2净值) '!D4)),"成本法",IF(ISNUMBER(FIND("假设开发法",'结果表 (估价对象2净值) '!D4)),"假设开发法",IF(ISNUMBER(FIND("收益法",'结果表 (估价对象2净值) '!D4)),"收益法","基准地价系数修正法"))))</f>
        <v>基准地价系数修正法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0</v>
      </c>
      <c r="M18" s="2424">
        <f>IF(C1="",'数据-汇总表'!E3,SUMIF(项目类型,C1,'数据-汇总表'!E17:E26))</f>
        <v>0</v>
      </c>
    </row>
    <row r="19" spans="1:35" ht="15">
      <c r="A19" s="2430" t="s">
        <v>2141</v>
      </c>
      <c r="B19" s="2431" t="s">
        <v>2142</v>
      </c>
      <c r="C19" s="143">
        <f ca="1">SUMIF(INDIRECT("'"&amp;C4&amp;"'"&amp;"!A:A"),'结果表 (估价对象2净值) '!B19,INDIRECT("'"&amp;C4&amp;"'"&amp;"!B:B"))</f>
        <v>2223</v>
      </c>
      <c r="D19" s="144">
        <f ca="1">SUMIF(INDIRECT("'"&amp;D4&amp;"'"&amp;"!A:A"),'结果表 (估价对象2净值) '!B19,INDIRECT("'"&amp;D4&amp;"'"&amp;"!B:B"))</f>
        <v>2223</v>
      </c>
      <c r="E19" s="2430" t="s">
        <v>2143</v>
      </c>
      <c r="F19" s="2431" t="s">
        <v>2142</v>
      </c>
      <c r="G19" s="145">
        <f ca="1">ROUND(C19*$C$18+D19*$D$18,0)</f>
        <v>2223</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(估价对象2净值) '!B20,INDIRECT("'"&amp;C4&amp;"'"&amp;"!B:B"))</f>
        <v>33104</v>
      </c>
      <c r="D20" s="147">
        <f ca="1">SUMIF(INDIRECT("'"&amp;D4&amp;"'"&amp;"!A:A"),'结果表 (估价对象2净值) '!B20,INDIRECT("'"&amp;D4&amp;"'"&amp;"!B:B"))</f>
        <v>33104</v>
      </c>
      <c r="E20" s="2433"/>
      <c r="F20" s="1246" t="s">
        <v>2146</v>
      </c>
      <c r="G20" s="148">
        <f ca="1">ROUND(C20*$C$18+D20*$D$18,0)</f>
        <v>33104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2223</v>
      </c>
      <c r="D32" s="2445" t="s">
        <v>2157</v>
      </c>
      <c r="E32" s="138"/>
      <c r="F32" s="138"/>
      <c r="G32" s="138"/>
      <c r="H32" s="138"/>
      <c r="I32" s="138"/>
    </row>
    <row r="33" spans="1:15" ht="15">
      <c r="A33" s="957" t="s">
        <v>2158</v>
      </c>
      <c r="B33" s="2446"/>
      <c r="C33" s="2447" t="s">
        <v>3147</v>
      </c>
      <c r="D33" s="2448" t="s">
        <v>3054</v>
      </c>
      <c r="E33" s="2449" t="s">
        <v>2159</v>
      </c>
      <c r="F33" s="3065" t="str">
        <f>IF(D32="楼面单价","取值（单价）","取值（总价）")</f>
        <v>取值（总价）</v>
      </c>
      <c r="G33" s="138"/>
      <c r="H33" s="138"/>
      <c r="I33" s="138"/>
    </row>
    <row r="34" spans="1:15" ht="15">
      <c r="A34" s="2451"/>
      <c r="B34" s="2452" t="s">
        <v>2160</v>
      </c>
      <c r="C34" s="157">
        <f ca="1">IF(C33="自定义",F34,C32-C35)</f>
        <v>1732</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491</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c r="J41" s="792">
        <f ca="1">G19*F45</f>
        <v>1422.72</v>
      </c>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f ca="1">ROUND(G19*F45,0)</f>
        <v>1423</v>
      </c>
      <c r="E45" s="165" t="s">
        <v>2179</v>
      </c>
      <c r="F45" s="166">
        <v>0.64</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3070">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3070">
        <v>2</v>
      </c>
      <c r="K47" s="3254" t="s">
        <v>2189</v>
      </c>
      <c r="L47" s="3254"/>
      <c r="M47" s="3255">
        <f>'数据-取费表'!B2</f>
        <v>43444</v>
      </c>
      <c r="N47" s="3255"/>
      <c r="O47" s="3255"/>
    </row>
    <row r="48" spans="1:15" ht="25.5">
      <c r="A48" s="3256" t="s">
        <v>2190</v>
      </c>
      <c r="B48" s="3251"/>
      <c r="C48" s="3251"/>
      <c r="D48" s="140">
        <f ca="1">IF(H48="情况1",0,IF(H48="情况2",D52,IF(H48="情况3",D53,IF(H48="情况4",D54))))</f>
        <v>42</v>
      </c>
      <c r="E48" s="3067" t="str">
        <f>IF(H48="情况4","(销售额-原购置价)×税（费）率","销售额×税（费）率")</f>
        <v>(销售额-原购置价)×税（费）率</v>
      </c>
      <c r="F48" s="175">
        <f>IF(H48="情况1","免征",'数据-取费表'!B41)</f>
        <v>5.6000000000000001E-2</v>
      </c>
      <c r="G48" s="2990">
        <v>41665</v>
      </c>
      <c r="H48" s="2477" t="s">
        <v>3185</v>
      </c>
      <c r="I48" s="2476"/>
      <c r="J48" s="3070">
        <v>3</v>
      </c>
      <c r="K48" s="3254" t="s">
        <v>2191</v>
      </c>
      <c r="L48" s="3254"/>
      <c r="M48" s="3257">
        <f ca="1">H101</f>
        <v>2223</v>
      </c>
      <c r="N48" s="3257"/>
      <c r="O48" s="3257"/>
    </row>
    <row r="49" spans="1:35" ht="25.5" customHeight="1">
      <c r="A49" s="176" t="s">
        <v>2192</v>
      </c>
      <c r="B49" s="3231" t="s">
        <v>2193</v>
      </c>
      <c r="C49" s="3231"/>
      <c r="D49" s="177">
        <v>0</v>
      </c>
      <c r="E49" s="23" t="s">
        <v>2194</v>
      </c>
      <c r="F49" s="28" t="s">
        <v>34</v>
      </c>
      <c r="G49" s="3258"/>
      <c r="H49" s="138"/>
      <c r="I49" s="2478"/>
      <c r="J49" s="3070">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2223</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3066" t="s">
        <v>2198</v>
      </c>
      <c r="K51" s="3254" t="s">
        <v>2199</v>
      </c>
      <c r="L51" s="3254"/>
      <c r="M51" s="3066" t="s">
        <v>2200</v>
      </c>
      <c r="N51" s="3066" t="s">
        <v>2201</v>
      </c>
      <c r="O51" s="3066" t="s">
        <v>2202</v>
      </c>
    </row>
    <row r="52" spans="1:35" ht="24" customHeight="1">
      <c r="A52" s="183" t="s">
        <v>2203</v>
      </c>
      <c r="B52" s="3231" t="s">
        <v>2204</v>
      </c>
      <c r="C52" s="3231"/>
      <c r="D52" s="182">
        <f ca="1">ROUND(D45*'数据-取费表'!B41/(1+'数据-取费表'!C42),0)</f>
        <v>76</v>
      </c>
      <c r="E52" s="11" t="s">
        <v>2205</v>
      </c>
      <c r="F52" s="184">
        <f>'数据-取费表'!B41</f>
        <v>5.6000000000000001E-2</v>
      </c>
      <c r="G52" s="2480"/>
      <c r="H52" s="138"/>
      <c r="I52" s="2478"/>
      <c r="J52" s="3070">
        <v>1</v>
      </c>
      <c r="K52" s="3238" t="s">
        <v>2206</v>
      </c>
      <c r="L52" s="3238"/>
      <c r="M52" s="1750">
        <f ca="1">D48</f>
        <v>42</v>
      </c>
      <c r="N52" s="3070" t="str">
        <f>E48</f>
        <v>(销售额-原购置价)×税（费）率</v>
      </c>
      <c r="O52" s="1751">
        <f>F48</f>
        <v>5.6000000000000001E-2</v>
      </c>
    </row>
    <row r="53" spans="1:35" ht="12" customHeight="1">
      <c r="A53" s="183" t="s">
        <v>2207</v>
      </c>
      <c r="B53" s="3230" t="s">
        <v>2208</v>
      </c>
      <c r="C53" s="3249"/>
      <c r="D53" s="182">
        <f ca="1">ROUND(D45*'数据-取费表'!B41/(1+'数据-取费表'!C42),0)</f>
        <v>76</v>
      </c>
      <c r="E53" s="11" t="s">
        <v>2205</v>
      </c>
      <c r="F53" s="184">
        <f>'数据-取费表'!B41</f>
        <v>5.6000000000000001E-2</v>
      </c>
      <c r="G53" s="2480"/>
      <c r="H53" s="138"/>
      <c r="I53" s="2478"/>
      <c r="J53" s="3070">
        <v>2</v>
      </c>
      <c r="K53" s="3238" t="s">
        <v>2209</v>
      </c>
      <c r="L53" s="3238"/>
      <c r="M53" s="1750">
        <f t="shared" ref="M53:O54" ca="1" si="0">D55</f>
        <v>1</v>
      </c>
      <c r="N53" s="3070" t="str">
        <f t="shared" si="0"/>
        <v>销售额×税（费）率</v>
      </c>
      <c r="O53" s="1751">
        <f t="shared" si="0"/>
        <v>5.0000000000000001E-4</v>
      </c>
    </row>
    <row r="54" spans="1:35" ht="12" customHeight="1">
      <c r="A54" s="183" t="s">
        <v>2210</v>
      </c>
      <c r="B54" s="3230" t="s">
        <v>2211</v>
      </c>
      <c r="C54" s="3249"/>
      <c r="D54" s="182">
        <f ca="1">C68</f>
        <v>42</v>
      </c>
      <c r="E54" s="30" t="s">
        <v>2212</v>
      </c>
      <c r="F54" s="184">
        <f>'数据-取费表'!B41</f>
        <v>5.6000000000000001E-2</v>
      </c>
      <c r="G54" s="2480"/>
      <c r="H54" s="2481"/>
      <c r="I54" s="2478"/>
      <c r="J54" s="3070">
        <v>3</v>
      </c>
      <c r="K54" s="3238" t="s">
        <v>2213</v>
      </c>
      <c r="L54" s="3238"/>
      <c r="M54" s="1750">
        <f t="shared" ca="1" si="0"/>
        <v>282</v>
      </c>
      <c r="N54" s="3070" t="str">
        <f t="shared" si="0"/>
        <v>增值额×税（费）率</v>
      </c>
      <c r="O54" s="1752" t="str">
        <f t="shared" si="0"/>
        <v>——</v>
      </c>
    </row>
    <row r="55" spans="1:35" ht="24" customHeight="1">
      <c r="A55" s="3250" t="s">
        <v>2214</v>
      </c>
      <c r="B55" s="3251"/>
      <c r="C55" s="3251"/>
      <c r="D55" s="185">
        <f ca="1">IF(H55="个人住宅",0,ROUND(D45*I55,0))</f>
        <v>1</v>
      </c>
      <c r="E55" s="11" t="s">
        <v>2215</v>
      </c>
      <c r="F55" s="184">
        <f>IF(H55="正常",I55,"免征")</f>
        <v>5.0000000000000001E-4</v>
      </c>
      <c r="G55" s="2480"/>
      <c r="H55" s="2477" t="s">
        <v>3071</v>
      </c>
      <c r="I55" s="186">
        <f>'数据-取费表'!B49</f>
        <v>5.0000000000000001E-4</v>
      </c>
      <c r="J55" s="3070">
        <f>IF(H59="非个人房产","",4)</f>
        <v>4</v>
      </c>
      <c r="K55" s="3238" t="str">
        <f>IF(H59="非个人房产","——","个人所得税")</f>
        <v>个人所得税</v>
      </c>
      <c r="L55" s="3238"/>
      <c r="M55" s="1753">
        <f ca="1">D59</f>
        <v>14</v>
      </c>
      <c r="N55" s="3074" t="str">
        <f>E59</f>
        <v>销售额×税（费）率</v>
      </c>
      <c r="O55" s="1754">
        <f>F59</f>
        <v>0.01</v>
      </c>
    </row>
    <row r="56" spans="1:35" ht="24.75">
      <c r="A56" s="3250" t="s">
        <v>2217</v>
      </c>
      <c r="B56" s="3251"/>
      <c r="C56" s="3251"/>
      <c r="D56" s="185">
        <f ca="1">IF(H56="个人住宅",D57,D58)</f>
        <v>282</v>
      </c>
      <c r="E56" s="11" t="s">
        <v>2218</v>
      </c>
      <c r="F56" s="184" t="str">
        <f>IF(H56="正常",F58,"免征")</f>
        <v>——</v>
      </c>
      <c r="G56" s="2482" t="s">
        <v>2219</v>
      </c>
      <c r="H56" s="2483" t="s">
        <v>3071</v>
      </c>
      <c r="I56" s="2484"/>
      <c r="J56" s="3070"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 (估价对象2净值) '!J56+1,'结果表 (估价对象2净值) '!J55+1))</f>
        <v>5</v>
      </c>
      <c r="K57" s="3238" t="s">
        <v>2221</v>
      </c>
      <c r="L57" s="2485" t="s">
        <v>2222</v>
      </c>
      <c r="M57" s="1755"/>
      <c r="N57" s="1756">
        <f ca="1">SUMIF(M52:M56,"&lt;9e307")</f>
        <v>339</v>
      </c>
      <c r="O57" s="2486"/>
      <c r="P57" s="1749">
        <f ca="1">N57/M49</f>
        <v>0.1524966261808367</v>
      </c>
    </row>
    <row r="58" spans="1:35" ht="24.75">
      <c r="A58" s="183" t="s">
        <v>2203</v>
      </c>
      <c r="B58" s="3242" t="s">
        <v>2223</v>
      </c>
      <c r="C58" s="3244"/>
      <c r="D58" s="185">
        <f ca="1">IF(H58="转让取得",C81,C97)</f>
        <v>282</v>
      </c>
      <c r="E58" s="11" t="s">
        <v>2218</v>
      </c>
      <c r="F58" s="24" t="s">
        <v>34</v>
      </c>
      <c r="G58" s="2480"/>
      <c r="H58" s="2483" t="s">
        <v>3186</v>
      </c>
      <c r="I58" s="2484"/>
      <c r="J58" s="3238"/>
      <c r="K58" s="3238"/>
      <c r="L58" s="2485" t="s">
        <v>2224</v>
      </c>
      <c r="M58" s="1757"/>
      <c r="N58" s="2487" t="str">
        <f ca="1">NUMBERSTRING(INT(N57*10000),2)&amp;"元整"</f>
        <v>叁佰叁拾玖万元整</v>
      </c>
      <c r="O58" s="2488"/>
    </row>
    <row r="59" spans="1:35" ht="26.25" thickBot="1">
      <c r="A59" s="3245" t="s">
        <v>2225</v>
      </c>
      <c r="B59" s="3246"/>
      <c r="C59" s="3246"/>
      <c r="D59" s="188">
        <f ca="1">IF(H59="非个人房产","——",IF(H59="个人住宅",0,ROUND(D45*I59,0)))</f>
        <v>14</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3070" t="s">
        <v>2222</v>
      </c>
      <c r="M59" s="1758"/>
      <c r="N59" s="1759">
        <f ca="1">M49-N57</f>
        <v>1884</v>
      </c>
      <c r="O59" s="2490"/>
    </row>
    <row r="60" spans="1:35" ht="12" customHeight="1">
      <c r="A60" s="2491"/>
      <c r="B60" s="2414"/>
      <c r="C60" s="2414"/>
      <c r="D60" s="2414"/>
      <c r="E60" s="2163"/>
      <c r="F60" s="2484"/>
      <c r="G60" s="2484"/>
      <c r="H60" s="2492"/>
      <c r="I60" s="138"/>
      <c r="J60" s="3248"/>
      <c r="K60" s="3238"/>
      <c r="L60" s="2485" t="s">
        <v>2224</v>
      </c>
      <c r="M60" s="1757"/>
      <c r="N60" s="2487" t="str">
        <f ca="1">NUMBERSTRING(INT(N59*10000),2)&amp;"元整"</f>
        <v>壹仟捌佰捌拾肆万元整</v>
      </c>
      <c r="O60" s="2488"/>
    </row>
    <row r="61" spans="1:35" ht="13.5" thickBot="1">
      <c r="A61" s="3237" t="s">
        <v>2227</v>
      </c>
      <c r="B61" s="3237"/>
      <c r="C61" s="3237"/>
      <c r="D61" s="3237"/>
      <c r="E61" s="3237"/>
      <c r="F61" s="2484"/>
      <c r="G61" s="2484"/>
      <c r="H61" s="2492"/>
      <c r="I61" s="138"/>
      <c r="J61" s="3070">
        <f>J59+1</f>
        <v>7</v>
      </c>
      <c r="K61" s="3238" t="s">
        <v>2228</v>
      </c>
      <c r="L61" s="3238"/>
      <c r="M61" s="1760"/>
      <c r="N61" s="1761">
        <f ca="1">ROUND(N59*10000/'数据-汇总表'!E3,0)</f>
        <v>14874</v>
      </c>
      <c r="O61" s="2493"/>
    </row>
    <row r="62" spans="1:35" ht="12.75">
      <c r="A62" s="3235" t="s">
        <v>2229</v>
      </c>
      <c r="B62" s="3236"/>
      <c r="C62" s="3071"/>
      <c r="D62" s="3071" t="s">
        <v>2230</v>
      </c>
      <c r="E62" s="192" t="s">
        <v>2231</v>
      </c>
      <c r="F62" s="2484"/>
      <c r="G62" s="2484"/>
      <c r="H62" s="2492"/>
      <c r="I62" s="138"/>
    </row>
    <row r="63" spans="1:35" ht="12.75">
      <c r="A63" s="203" t="s">
        <v>775</v>
      </c>
      <c r="B63" s="193" t="s">
        <v>2232</v>
      </c>
      <c r="C63" s="194">
        <f ca="1">ROUND((C64+C65)/(1+'数据-取费表'!C42),0)</f>
        <v>1355</v>
      </c>
      <c r="D63" s="195"/>
      <c r="E63" s="196"/>
      <c r="F63" s="2484"/>
      <c r="G63" s="2484"/>
      <c r="H63" s="2492"/>
      <c r="I63" s="138"/>
      <c r="J63" s="3239" t="s">
        <v>2233</v>
      </c>
      <c r="K63" s="3072" t="s">
        <v>2234</v>
      </c>
      <c r="L63" s="1748">
        <f ca="1">IF(M49&gt;10000,M49*0.5%,IF(AND(M49&gt;1000,M49&lt;=10000),M49*1%,IF(AND(M49&gt;100,M49&lt;=1000),M49*3%,IF(AND(M49&gt;10,M49&lt;=100),M49*5%,M49*8%))))</f>
        <v>22.23</v>
      </c>
      <c r="M63" s="24">
        <f ca="1">ROUND(L63,1)</f>
        <v>22.2</v>
      </c>
      <c r="Z63" s="2419"/>
      <c r="AI63" s="2420"/>
    </row>
    <row r="64" spans="1:35" ht="14.25" customHeight="1">
      <c r="A64" s="197" t="s">
        <v>770</v>
      </c>
      <c r="B64" s="198" t="s">
        <v>2235</v>
      </c>
      <c r="C64" s="199">
        <f ca="1">D45</f>
        <v>1423</v>
      </c>
      <c r="D64" s="200" t="s">
        <v>32</v>
      </c>
      <c r="E64" s="201"/>
      <c r="F64" s="2484"/>
      <c r="G64" s="2484"/>
      <c r="H64" s="2492"/>
      <c r="I64" s="138"/>
      <c r="J64" s="3239"/>
      <c r="K64" s="3072" t="s">
        <v>2236</v>
      </c>
      <c r="L64" s="1748">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2237</v>
      </c>
      <c r="Z64" s="2419"/>
      <c r="AI64" s="2420"/>
    </row>
    <row r="65" spans="1:35" ht="14.25" customHeight="1">
      <c r="A65" s="197" t="s">
        <v>771</v>
      </c>
      <c r="B65" s="198" t="s">
        <v>2238</v>
      </c>
      <c r="C65" s="202"/>
      <c r="D65" s="200"/>
      <c r="E65" s="201"/>
      <c r="F65" s="2484"/>
      <c r="G65" s="2484"/>
      <c r="H65" s="2492"/>
      <c r="I65" s="138"/>
      <c r="J65" s="3239"/>
      <c r="K65" s="3072" t="s">
        <v>2239</v>
      </c>
      <c r="L65" s="1748">
        <f ca="1">IF(M49&gt;1000,M49*0.1%,IF(AND(M49&gt;500,M49&lt;=1000),M49*0.5%,IF(AND(M49&gt;50,M49&lt;=500),M49*1%,IF(AND(M49&gt;1,M49&lt;=50),M49*1.5%))))</f>
        <v>2.2229999999999999</v>
      </c>
      <c r="M65" s="24">
        <f t="shared" ca="1" si="1"/>
        <v>2.2000000000000002</v>
      </c>
      <c r="N65" s="138" t="s">
        <v>2237</v>
      </c>
      <c r="Z65" s="2419"/>
      <c r="AI65" s="2420"/>
    </row>
    <row r="66" spans="1:35" ht="14.25" customHeight="1">
      <c r="A66" s="203" t="s">
        <v>772</v>
      </c>
      <c r="B66" s="204" t="s">
        <v>2240</v>
      </c>
      <c r="C66" s="205">
        <f>土增税估算!C32</f>
        <v>612</v>
      </c>
      <c r="D66" s="206" t="s">
        <v>32</v>
      </c>
      <c r="E66" s="1771" t="s">
        <v>1367</v>
      </c>
      <c r="F66" s="2484"/>
      <c r="G66" s="2484"/>
      <c r="H66" s="2492"/>
      <c r="I66" s="138"/>
      <c r="J66" s="3239"/>
      <c r="K66" s="3072" t="s">
        <v>2241</v>
      </c>
      <c r="L66" s="1748">
        <f ca="1">M49*0.5%</f>
        <v>11.115</v>
      </c>
      <c r="M66" s="24">
        <f ca="1">IF(L66&gt;0.5,0.5,ROUND(L66,0))</f>
        <v>0.5</v>
      </c>
      <c r="N66" s="138" t="s">
        <v>2242</v>
      </c>
      <c r="Z66" s="2419"/>
      <c r="AI66" s="2420"/>
    </row>
    <row r="67" spans="1:35" ht="14.25" customHeight="1">
      <c r="A67" s="203" t="s">
        <v>773</v>
      </c>
      <c r="B67" s="204" t="s">
        <v>2243</v>
      </c>
      <c r="C67" s="207">
        <f ca="1">C63-C66</f>
        <v>743</v>
      </c>
      <c r="D67" s="200" t="s">
        <v>32</v>
      </c>
      <c r="E67" s="201"/>
      <c r="F67" s="2484"/>
      <c r="G67" s="2484"/>
      <c r="H67" s="2492"/>
      <c r="I67" s="138"/>
      <c r="J67" s="3239"/>
      <c r="K67" s="30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42</v>
      </c>
      <c r="D68" s="211">
        <f>'数据-取费表'!B41</f>
        <v>5.6000000000000001E-2</v>
      </c>
      <c r="E68" s="212"/>
      <c r="F68" s="2484"/>
      <c r="G68" s="2484"/>
      <c r="H68" s="2492"/>
      <c r="I68" s="138"/>
      <c r="J68" s="3239"/>
      <c r="K68" s="3072" t="s">
        <v>2246</v>
      </c>
      <c r="L68" s="1748">
        <f ca="1">IF(M49&gt;10000,M49*0.5%,IF(AND(M49&gt;5000,M49&lt;=10000),M49*1%,IF(AND(M49&gt;1000,M49&lt;=5000),M49*2%,IF(AND(M49&gt;200,M49&lt;=1000),M49*3%,M49*5%))))</f>
        <v>44.46</v>
      </c>
      <c r="M68" s="24">
        <f ca="1">ROUND(L68,1)</f>
        <v>44.5</v>
      </c>
      <c r="Z68" s="2419"/>
      <c r="AI68" s="2420"/>
    </row>
    <row r="69" spans="1:35" s="2442" customFormat="1" ht="16.5" customHeight="1">
      <c r="A69" s="2495"/>
      <c r="B69" s="2496"/>
      <c r="C69" s="2497"/>
      <c r="D69" s="2498"/>
      <c r="E69" s="2499"/>
      <c r="F69" s="2163"/>
      <c r="G69" s="2163"/>
      <c r="H69" s="2162"/>
      <c r="I69" s="2414"/>
      <c r="J69" s="3239"/>
      <c r="K69" s="3072" t="s">
        <v>2247</v>
      </c>
      <c r="L69" s="2500"/>
      <c r="M69" s="24">
        <f ca="1">ROUND(SUM(M63:M68),0)</f>
        <v>83</v>
      </c>
      <c r="N69" s="1749">
        <f ca="1">M69/M49</f>
        <v>3.7336932073774177E-2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3071"/>
      <c r="D71" s="307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1355</v>
      </c>
      <c r="D72" s="200" t="s">
        <v>32</v>
      </c>
      <c r="E72" s="3069"/>
      <c r="F72" s="3068"/>
      <c r="G72" s="306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609</v>
      </c>
      <c r="D73" s="200" t="s">
        <v>32</v>
      </c>
      <c r="E73" s="3069"/>
      <c r="F73" s="3068"/>
      <c r="G73" s="306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601</v>
      </c>
      <c r="D74" s="200" t="s">
        <v>32</v>
      </c>
      <c r="E74" s="3069"/>
      <c r="F74" s="3068"/>
      <c r="G74" s="306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土增税估算!C32</f>
        <v>612</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18</v>
      </c>
      <c r="D77" s="223">
        <f>'数据-取费表'!B48+'数据-取费表'!B49</f>
        <v>3.0499999999999999E-2</v>
      </c>
      <c r="E77" s="3073" t="s">
        <v>2259</v>
      </c>
      <c r="F77" s="224"/>
      <c r="G77" s="2508" t="s">
        <v>2260</v>
      </c>
      <c r="H77" s="307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8</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746</v>
      </c>
      <c r="D79" s="200" t="s">
        <v>32</v>
      </c>
      <c r="E79" s="3069"/>
      <c r="F79" s="3068"/>
      <c r="G79" s="306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1.2249589490968802</v>
      </c>
      <c r="D80" s="200" t="s">
        <v>32</v>
      </c>
      <c r="E80" s="30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68"/>
      <c r="G80" s="306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3071"/>
      <c r="D84" s="307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1355</v>
      </c>
      <c r="D85" s="200" t="s">
        <v>32</v>
      </c>
      <c r="E85" s="3069"/>
      <c r="F85" s="3068"/>
      <c r="G85" s="306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8</v>
      </c>
      <c r="D86" s="235"/>
      <c r="E86" s="3069"/>
      <c r="F86" s="3068"/>
      <c r="G86" s="306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75"/>
      <c r="F87" s="3076"/>
      <c r="G87" s="3076"/>
      <c r="H87" s="307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7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76"/>
      <c r="G89" s="3076"/>
      <c r="H89" s="307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76"/>
      <c r="G90" s="3076"/>
      <c r="H90" s="307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8</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1347</v>
      </c>
      <c r="D95" s="200" t="s">
        <v>32</v>
      </c>
      <c r="E95" s="3069"/>
      <c r="F95" s="3068"/>
      <c r="G95" s="306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168.375</v>
      </c>
      <c r="D96" s="200" t="s">
        <v>32</v>
      </c>
      <c r="E96" s="3073" t="str">
        <f ca="1">IF(C96&gt;=200%,"增值额超过扣除项目金额200%",IF(C96&gt;=100%,"增值额超过扣除项目金额100%，未超过200%",IF(C96&gt;=50%,"增值额超过扣除项目金额50%，未超过100%",IF(C96&lt;50%,"增值额未超过扣除项目金额50%"))))</f>
        <v>增值额超过扣除项目金额200%</v>
      </c>
      <c r="F96" s="3068"/>
      <c r="G96" s="306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805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典型户型修正（估价对象2）</v>
      </c>
      <c r="D101" s="734" t="str">
        <f>D4</f>
        <v>典型户型修正（估价对象2）</v>
      </c>
      <c r="E101" s="3227" t="s">
        <v>2288</v>
      </c>
      <c r="F101" s="3209"/>
      <c r="G101" s="2515" t="s">
        <v>2289</v>
      </c>
      <c r="H101" s="1045">
        <f ca="1">H118</f>
        <v>2223</v>
      </c>
      <c r="I101" s="138"/>
    </row>
    <row r="102" spans="1:35" ht="18.75" customHeight="1">
      <c r="A102" s="3206" t="s">
        <v>2290</v>
      </c>
      <c r="B102" s="2515" t="s">
        <v>2289</v>
      </c>
      <c r="C102" s="733">
        <f ca="1">C19</f>
        <v>2223</v>
      </c>
      <c r="D102" s="734">
        <f ca="1">D19</f>
        <v>2223</v>
      </c>
      <c r="E102" s="3227"/>
      <c r="F102" s="3209"/>
      <c r="G102" s="2515" t="s">
        <v>2291</v>
      </c>
      <c r="H102" s="371" t="e">
        <f ca="1">I118</f>
        <v>#DIV/0!</v>
      </c>
      <c r="I102" s="138"/>
    </row>
    <row r="103" spans="1:35" ht="42.75" customHeight="1">
      <c r="A103" s="3206"/>
      <c r="B103" s="2515" t="s">
        <v>2291</v>
      </c>
      <c r="C103" s="735">
        <f ca="1">C20</f>
        <v>33104</v>
      </c>
      <c r="D103" s="736">
        <f ca="1">D20</f>
        <v>33104</v>
      </c>
      <c r="E103" s="3228" t="s">
        <v>2292</v>
      </c>
      <c r="F103" s="3229"/>
      <c r="G103" s="2516" t="s">
        <v>2293</v>
      </c>
      <c r="H103" s="1045">
        <f>IF(D36="正常操作",H104+H105+H106,H105+H106)</f>
        <v>0</v>
      </c>
      <c r="I103" s="138"/>
    </row>
    <row r="104" spans="1:35" ht="18.75" customHeight="1">
      <c r="A104" s="3206" t="s">
        <v>2294</v>
      </c>
      <c r="B104" s="2517" t="s">
        <v>2289</v>
      </c>
      <c r="C104" s="737">
        <f ca="1">H118</f>
        <v>2223</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t="e">
        <f ca="1">I118</f>
        <v>#DIV/0!</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2223</v>
      </c>
      <c r="I107" s="138"/>
    </row>
    <row r="108" spans="1:35" ht="18.75" customHeight="1">
      <c r="A108" s="138"/>
      <c r="B108" s="138"/>
      <c r="C108" s="138"/>
      <c r="D108" s="138"/>
      <c r="E108" s="3208"/>
      <c r="F108" s="3209"/>
      <c r="G108" s="2515" t="s">
        <v>2291</v>
      </c>
      <c r="H108" s="371">
        <f ca="1">ROUND(H107*10000/'数据-汇总表'!E3,0)</f>
        <v>17550</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2223</v>
      </c>
      <c r="I109" s="138"/>
    </row>
    <row r="110" spans="1:35" ht="18.75" customHeight="1">
      <c r="A110" s="138"/>
      <c r="B110" s="138"/>
      <c r="C110" s="138"/>
      <c r="D110" s="138"/>
      <c r="E110" s="3208"/>
      <c r="F110" s="3209"/>
      <c r="G110" s="2515" t="s">
        <v>2291</v>
      </c>
      <c r="H110" s="371">
        <f ca="1">IF(H109="——","——",ROUND(H109*10000/'数据-汇总表'!E3,0))</f>
        <v>17550</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3064" t="s">
        <v>2306</v>
      </c>
      <c r="E117" s="3064" t="s">
        <v>2307</v>
      </c>
      <c r="F117" s="3064" t="s">
        <v>2306</v>
      </c>
      <c r="G117" s="3064" t="s">
        <v>2308</v>
      </c>
      <c r="H117" s="3064" t="s">
        <v>2306</v>
      </c>
      <c r="I117" s="3064" t="s">
        <v>2308</v>
      </c>
    </row>
    <row r="118" spans="1:11" ht="24.75" customHeight="1">
      <c r="A118" s="2521" t="str">
        <f>项目基本情况!S2</f>
        <v>北京市顺义区天竺地区小天竺路一号院1号楼101-112号办公用房房地产</v>
      </c>
      <c r="B118" s="3064">
        <f>M18</f>
        <v>0</v>
      </c>
      <c r="C118" s="3064">
        <f>M19</f>
        <v>0</v>
      </c>
      <c r="D118" s="3064">
        <f ca="1">ROUND(IF(D32="总价",C34,E118*B118/10000),0)</f>
        <v>1732</v>
      </c>
      <c r="E118" s="3064" t="e">
        <f ca="1">ROUND(IF(C33="自定义",IF(D32="楼面单价",C34,D118*10000/B118),I118-G118),0)</f>
        <v>#DIV/0!</v>
      </c>
      <c r="F118" s="3064">
        <f ca="1">ROUND(IF(D32="总价",C35,G118*B118/10000),0)</f>
        <v>491</v>
      </c>
      <c r="G118" s="3064" t="e">
        <f ca="1">ROUND(IF(D32="楼面单价",C35,F118*10000/B118),0)</f>
        <v>#DIV/0!</v>
      </c>
      <c r="H118" s="3064">
        <f ca="1">ROUND(IF(D32="总价",C32,I118*B118/10000),0)</f>
        <v>2223</v>
      </c>
      <c r="I118" s="3064" t="e">
        <f ca="1">ROUND(IF(D32="楼面单价",C32,H118*10000/B118),0)</f>
        <v>#DIV/0!</v>
      </c>
    </row>
    <row r="119" spans="1:11" ht="18.75" customHeight="1">
      <c r="A119" s="3163" t="s">
        <v>2309</v>
      </c>
      <c r="B119" s="3163"/>
      <c r="C119" s="3163"/>
      <c r="D119" s="3190" t="str">
        <f ca="1">NUMBERSTRING(INT(D118*10000),2)&amp;"元整"</f>
        <v>壹仟柒佰叁拾贰万元整</v>
      </c>
      <c r="E119" s="3192"/>
      <c r="F119" s="3190" t="str">
        <f ca="1">NUMBERSTRING(INT(F118*10000),2)&amp;"元整"</f>
        <v>肆佰玖拾壹万元整</v>
      </c>
      <c r="G119" s="3192"/>
      <c r="H119" s="3190" t="str">
        <f ca="1">NUMBERSTRING(INT(H118*10000),2)&amp;"元整"</f>
        <v>贰仟贰佰贰拾叁万元整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2223</v>
      </c>
      <c r="E122" s="3196"/>
      <c r="F122" s="3196"/>
      <c r="G122" s="3196"/>
      <c r="H122" s="3196"/>
      <c r="I122" s="3197"/>
    </row>
    <row r="123" spans="1:11" ht="18.75" customHeight="1">
      <c r="A123" s="3163" t="s">
        <v>2309</v>
      </c>
      <c r="B123" s="3163"/>
      <c r="C123" s="3163"/>
      <c r="D123" s="3190" t="str">
        <f ca="1">NUMBERSTRING(INT(D122*10000),2)&amp;"元整"</f>
        <v>贰仟贰佰贰拾叁万元整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2223</v>
      </c>
      <c r="E124" s="3196"/>
      <c r="F124" s="3196"/>
      <c r="G124" s="3196"/>
      <c r="H124" s="3196"/>
      <c r="I124" s="3197"/>
    </row>
    <row r="125" spans="1:11" ht="18.75" customHeight="1">
      <c r="A125" s="3163" t="s">
        <v>2309</v>
      </c>
      <c r="B125" s="3163"/>
      <c r="C125" s="3163"/>
      <c r="D125" s="3190" t="str">
        <f ca="1">NUMBERSTRING(INT(D124*10000),2)&amp;"元整"</f>
        <v>贰仟贰佰贰拾叁万元整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97" t="str">
        <f>项目基本情况!B1</f>
        <v>北京市顺义区天竺地区小天竺路一号院1号楼101-112号办公用房房地产抵押价值预评估</v>
      </c>
      <c r="C37" s="3097"/>
      <c r="D37" s="3097"/>
      <c r="E37" s="3097"/>
      <c r="F37" s="3097"/>
      <c r="G37" s="3097"/>
      <c r="H37" s="3097"/>
      <c r="I37" s="309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9</v>
      </c>
    </row>
    <row r="2" spans="1:9" s="244" customFormat="1" ht="18" customHeight="1">
      <c r="A2" s="245" t="s">
        <v>2319</v>
      </c>
      <c r="B2" s="246">
        <f ca="1">IF(D2="——",C52,C52-E2)</f>
        <v>536</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355</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83" t="s">
        <v>2401</v>
      </c>
    </row>
    <row r="43" spans="1:7" ht="13.5" customHeight="1">
      <c r="A43" s="951" t="s">
        <v>792</v>
      </c>
      <c r="B43" s="259" t="s">
        <v>2402</v>
      </c>
      <c r="C43" s="282">
        <f ca="1">ROUND(IF('数据-取费表'!B22&lt;=1,C39*F22*'数据-取费表'!B21/2,C39*(POWER((1+F22),'数据-取费表'!B21/2)-1)),0)</f>
        <v>0</v>
      </c>
      <c r="D43" s="282"/>
      <c r="E43" s="282"/>
      <c r="F43" s="283"/>
      <c r="G43" s="3284"/>
    </row>
    <row r="44" spans="1:7" ht="13.5" customHeight="1">
      <c r="A44" s="951" t="s">
        <v>793</v>
      </c>
      <c r="B44" s="259" t="s">
        <v>2403</v>
      </c>
      <c r="C44" s="282">
        <f ca="1">ROUND(IF('数据-取费表'!B22&lt;=1,C40*F22*'数据-取费表'!B21/2,C40*(POWER((1+F22),'数据-取费表'!B21/2)-1)),4)</f>
        <v>6.9999999999999999E-4</v>
      </c>
      <c r="D44" s="282"/>
      <c r="E44" s="282"/>
      <c r="F44" s="283"/>
      <c r="G44" s="3285"/>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564</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462</v>
      </c>
      <c r="D51" s="276"/>
      <c r="E51" s="276"/>
      <c r="F51" s="308"/>
      <c r="G51" s="278" t="s">
        <v>2417</v>
      </c>
    </row>
    <row r="52" spans="1:7" s="252" customFormat="1" ht="16.5" thickBot="1">
      <c r="A52" s="309" t="s">
        <v>2418</v>
      </c>
      <c r="B52" s="310"/>
      <c r="C52" s="311">
        <f ca="1">C31+C51</f>
        <v>536</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83" t="s">
        <v>2448</v>
      </c>
    </row>
    <row r="43" spans="1:7" ht="13.5" customHeight="1">
      <c r="A43" s="951" t="s">
        <v>792</v>
      </c>
      <c r="B43" s="259" t="s">
        <v>2402</v>
      </c>
      <c r="C43" s="282">
        <f ca="1">ROUND(IF('数据-取费表'!B22&lt;=1,C39*F22*'数据-取费表'!B20/2,C39*(POWER((1+F22),'数据-取费表'!B20/2)-1)),0)</f>
        <v>2805</v>
      </c>
      <c r="D43" s="282"/>
      <c r="E43" s="282"/>
      <c r="F43" s="283"/>
      <c r="G43" s="3284"/>
    </row>
    <row r="44" spans="1:7" ht="13.5" customHeight="1">
      <c r="A44" s="951" t="s">
        <v>793</v>
      </c>
      <c r="B44" s="259" t="s">
        <v>2403</v>
      </c>
      <c r="C44" s="282">
        <f ca="1">ROUND(IF('数据-取费表'!B22&lt;=1,C40*F22*'数据-取费表'!B20/2,C40*(POWER((1+F22),'数据-取费表'!B20/2)-1)),4)</f>
        <v>6.9999999999999999E-4</v>
      </c>
      <c r="D44" s="282"/>
      <c r="E44" s="282"/>
      <c r="F44" s="283"/>
      <c r="G44" s="3285"/>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88" t="s">
        <v>1399</v>
      </c>
      <c r="C6" s="1295">
        <f ca="1">ROUND(F6*F8*F7*(1-F9)/10000,0)</f>
        <v>0</v>
      </c>
      <c r="D6" s="164" t="s">
        <v>3017</v>
      </c>
      <c r="E6" s="347" t="s">
        <v>1401</v>
      </c>
      <c r="F6" s="348">
        <f ca="1">INDIRECT("'数据-取费表'!u"&amp;$G$1)</f>
        <v>0</v>
      </c>
      <c r="G6" s="1849"/>
      <c r="H6" s="1290" t="s">
        <v>1032</v>
      </c>
      <c r="I6" s="3288" t="s">
        <v>1399</v>
      </c>
      <c r="J6" s="346">
        <f ca="1">ROUND(M6*M8*M7*(1-M9)/10000,0)</f>
        <v>0</v>
      </c>
      <c r="K6" s="164" t="s">
        <v>3016</v>
      </c>
      <c r="L6" s="347" t="s">
        <v>1401</v>
      </c>
      <c r="M6" s="348">
        <f ca="1">INDIRECT("'数据-取费表'!z"&amp;$G$1)</f>
        <v>0</v>
      </c>
    </row>
    <row r="7" spans="1:37" ht="18" customHeight="1">
      <c r="A7" s="1294"/>
      <c r="B7" s="3289"/>
      <c r="C7" s="1296"/>
      <c r="D7" s="352"/>
      <c r="E7" s="1297" t="s">
        <v>1402</v>
      </c>
      <c r="F7" s="348">
        <f ca="1">IF(INDIRECT("'数据-取费表'!ah"&amp;$G$1)="",INDIRECT("'数据-取费表'!k"&amp;$G$1),INDIRECT("'数据-取费表'!ah"&amp;$G$1))</f>
        <v>0</v>
      </c>
      <c r="G7" s="1849"/>
      <c r="H7" s="349"/>
      <c r="I7" s="3289"/>
      <c r="J7" s="351"/>
      <c r="K7" s="352"/>
      <c r="L7" s="347" t="s">
        <v>1402</v>
      </c>
      <c r="M7" s="348">
        <f ca="1">F7</f>
        <v>0</v>
      </c>
    </row>
    <row r="8" spans="1:37" ht="18" customHeight="1">
      <c r="A8" s="349"/>
      <c r="B8" s="3289"/>
      <c r="C8" s="351"/>
      <c r="D8" s="352"/>
      <c r="E8" s="347" t="s">
        <v>1403</v>
      </c>
      <c r="F8" s="348">
        <f ca="1">INDIRECT("'数据-取费表'!ai"&amp;$G$1)</f>
        <v>0</v>
      </c>
      <c r="G8" s="1849"/>
      <c r="H8" s="349"/>
      <c r="I8" s="3289"/>
      <c r="J8" s="351"/>
      <c r="K8" s="352"/>
      <c r="L8" s="347" t="s">
        <v>1403</v>
      </c>
      <c r="M8" s="348">
        <f ca="1">INDIRECT("'数据-取费表'!ai"&amp;$G$1)</f>
        <v>0</v>
      </c>
    </row>
    <row r="9" spans="1:37" ht="18" customHeight="1">
      <c r="A9" s="349"/>
      <c r="B9" s="3290"/>
      <c r="C9" s="351"/>
      <c r="D9" s="352"/>
      <c r="E9" s="347" t="s">
        <v>1404</v>
      </c>
      <c r="F9" s="357">
        <f ca="1">INDIRECT("'数据-取费表'!w"&amp;$G$1)</f>
        <v>0</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86" t="s">
        <v>1544</v>
      </c>
      <c r="L53" s="3287"/>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v>106</v>
      </c>
      <c r="D1" s="2414"/>
      <c r="E1" s="2414"/>
      <c r="F1" s="2416" t="s">
        <v>2114</v>
      </c>
      <c r="G1" s="2067" t="s">
        <v>3058</v>
      </c>
      <c r="H1" s="2417" t="str">
        <f>IF(G1="现房","——","估价对象范围")</f>
        <v>——</v>
      </c>
      <c r="I1" s="2418" t="s">
        <v>3174</v>
      </c>
    </row>
    <row r="2" spans="1:12" ht="21.75" customHeight="1" thickBot="1">
      <c r="A2" s="3278" t="str">
        <f>项目基本情况!S2</f>
        <v>北京市顺义区天竺地区小天竺路一号院1号楼101-112号办公用房房地产</v>
      </c>
      <c r="B2" s="3279"/>
      <c r="C2" s="3279"/>
      <c r="D2" s="3279"/>
      <c r="E2" s="3279"/>
      <c r="F2" s="3279"/>
      <c r="G2" s="3279"/>
      <c r="H2" s="3279"/>
      <c r="I2" s="3280"/>
    </row>
    <row r="3" spans="1:12" ht="12.75">
      <c r="A3" s="3281" t="s">
        <v>2115</v>
      </c>
      <c r="B3" s="3282"/>
      <c r="C3" s="3282"/>
      <c r="D3" s="3282"/>
      <c r="E3" s="3282"/>
      <c r="F3" s="3282"/>
      <c r="G3" s="3282"/>
      <c r="H3" s="3282"/>
      <c r="I3" s="3282"/>
    </row>
    <row r="4" spans="1:12" ht="14.25">
      <c r="A4" s="2421" t="s">
        <v>2116</v>
      </c>
      <c r="B4" s="2422" t="s">
        <v>2117</v>
      </c>
      <c r="C4" s="2423" t="s">
        <v>3316</v>
      </c>
      <c r="D4" s="2423" t="s">
        <v>3315</v>
      </c>
      <c r="E4" s="3242" t="s">
        <v>2118</v>
      </c>
      <c r="F4" s="3244"/>
      <c r="G4" s="3244"/>
      <c r="H4" s="3244"/>
      <c r="I4" s="3243"/>
      <c r="K4" s="2424" t="str">
        <f>IF(ISNUMBER(FIND("比较法",'结果表（典型户型价值）'!C4)),"比较法",IF(ISNUMBER(FIND("成本法",'结果表（典型户型价值）'!C4)),"成本法",IF(ISNUMBER(FIND("假设开发法",'结果表（典型户型价值）'!C4)),"假设开发法",IF(ISNUMBER(FIND("收益法",'结果表（典型户型价值）'!C4)),"收益法","基准地价系数修正法"))))</f>
        <v>比较法</v>
      </c>
      <c r="L4" s="2424" t="str">
        <f>IF(ISNUMBER(FIND("比较法",'结果表（典型户型价值）'!D4)),"比较法",IF(ISNUMBER(FIND("成本法",'结果表（典型户型价值）'!D4)),"成本法",IF(ISNUMBER(FIND("假设开发法",'结果表（典型户型价值）'!D4)),"假设开发法",IF(ISNUMBER(FIND("收益法",'结果表（典型户型价值）'!D4)),"收益法","基准地价系数修正法"))))</f>
        <v>收益法</v>
      </c>
    </row>
    <row r="5" spans="1:12" ht="12.75">
      <c r="A5" s="3273" t="s">
        <v>2119</v>
      </c>
      <c r="B5" s="3163">
        <v>25</v>
      </c>
      <c r="C5" s="3274"/>
      <c r="D5" s="3276"/>
      <c r="E5" s="140" t="s">
        <v>2120</v>
      </c>
      <c r="F5" s="2425"/>
      <c r="G5" s="2425"/>
      <c r="H5" s="2425"/>
      <c r="I5" s="1829"/>
    </row>
    <row r="6" spans="1:12" ht="12.75">
      <c r="A6" s="3273"/>
      <c r="B6" s="3163"/>
      <c r="C6" s="3277"/>
      <c r="D6" s="3276"/>
      <c r="E6" s="140" t="s">
        <v>2121</v>
      </c>
      <c r="F6" s="2425"/>
      <c r="G6" s="2425"/>
      <c r="H6" s="2425"/>
      <c r="I6" s="1829"/>
    </row>
    <row r="7" spans="1:12" ht="12.75">
      <c r="A7" s="3273"/>
      <c r="B7" s="3163"/>
      <c r="C7" s="3275"/>
      <c r="D7" s="3276"/>
      <c r="E7" s="140" t="s">
        <v>2122</v>
      </c>
      <c r="F7" s="2425"/>
      <c r="G7" s="2425"/>
      <c r="H7" s="2425"/>
      <c r="I7" s="1829"/>
    </row>
    <row r="8" spans="1:12" ht="12.75">
      <c r="A8" s="3273" t="s">
        <v>2123</v>
      </c>
      <c r="B8" s="3163">
        <v>15</v>
      </c>
      <c r="C8" s="3274"/>
      <c r="D8" s="3276"/>
      <c r="E8" s="140" t="s">
        <v>2124</v>
      </c>
      <c r="F8" s="2425"/>
      <c r="G8" s="2425"/>
      <c r="H8" s="2425"/>
      <c r="I8" s="1829"/>
    </row>
    <row r="9" spans="1:12" ht="12.75">
      <c r="A9" s="3273"/>
      <c r="B9" s="3163"/>
      <c r="C9" s="3275"/>
      <c r="D9" s="3276"/>
      <c r="E9" s="140" t="s">
        <v>2125</v>
      </c>
      <c r="F9" s="2425"/>
      <c r="G9" s="2425"/>
      <c r="H9" s="2425"/>
      <c r="I9" s="1829"/>
    </row>
    <row r="10" spans="1:12" ht="12.75">
      <c r="A10" s="3273" t="s">
        <v>2126</v>
      </c>
      <c r="B10" s="3163">
        <v>15</v>
      </c>
      <c r="C10" s="3274"/>
      <c r="D10" s="3276"/>
      <c r="E10" s="140" t="s">
        <v>2127</v>
      </c>
      <c r="F10" s="2425"/>
      <c r="G10" s="2425"/>
      <c r="H10" s="2425"/>
      <c r="I10" s="1829"/>
    </row>
    <row r="11" spans="1:12" ht="12.75">
      <c r="A11" s="3273"/>
      <c r="B11" s="3163"/>
      <c r="C11" s="3275"/>
      <c r="D11" s="3276"/>
      <c r="E11" s="140" t="s">
        <v>2128</v>
      </c>
      <c r="F11" s="2425"/>
      <c r="G11" s="2425"/>
      <c r="H11" s="2425"/>
      <c r="I11" s="1829"/>
    </row>
    <row r="12" spans="1:12" ht="12.75">
      <c r="A12" s="3273" t="s">
        <v>2129</v>
      </c>
      <c r="B12" s="3163">
        <v>15</v>
      </c>
      <c r="C12" s="3274"/>
      <c r="D12" s="3276"/>
      <c r="E12" s="140" t="s">
        <v>2130</v>
      </c>
      <c r="F12" s="2425"/>
      <c r="G12" s="2425"/>
      <c r="H12" s="2425"/>
      <c r="I12" s="1829"/>
    </row>
    <row r="13" spans="1:12" ht="12.75">
      <c r="A13" s="3273"/>
      <c r="B13" s="3163"/>
      <c r="C13" s="3275"/>
      <c r="D13" s="3276"/>
      <c r="E13" s="140" t="s">
        <v>2131</v>
      </c>
      <c r="F13" s="2425"/>
      <c r="G13" s="2425"/>
      <c r="H13" s="2425"/>
      <c r="I13" s="1829"/>
    </row>
    <row r="14" spans="1:12" ht="12.75">
      <c r="A14" s="3273" t="s">
        <v>2132</v>
      </c>
      <c r="B14" s="3163">
        <v>30</v>
      </c>
      <c r="C14" s="3274">
        <v>5</v>
      </c>
      <c r="D14" s="3276">
        <v>5</v>
      </c>
      <c r="E14" s="140" t="s">
        <v>2133</v>
      </c>
      <c r="F14" s="2425"/>
      <c r="G14" s="2425"/>
      <c r="H14" s="2425"/>
      <c r="I14" s="1829"/>
    </row>
    <row r="15" spans="1:12" ht="12.75">
      <c r="A15" s="3273"/>
      <c r="B15" s="3163"/>
      <c r="C15" s="3277"/>
      <c r="D15" s="3276"/>
      <c r="E15" s="140" t="s">
        <v>2134</v>
      </c>
      <c r="F15" s="2425"/>
      <c r="G15" s="2425"/>
      <c r="H15" s="2425"/>
      <c r="I15" s="1829"/>
    </row>
    <row r="16" spans="1:12" ht="12.75">
      <c r="A16" s="3273"/>
      <c r="B16" s="3163"/>
      <c r="C16" s="3275"/>
      <c r="D16" s="3276"/>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116.2</v>
      </c>
      <c r="M18" s="2424">
        <f>IF(C1="",'数据-汇总表'!E3,SUMIF(项目类型,C1,'数据-汇总表'!E17:E26))</f>
        <v>116.2</v>
      </c>
    </row>
    <row r="19" spans="1:35" ht="15">
      <c r="A19" s="2430" t="s">
        <v>2141</v>
      </c>
      <c r="B19" s="2431" t="s">
        <v>2142</v>
      </c>
      <c r="C19" s="143">
        <f ca="1">SUMIF(INDIRECT("'"&amp;C4&amp;"'"&amp;"!A:A"),'结果表（典型户型价值）'!B19,INDIRECT("'"&amp;C4&amp;"'"&amp;"!B:B"))</f>
        <v>385</v>
      </c>
      <c r="D19" s="144">
        <f ca="1">SUMIF(INDIRECT("'"&amp;D4&amp;"'"&amp;"!A:A"),'结果表（典型户型价值）'!B19,INDIRECT("'"&amp;D4&amp;"'"&amp;"!B:B"))</f>
        <v>385</v>
      </c>
      <c r="E19" s="2430" t="s">
        <v>2143</v>
      </c>
      <c r="F19" s="2431" t="s">
        <v>2142</v>
      </c>
      <c r="G19" s="145">
        <f ca="1">ROUND(C19*$C$18+D19*$D$18,0)</f>
        <v>385</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SUMIF(INDIRECT("'"&amp;C4&amp;"'"&amp;"!A:A"),'结果表（典型户型价值）'!B20,INDIRECT("'"&amp;C4&amp;"'"&amp;"!B:B"))</f>
        <v>33169</v>
      </c>
      <c r="D20" s="147">
        <f ca="1">SUMIF(INDIRECT("'"&amp;D4&amp;"'"&amp;"!A:A"),'结果表（典型户型价值）'!B20,INDIRECT("'"&amp;D4&amp;"'"&amp;"!B:B"))</f>
        <v>33147</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61" t="s">
        <v>2150</v>
      </c>
      <c r="B24" s="2431" t="s">
        <v>2142</v>
      </c>
      <c r="C24" s="145">
        <f>IF(B30=0,0,D30)</f>
        <v>0</v>
      </c>
      <c r="D24" s="2438"/>
      <c r="E24" s="138"/>
      <c r="F24" s="138"/>
      <c r="G24" s="138"/>
      <c r="H24" s="138"/>
      <c r="I24" s="138"/>
    </row>
    <row r="25" spans="1:35" ht="14.25">
      <c r="A25" s="3262"/>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385</v>
      </c>
      <c r="D32" s="2445" t="s">
        <v>2157</v>
      </c>
      <c r="E32" s="138"/>
      <c r="F32" s="138"/>
      <c r="G32" s="138"/>
      <c r="H32" s="138"/>
      <c r="I32" s="138"/>
    </row>
    <row r="33" spans="1:15" ht="15">
      <c r="A33" s="957" t="s">
        <v>2158</v>
      </c>
      <c r="B33" s="2446"/>
      <c r="C33" s="2447" t="s">
        <v>3147</v>
      </c>
      <c r="D33" s="2448" t="s">
        <v>3054</v>
      </c>
      <c r="E33" s="2449" t="s">
        <v>2159</v>
      </c>
      <c r="F33" s="2450" t="str">
        <f>IF(D32="楼面单价","取值（单价）","取值（总价）")</f>
        <v>取值（总价）</v>
      </c>
      <c r="G33" s="138"/>
      <c r="H33" s="138"/>
      <c r="I33" s="138"/>
    </row>
    <row r="34" spans="1:15" ht="15">
      <c r="A34" s="2451"/>
      <c r="B34" s="2452" t="s">
        <v>2160</v>
      </c>
      <c r="C34" s="157">
        <f ca="1">IF(C33="自定义",F34,C32-C35)</f>
        <v>300</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85</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63" t="s">
        <v>2164</v>
      </c>
      <c r="B36" s="2457" t="s">
        <v>2165</v>
      </c>
      <c r="C36" s="154">
        <v>1900</v>
      </c>
      <c r="D36" s="2458" t="s">
        <v>3148</v>
      </c>
      <c r="E36" s="2459"/>
      <c r="F36" s="2460"/>
      <c r="G36" s="138"/>
      <c r="H36" s="138"/>
      <c r="I36" s="138"/>
    </row>
    <row r="37" spans="1:15" ht="15.75" thickBot="1">
      <c r="A37" s="3264"/>
      <c r="B37" s="2264" t="s">
        <v>2166</v>
      </c>
      <c r="C37" s="156"/>
      <c r="D37" s="1391"/>
      <c r="E37" s="1391"/>
      <c r="F37" s="2460"/>
      <c r="G37" s="138"/>
      <c r="H37" s="138"/>
      <c r="I37" s="138"/>
    </row>
    <row r="38" spans="1:15" ht="15.75" thickBot="1">
      <c r="A38" s="3265"/>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66" t="s">
        <v>2178</v>
      </c>
      <c r="B45" s="3267"/>
      <c r="C45" s="3268"/>
      <c r="D45" s="3032">
        <v>4315</v>
      </c>
      <c r="E45" s="165" t="s">
        <v>2179</v>
      </c>
      <c r="F45" s="166">
        <v>0.6</v>
      </c>
      <c r="G45" s="167" t="s">
        <v>2180</v>
      </c>
      <c r="H45" s="138"/>
      <c r="I45" s="138"/>
      <c r="J45" s="3254" t="s">
        <v>2181</v>
      </c>
      <c r="K45" s="3254"/>
      <c r="L45" s="3254"/>
      <c r="M45" s="3254"/>
      <c r="N45" s="3254"/>
      <c r="O45" s="3254"/>
    </row>
    <row r="46" spans="1:15" ht="14.25" customHeight="1">
      <c r="A46" s="3269" t="s">
        <v>2182</v>
      </c>
      <c r="B46" s="3270"/>
      <c r="C46" s="3270"/>
      <c r="D46" s="3270"/>
      <c r="E46" s="3270"/>
      <c r="F46" s="3270"/>
      <c r="G46" s="3271"/>
      <c r="H46" s="2476"/>
      <c r="I46" s="168"/>
      <c r="J46" s="1807">
        <v>1</v>
      </c>
      <c r="K46" s="3254" t="s">
        <v>2183</v>
      </c>
      <c r="L46" s="3254"/>
      <c r="M46" s="3272"/>
      <c r="N46" s="3272"/>
      <c r="O46" s="3272"/>
    </row>
    <row r="47" spans="1:15" ht="12" customHeight="1">
      <c r="A47" s="169" t="s">
        <v>2184</v>
      </c>
      <c r="B47" s="170"/>
      <c r="C47" s="171"/>
      <c r="D47" s="172" t="s">
        <v>2185</v>
      </c>
      <c r="E47" s="24" t="s">
        <v>2186</v>
      </c>
      <c r="F47" s="173" t="s">
        <v>2187</v>
      </c>
      <c r="G47" s="174" t="s">
        <v>2188</v>
      </c>
      <c r="H47" s="2476"/>
      <c r="I47" s="168"/>
      <c r="J47" s="1807">
        <v>2</v>
      </c>
      <c r="K47" s="3254" t="s">
        <v>2189</v>
      </c>
      <c r="L47" s="3254"/>
      <c r="M47" s="3255">
        <f>'数据-取费表'!B2</f>
        <v>43444</v>
      </c>
      <c r="N47" s="3255"/>
      <c r="O47" s="3255"/>
    </row>
    <row r="48" spans="1:15" ht="25.5">
      <c r="A48" s="3256" t="s">
        <v>2190</v>
      </c>
      <c r="B48" s="3251"/>
      <c r="C48" s="3251"/>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3185</v>
      </c>
      <c r="I48" s="2476"/>
      <c r="J48" s="1807">
        <v>3</v>
      </c>
      <c r="K48" s="3254" t="s">
        <v>2191</v>
      </c>
      <c r="L48" s="3254"/>
      <c r="M48" s="3257">
        <f ca="1">H101</f>
        <v>385</v>
      </c>
      <c r="N48" s="3257"/>
      <c r="O48" s="3257"/>
    </row>
    <row r="49" spans="1:35" ht="25.5" customHeight="1">
      <c r="A49" s="176" t="s">
        <v>2192</v>
      </c>
      <c r="B49" s="3231" t="s">
        <v>2193</v>
      </c>
      <c r="C49" s="3231"/>
      <c r="D49" s="177">
        <v>0</v>
      </c>
      <c r="E49" s="23" t="s">
        <v>2194</v>
      </c>
      <c r="F49" s="28" t="s">
        <v>34</v>
      </c>
      <c r="G49" s="3258"/>
      <c r="H49" s="138"/>
      <c r="I49" s="2478"/>
      <c r="J49" s="1807">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385</v>
      </c>
      <c r="N49" s="3257"/>
      <c r="O49" s="3257"/>
    </row>
    <row r="50" spans="1:35" ht="25.5" customHeight="1">
      <c r="A50" s="178"/>
      <c r="B50" s="3231" t="s">
        <v>2195</v>
      </c>
      <c r="C50" s="3231"/>
      <c r="D50" s="179"/>
      <c r="E50" s="31"/>
      <c r="F50" s="180"/>
      <c r="G50" s="3259"/>
      <c r="H50" s="138"/>
      <c r="I50" s="2478"/>
      <c r="J50" s="3254" t="s">
        <v>2196</v>
      </c>
      <c r="K50" s="3254"/>
      <c r="L50" s="3254"/>
      <c r="M50" s="3254"/>
      <c r="N50" s="3254"/>
      <c r="O50" s="3254"/>
    </row>
    <row r="51" spans="1:35" ht="12" customHeight="1">
      <c r="A51" s="181"/>
      <c r="B51" s="3231" t="s">
        <v>2197</v>
      </c>
      <c r="C51" s="3231"/>
      <c r="D51" s="182"/>
      <c r="E51" s="30"/>
      <c r="F51" s="180"/>
      <c r="G51" s="3260"/>
      <c r="H51" s="138"/>
      <c r="I51" s="2478"/>
      <c r="J51" s="2479" t="s">
        <v>2198</v>
      </c>
      <c r="K51" s="3254" t="s">
        <v>2199</v>
      </c>
      <c r="L51" s="3254"/>
      <c r="M51" s="2479" t="s">
        <v>2200</v>
      </c>
      <c r="N51" s="2479" t="s">
        <v>2201</v>
      </c>
      <c r="O51" s="2479" t="s">
        <v>2202</v>
      </c>
    </row>
    <row r="52" spans="1:35" ht="24" customHeight="1">
      <c r="A52" s="183" t="s">
        <v>2203</v>
      </c>
      <c r="B52" s="3231" t="s">
        <v>2204</v>
      </c>
      <c r="C52" s="3231"/>
      <c r="D52" s="182">
        <f>ROUND(D45*'数据-取费表'!B41/(1+'数据-取费表'!C42),0)</f>
        <v>230</v>
      </c>
      <c r="E52" s="11" t="s">
        <v>2205</v>
      </c>
      <c r="F52" s="184">
        <f>'数据-取费表'!B41</f>
        <v>5.6000000000000001E-2</v>
      </c>
      <c r="G52" s="2480"/>
      <c r="H52" s="138"/>
      <c r="I52" s="2478"/>
      <c r="J52" s="1807">
        <v>1</v>
      </c>
      <c r="K52" s="3238" t="s">
        <v>2206</v>
      </c>
      <c r="L52" s="3238"/>
      <c r="M52" s="1750">
        <f>D48</f>
        <v>230</v>
      </c>
      <c r="N52" s="1807" t="str">
        <f>E48</f>
        <v>(销售额-原购置价)×税（费）率</v>
      </c>
      <c r="O52" s="1751">
        <f>F48</f>
        <v>5.6000000000000001E-2</v>
      </c>
    </row>
    <row r="53" spans="1:35" ht="12" customHeight="1">
      <c r="A53" s="183" t="s">
        <v>2207</v>
      </c>
      <c r="B53" s="3230" t="s">
        <v>2208</v>
      </c>
      <c r="C53" s="3249"/>
      <c r="D53" s="182">
        <f>ROUND(D45*'数据-取费表'!B41/(1+'数据-取费表'!C42),0)</f>
        <v>230</v>
      </c>
      <c r="E53" s="11" t="s">
        <v>2205</v>
      </c>
      <c r="F53" s="184">
        <f>'数据-取费表'!B41</f>
        <v>5.6000000000000001E-2</v>
      </c>
      <c r="G53" s="2480"/>
      <c r="H53" s="138"/>
      <c r="I53" s="2478"/>
      <c r="J53" s="1807">
        <v>2</v>
      </c>
      <c r="K53" s="3238" t="s">
        <v>2209</v>
      </c>
      <c r="L53" s="3238"/>
      <c r="M53" s="1750">
        <f t="shared" ref="M53:O54" si="0">D55</f>
        <v>2</v>
      </c>
      <c r="N53" s="1807" t="str">
        <f t="shared" si="0"/>
        <v>销售额×税（费）率</v>
      </c>
      <c r="O53" s="1751">
        <f t="shared" si="0"/>
        <v>5.0000000000000001E-4</v>
      </c>
    </row>
    <row r="54" spans="1:35" ht="12" customHeight="1">
      <c r="A54" s="183" t="s">
        <v>2210</v>
      </c>
      <c r="B54" s="3230" t="s">
        <v>2211</v>
      </c>
      <c r="C54" s="3249"/>
      <c r="D54" s="182">
        <f>C68</f>
        <v>230</v>
      </c>
      <c r="E54" s="30" t="s">
        <v>2212</v>
      </c>
      <c r="F54" s="184">
        <f>'数据-取费表'!B41</f>
        <v>5.6000000000000001E-2</v>
      </c>
      <c r="G54" s="2480"/>
      <c r="H54" s="2481"/>
      <c r="I54" s="2478"/>
      <c r="J54" s="1807">
        <v>3</v>
      </c>
      <c r="K54" s="3238" t="s">
        <v>2213</v>
      </c>
      <c r="L54" s="3238"/>
      <c r="M54" s="1750">
        <f t="shared" si="0"/>
        <v>1365</v>
      </c>
      <c r="N54" s="1807" t="str">
        <f t="shared" si="0"/>
        <v>增值额×税（费）率</v>
      </c>
      <c r="O54" s="1752" t="str">
        <f t="shared" si="0"/>
        <v>——</v>
      </c>
    </row>
    <row r="55" spans="1:35" ht="24" customHeight="1">
      <c r="A55" s="3250" t="s">
        <v>2214</v>
      </c>
      <c r="B55" s="3251"/>
      <c r="C55" s="3251"/>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238" t="str">
        <f>IF(H59="非个人房产","——","个人所得税")</f>
        <v>个人所得税</v>
      </c>
      <c r="L55" s="3238"/>
      <c r="M55" s="1753">
        <f>D59</f>
        <v>43</v>
      </c>
      <c r="N55" s="1805" t="str">
        <f>E59</f>
        <v>销售额×税（费）率</v>
      </c>
      <c r="O55" s="1754">
        <f>F59</f>
        <v>0.01</v>
      </c>
    </row>
    <row r="56" spans="1:35" ht="24.75">
      <c r="A56" s="3250" t="s">
        <v>2217</v>
      </c>
      <c r="B56" s="3251"/>
      <c r="C56" s="3251"/>
      <c r="D56" s="185">
        <f>IF(H56="个人住宅",D57,D58)</f>
        <v>1365</v>
      </c>
      <c r="E56" s="11" t="s">
        <v>2218</v>
      </c>
      <c r="F56" s="184" t="str">
        <f>IF(H56="正常",F58,"免征")</f>
        <v>——</v>
      </c>
      <c r="G56" s="2482" t="s">
        <v>2219</v>
      </c>
      <c r="H56" s="2483" t="s">
        <v>2216</v>
      </c>
      <c r="I56" s="2484"/>
      <c r="J56" s="1807" t="str">
        <f>IF(项目基本情况!K6="上海银行",IF(J55="",4,J55+1),"")</f>
        <v/>
      </c>
      <c r="K56" s="3252" t="str">
        <f>IF(项目基本情况!K6="上海银行","其他处置费用","")</f>
        <v/>
      </c>
      <c r="L56" s="3253"/>
      <c r="M56" s="1750" t="str">
        <f>IF(项目基本情况!K6="上海银行",M69,"")</f>
        <v/>
      </c>
      <c r="N56" s="3240" t="str">
        <f>IF(项目基本情况!K6="上海银行","包含处置中涉及的律师、诉讼、拍卖、评估等费用","")</f>
        <v/>
      </c>
      <c r="O56" s="3241"/>
    </row>
    <row r="57" spans="1:35" ht="12.75">
      <c r="A57" s="183" t="s">
        <v>2192</v>
      </c>
      <c r="B57" s="3242" t="s">
        <v>2220</v>
      </c>
      <c r="C57" s="3243"/>
      <c r="D57" s="187">
        <v>0</v>
      </c>
      <c r="E57" s="23" t="s">
        <v>2194</v>
      </c>
      <c r="F57" s="155"/>
      <c r="G57" s="2480"/>
      <c r="H57" s="2484"/>
      <c r="I57" s="2484"/>
      <c r="J57" s="3238">
        <f>IF(AND(J55="",J56=""),4,IF(项目基本情况!K6="上海银行",'结果表（典型户型价值）'!J56+1,'结果表（典型户型价值）'!J55+1))</f>
        <v>5</v>
      </c>
      <c r="K57" s="3238" t="s">
        <v>2221</v>
      </c>
      <c r="L57" s="2485" t="s">
        <v>2222</v>
      </c>
      <c r="M57" s="1755"/>
      <c r="N57" s="1756">
        <f>SUMIF(M52:M56,"&lt;9e307")</f>
        <v>1640</v>
      </c>
      <c r="O57" s="2486"/>
      <c r="P57" s="1749">
        <f ca="1">N57/M49</f>
        <v>4.2597402597402594</v>
      </c>
    </row>
    <row r="58" spans="1:35" ht="24.75">
      <c r="A58" s="183" t="s">
        <v>2203</v>
      </c>
      <c r="B58" s="3242" t="s">
        <v>2223</v>
      </c>
      <c r="C58" s="3244"/>
      <c r="D58" s="185">
        <f>IF(H58="转让取得",C81,C97)</f>
        <v>1365</v>
      </c>
      <c r="E58" s="11" t="s">
        <v>2218</v>
      </c>
      <c r="F58" s="24" t="s">
        <v>34</v>
      </c>
      <c r="G58" s="2480"/>
      <c r="H58" s="2483" t="s">
        <v>3186</v>
      </c>
      <c r="I58" s="2484"/>
      <c r="J58" s="3238"/>
      <c r="K58" s="3238"/>
      <c r="L58" s="2485" t="s">
        <v>2224</v>
      </c>
      <c r="M58" s="1757"/>
      <c r="N58" s="2487" t="str">
        <f>NUMBERSTRING(INT(N57*10000),2)&amp;"元整"</f>
        <v>壹仟陆佰肆拾万元整</v>
      </c>
      <c r="O58" s="2488"/>
    </row>
    <row r="59" spans="1:35" ht="26.25" thickBot="1">
      <c r="A59" s="3245" t="s">
        <v>2225</v>
      </c>
      <c r="B59" s="3246"/>
      <c r="C59" s="3246"/>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47">
        <f>J57+1</f>
        <v>6</v>
      </c>
      <c r="K59" s="3238" t="s">
        <v>2226</v>
      </c>
      <c r="L59" s="1807" t="s">
        <v>2222</v>
      </c>
      <c r="M59" s="1758"/>
      <c r="N59" s="1759">
        <f ca="1">M49-N57</f>
        <v>-1255</v>
      </c>
      <c r="O59" s="2490"/>
    </row>
    <row r="60" spans="1:35" ht="12" customHeight="1">
      <c r="A60" s="2491"/>
      <c r="B60" s="2414"/>
      <c r="C60" s="2414"/>
      <c r="D60" s="2414"/>
      <c r="E60" s="2163"/>
      <c r="F60" s="2484"/>
      <c r="G60" s="2484"/>
      <c r="H60" s="2492"/>
      <c r="I60" s="138"/>
      <c r="J60" s="3248"/>
      <c r="K60" s="3238"/>
      <c r="L60" s="2485" t="s">
        <v>2224</v>
      </c>
      <c r="M60" s="1757"/>
      <c r="N60" s="2487" t="e">
        <f ca="1">NUMBERSTRING(INT(N59*10000),2)&amp;"元整"</f>
        <v>#NUM!</v>
      </c>
      <c r="O60" s="2488"/>
    </row>
    <row r="61" spans="1:35" ht="13.5" thickBot="1">
      <c r="A61" s="3237" t="s">
        <v>2227</v>
      </c>
      <c r="B61" s="3237"/>
      <c r="C61" s="3237"/>
      <c r="D61" s="3237"/>
      <c r="E61" s="3237"/>
      <c r="F61" s="2484"/>
      <c r="G61" s="2484"/>
      <c r="H61" s="2492"/>
      <c r="I61" s="138"/>
      <c r="J61" s="1807">
        <f>J59+1</f>
        <v>7</v>
      </c>
      <c r="K61" s="3238" t="s">
        <v>2228</v>
      </c>
      <c r="L61" s="3238"/>
      <c r="M61" s="1760"/>
      <c r="N61" s="1761">
        <f ca="1">ROUND(N59*10000/'数据-汇总表'!E3,0)</f>
        <v>-9908</v>
      </c>
      <c r="O61" s="2493"/>
    </row>
    <row r="62" spans="1:35" ht="12.75">
      <c r="A62" s="3235" t="s">
        <v>2229</v>
      </c>
      <c r="B62" s="3236"/>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39" t="s">
        <v>2233</v>
      </c>
      <c r="K63" s="2494" t="s">
        <v>2234</v>
      </c>
      <c r="L63" s="1748">
        <f ca="1">IF(M49&gt;10000,M49*0.5%,IF(AND(M49&gt;1000,M49&lt;=10000),M49*1%,IF(AND(M49&gt;100,M49&lt;=1000),M49*3%,IF(AND(M49&gt;10,M49&lt;=100),M49*5%,M49*8%))))</f>
        <v>11.549999999999999</v>
      </c>
      <c r="M63" s="24">
        <f ca="1">ROUND(L63,1)</f>
        <v>11.6</v>
      </c>
      <c r="Z63" s="2419"/>
      <c r="AI63" s="2420"/>
    </row>
    <row r="64" spans="1:35" ht="14.25" customHeight="1">
      <c r="A64" s="197" t="s">
        <v>770</v>
      </c>
      <c r="B64" s="198" t="s">
        <v>2235</v>
      </c>
      <c r="C64" s="199">
        <f>D45</f>
        <v>4315</v>
      </c>
      <c r="D64" s="200" t="s">
        <v>32</v>
      </c>
      <c r="E64" s="201"/>
      <c r="F64" s="2484"/>
      <c r="G64" s="2484"/>
      <c r="H64" s="2492"/>
      <c r="I64" s="138"/>
      <c r="J64" s="3239"/>
      <c r="K64" s="2494" t="s">
        <v>2236</v>
      </c>
      <c r="L64" s="1748">
        <f ca="1">IF(M49&gt;2000,M49*0.5%,IF(AND(M49&gt;1000,M49&lt;=2000),M49*0.6%,IF(AND(M49&gt;500,M49&lt;=1000),M49*0.7%,IF(AND(M49&gt;200,M49&lt;=500),M49*0.8%,IF(AND(M49&gt;100,M49&lt;=200),M49*0.9%,IF(AND(M49&gt;50,M49&lt;=100),M49*1%,IF(AND(M49&gt;20,M49&lt;=50),M49*1.5%,IF(AND(M49&gt;10,M49&lt;=20),M49*2%,IF(AND(M49&gt;1,M49&lt;=10),M49*2.5%)))))))))</f>
        <v>3.08</v>
      </c>
      <c r="M64" s="24">
        <f t="shared" ref="M64:M65" ca="1" si="1">ROUND(L64,1)</f>
        <v>3.1</v>
      </c>
      <c r="N64" s="138" t="s">
        <v>2237</v>
      </c>
      <c r="Z64" s="2419"/>
      <c r="AI64" s="2420"/>
    </row>
    <row r="65" spans="1:35" ht="14.25" customHeight="1">
      <c r="A65" s="197" t="s">
        <v>771</v>
      </c>
      <c r="B65" s="198" t="s">
        <v>2238</v>
      </c>
      <c r="C65" s="202"/>
      <c r="D65" s="200"/>
      <c r="E65" s="201"/>
      <c r="F65" s="2484"/>
      <c r="G65" s="2484"/>
      <c r="H65" s="2492"/>
      <c r="I65" s="138"/>
      <c r="J65" s="3239"/>
      <c r="K65" s="2494" t="s">
        <v>2239</v>
      </c>
      <c r="L65" s="1748">
        <f ca="1">IF(M49&gt;1000,M49*0.1%,IF(AND(M49&gt;500,M49&lt;=1000),M49*0.5%,IF(AND(M49&gt;50,M49&lt;=500),M49*1%,IF(AND(M49&gt;1,M49&lt;=50),M49*1.5%))))</f>
        <v>3.85</v>
      </c>
      <c r="M65" s="24">
        <f t="shared" ca="1" si="1"/>
        <v>3.9</v>
      </c>
      <c r="N65" s="138" t="s">
        <v>2237</v>
      </c>
      <c r="Z65" s="2419"/>
      <c r="AI65" s="2420"/>
    </row>
    <row r="66" spans="1:35" ht="14.25" customHeight="1">
      <c r="A66" s="203" t="s">
        <v>772</v>
      </c>
      <c r="B66" s="204" t="s">
        <v>2240</v>
      </c>
      <c r="C66" s="205"/>
      <c r="D66" s="206" t="s">
        <v>32</v>
      </c>
      <c r="E66" s="1771" t="s">
        <v>1367</v>
      </c>
      <c r="F66" s="2484"/>
      <c r="G66" s="2484"/>
      <c r="H66" s="2492"/>
      <c r="I66" s="138"/>
      <c r="J66" s="3239"/>
      <c r="K66" s="2494" t="s">
        <v>2241</v>
      </c>
      <c r="L66" s="1748">
        <f ca="1">M49*0.5%</f>
        <v>1.925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39"/>
      <c r="K67" s="2494" t="s">
        <v>2244</v>
      </c>
      <c r="L67" s="1748">
        <f ca="1">IF(M49&gt;=10000,(8.25+(M49-10000)*0.01%),IF(AND(M49&gt;=8000,M49&lt;10000),(7.85+(M49-8000)*0.02%),IF(AND(M49&gt;=5000,M49&lt;8000),(6.65+(M49-5000)*0.04%),IF(AND(M49&gt;=2000,M49&lt;5000),(4.25+(PM49-2000)*0.08%),IF(AND(M49&gt;=1000,M49&lt;2000),(2.75+(M49-1000)*0.15%),IF(AND(M49&gt;=100,M49&lt;1000),(0.5+(M49-100)*0.25%),IF(AND(M49&gt;0,M49&lt;100),M49*0.5%)))))))</f>
        <v>1.2124999999999999</v>
      </c>
      <c r="M67" s="24">
        <f ca="1">ROUND(L67*0.9,1)</f>
        <v>1.1000000000000001</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39"/>
      <c r="K68" s="2494" t="s">
        <v>2246</v>
      </c>
      <c r="L68" s="1748">
        <f ca="1">IF(M49&gt;10000,M49*0.5%,IF(AND(M49&gt;5000,M49&lt;=10000),M49*1%,IF(AND(M49&gt;1000,M49&lt;=5000),M49*2%,IF(AND(M49&gt;200,M49&lt;=1000),M49*3%,M49*5%))))</f>
        <v>11.549999999999999</v>
      </c>
      <c r="M68" s="24">
        <f ca="1">ROUND(L68,1)</f>
        <v>11.6</v>
      </c>
      <c r="Z68" s="2419"/>
      <c r="AI68" s="2420"/>
    </row>
    <row r="69" spans="1:35" s="2442" customFormat="1" ht="16.5" customHeight="1">
      <c r="A69" s="2495"/>
      <c r="B69" s="2496"/>
      <c r="C69" s="2497"/>
      <c r="D69" s="2498"/>
      <c r="E69" s="2499"/>
      <c r="F69" s="2163"/>
      <c r="G69" s="2163"/>
      <c r="H69" s="2162"/>
      <c r="I69" s="2414"/>
      <c r="J69" s="3239"/>
      <c r="K69" s="2494" t="s">
        <v>2247</v>
      </c>
      <c r="L69" s="2500"/>
      <c r="M69" s="24">
        <f ca="1">ROUND(SUM(M63:M68),0)</f>
        <v>32</v>
      </c>
      <c r="N69" s="1749">
        <f ca="1">M69/M49</f>
        <v>8.3116883116883117E-2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33" t="s">
        <v>2248</v>
      </c>
      <c r="B70" s="3234"/>
      <c r="C70" s="3234"/>
      <c r="D70" s="3234"/>
      <c r="E70" s="3234"/>
      <c r="F70" s="3234"/>
      <c r="G70" s="3234"/>
      <c r="H70" s="32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35" t="s">
        <v>2229</v>
      </c>
      <c r="B71" s="3236"/>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0" t="s">
        <v>2257</v>
      </c>
      <c r="F76" s="3231"/>
      <c r="G76" s="3231"/>
      <c r="H76" s="32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18" t="s">
        <v>2262</v>
      </c>
      <c r="F78" s="3219"/>
      <c r="G78" s="3219"/>
      <c r="H78" s="322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33" t="s">
        <v>2266</v>
      </c>
      <c r="B83" s="3234"/>
      <c r="C83" s="3234"/>
      <c r="D83" s="3234"/>
      <c r="E83" s="3234"/>
      <c r="F83" s="3234"/>
      <c r="G83" s="3234"/>
      <c r="H83" s="32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35" t="s">
        <v>2229</v>
      </c>
      <c r="B84" s="3236"/>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18" t="s">
        <v>2275</v>
      </c>
      <c r="F91" s="3219"/>
      <c r="G91" s="3219"/>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18" t="s">
        <v>2279</v>
      </c>
      <c r="F92" s="3219"/>
      <c r="G92" s="3219"/>
      <c r="H92" s="322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18" t="s">
        <v>2262</v>
      </c>
      <c r="F93" s="3219"/>
      <c r="G93" s="3219"/>
      <c r="H93" s="322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21" t="s">
        <v>2283</v>
      </c>
      <c r="F94" s="3222"/>
      <c r="G94" s="3222"/>
      <c r="H94" s="322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84" t="s">
        <v>2285</v>
      </c>
      <c r="B100" s="3185"/>
      <c r="C100" s="3185"/>
      <c r="D100" s="3224"/>
      <c r="E100" s="3185" t="s">
        <v>2286</v>
      </c>
      <c r="F100" s="3185"/>
      <c r="G100" s="3185"/>
      <c r="H100" s="3224"/>
      <c r="I100" s="138"/>
    </row>
    <row r="101" spans="1:35" ht="18.75" customHeight="1">
      <c r="A101" s="3225" t="s">
        <v>2287</v>
      </c>
      <c r="B101" s="3226"/>
      <c r="C101" s="733" t="str">
        <f>C4</f>
        <v>比较法-商业 (估价对象2)</v>
      </c>
      <c r="D101" s="734" t="str">
        <f>D4</f>
        <v>收益法 (元) (估价对象2)</v>
      </c>
      <c r="E101" s="3227" t="s">
        <v>2288</v>
      </c>
      <c r="F101" s="3209"/>
      <c r="G101" s="2515" t="s">
        <v>2289</v>
      </c>
      <c r="H101" s="1045">
        <f ca="1">H118</f>
        <v>385</v>
      </c>
      <c r="I101" s="138"/>
    </row>
    <row r="102" spans="1:35" ht="18.75" customHeight="1">
      <c r="A102" s="3206" t="s">
        <v>2290</v>
      </c>
      <c r="B102" s="2515" t="s">
        <v>2289</v>
      </c>
      <c r="C102" s="733">
        <f ca="1">C19</f>
        <v>385</v>
      </c>
      <c r="D102" s="734">
        <f ca="1">D19</f>
        <v>385</v>
      </c>
      <c r="E102" s="3227"/>
      <c r="F102" s="3209"/>
      <c r="G102" s="2515" t="s">
        <v>2291</v>
      </c>
      <c r="H102" s="371">
        <f ca="1">I118</f>
        <v>33133</v>
      </c>
      <c r="I102" s="138"/>
    </row>
    <row r="103" spans="1:35" ht="42.75" customHeight="1">
      <c r="A103" s="3206"/>
      <c r="B103" s="2515" t="s">
        <v>2291</v>
      </c>
      <c r="C103" s="735">
        <f ca="1">C20</f>
        <v>33169</v>
      </c>
      <c r="D103" s="736">
        <f ca="1">D20</f>
        <v>33147</v>
      </c>
      <c r="E103" s="3228" t="s">
        <v>2292</v>
      </c>
      <c r="F103" s="3229"/>
      <c r="G103" s="2516" t="s">
        <v>2293</v>
      </c>
      <c r="H103" s="1045">
        <f>IF(D36="正常操作",H104+H105+H106,H105+H106)</f>
        <v>0</v>
      </c>
      <c r="I103" s="138"/>
    </row>
    <row r="104" spans="1:35" ht="18.75" customHeight="1">
      <c r="A104" s="3206" t="s">
        <v>2294</v>
      </c>
      <c r="B104" s="2517" t="s">
        <v>2289</v>
      </c>
      <c r="C104" s="737">
        <f ca="1">H118</f>
        <v>385</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07"/>
      <c r="B105" s="2518" t="s">
        <v>2291</v>
      </c>
      <c r="C105" s="739">
        <f ca="1">I118</f>
        <v>33133</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08" t="str">
        <f>IF(项目基本情况!E8="已注销","——","3.房地产抵押价值")</f>
        <v>3.房地产抵押价值</v>
      </c>
      <c r="F107" s="3209"/>
      <c r="G107" s="2515" t="s">
        <v>2289</v>
      </c>
      <c r="H107" s="1045">
        <f ca="1">IF(E107="——","——",H101-H103)</f>
        <v>385</v>
      </c>
      <c r="I107" s="138"/>
    </row>
    <row r="108" spans="1:35" ht="18.75" customHeight="1">
      <c r="A108" s="138"/>
      <c r="B108" s="138"/>
      <c r="C108" s="138"/>
      <c r="D108" s="138"/>
      <c r="E108" s="3208"/>
      <c r="F108" s="3209"/>
      <c r="G108" s="2515" t="s">
        <v>2291</v>
      </c>
      <c r="H108" s="371">
        <f ca="1">ROUND(H107*10000/'数据-汇总表'!E3,0)</f>
        <v>3040</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4.抵押担保权已注销时的房地产抵押价值</v>
      </c>
      <c r="F109" s="3209"/>
      <c r="G109" s="2515" t="s">
        <v>2289</v>
      </c>
      <c r="H109" s="348">
        <f ca="1">IF(E109="——","——",H101-H105-H106)</f>
        <v>385</v>
      </c>
      <c r="I109" s="138"/>
    </row>
    <row r="110" spans="1:35" ht="18.75" customHeight="1">
      <c r="A110" s="138"/>
      <c r="B110" s="138"/>
      <c r="C110" s="138"/>
      <c r="D110" s="138"/>
      <c r="E110" s="3208"/>
      <c r="F110" s="3209"/>
      <c r="G110" s="2515" t="s">
        <v>2291</v>
      </c>
      <c r="H110" s="371">
        <f ca="1">IF(H109="——","——",ROUND(H109*10000/'数据-汇总表'!E3,0))</f>
        <v>3040</v>
      </c>
      <c r="I110" s="138"/>
    </row>
    <row r="111" spans="1:35" ht="18.75" customHeight="1">
      <c r="A111" s="138"/>
      <c r="B111" s="138"/>
      <c r="C111" s="138"/>
      <c r="D111" s="138"/>
      <c r="E111" s="3210" t="str">
        <f>IF(项目基本情况!E9="抵押净值",IF(OR(项目基本情况!E8="已注销",项目基本情况!E8="房地产抵押价值"),"4.抵押净值","5.抵押净值"),"——")</f>
        <v>——</v>
      </c>
      <c r="F111" s="3211"/>
      <c r="G111" s="2515" t="s">
        <v>2289</v>
      </c>
      <c r="H111" s="1045" t="str">
        <f>IF(E111="——","——",N59)</f>
        <v>——</v>
      </c>
      <c r="I111" s="138"/>
    </row>
    <row r="112" spans="1:35" ht="18.75" customHeight="1" thickBot="1">
      <c r="A112" s="138"/>
      <c r="B112" s="138"/>
      <c r="C112" s="138"/>
      <c r="D112" s="138"/>
      <c r="E112" s="3212"/>
      <c r="F112" s="3213"/>
      <c r="G112" s="2520" t="s">
        <v>2291</v>
      </c>
      <c r="H112" s="787" t="str">
        <f>IF(E111="——","——",N61)</f>
        <v>——</v>
      </c>
      <c r="I112" s="138"/>
    </row>
    <row r="113" spans="1:11" ht="18.75" customHeight="1">
      <c r="A113" s="138"/>
      <c r="B113" s="138"/>
      <c r="C113" s="138"/>
      <c r="D113" s="138"/>
      <c r="E113" s="3214" t="s">
        <v>2297</v>
      </c>
      <c r="F113" s="3214"/>
      <c r="G113" s="3214"/>
      <c r="H113" s="3214"/>
      <c r="I113" s="138"/>
    </row>
    <row r="114" spans="1:11" ht="3.75" customHeight="1">
      <c r="A114" s="2414"/>
      <c r="B114" s="2414"/>
      <c r="C114" s="2414"/>
      <c r="D114" s="2414"/>
      <c r="E114" s="2491"/>
      <c r="F114" s="2491"/>
      <c r="G114" s="2491"/>
      <c r="H114" s="2491"/>
      <c r="I114" s="2414"/>
    </row>
    <row r="115" spans="1:11" ht="18.75" customHeight="1">
      <c r="A115" s="3215" t="s">
        <v>2299</v>
      </c>
      <c r="B115" s="3216"/>
      <c r="C115" s="3216"/>
      <c r="D115" s="3216"/>
      <c r="E115" s="3216"/>
      <c r="F115" s="3216"/>
      <c r="G115" s="3216"/>
      <c r="H115" s="3216"/>
      <c r="I115" s="3217"/>
    </row>
    <row r="116" spans="1:11" ht="27" customHeight="1">
      <c r="A116" s="3163" t="s">
        <v>2300</v>
      </c>
      <c r="B116" s="3201" t="s">
        <v>2301</v>
      </c>
      <c r="C116" s="3201" t="s">
        <v>2302</v>
      </c>
      <c r="D116" s="3203" t="s">
        <v>2303</v>
      </c>
      <c r="E116" s="3204"/>
      <c r="F116" s="3205" t="s">
        <v>2304</v>
      </c>
      <c r="G116" s="3205"/>
      <c r="H116" s="3163" t="s">
        <v>2305</v>
      </c>
      <c r="I116" s="3163"/>
    </row>
    <row r="117" spans="1:11" ht="18.75" customHeight="1">
      <c r="A117" s="3163"/>
      <c r="B117" s="3202"/>
      <c r="C117" s="3202"/>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116.2</v>
      </c>
      <c r="C118" s="1793">
        <f>M19</f>
        <v>0</v>
      </c>
      <c r="D118" s="1793">
        <f ca="1">ROUND(IF(D32="总价",C34,E118*B118/10000),0)</f>
        <v>300</v>
      </c>
      <c r="E118" s="1793">
        <f ca="1">ROUND(IF(C33="自定义",IF(D32="楼面单价",C34,D118*10000/B118),I118-G118),0)</f>
        <v>25818</v>
      </c>
      <c r="F118" s="1793">
        <f ca="1">ROUND(IF(D32="总价",C35,G118*B118/10000),0)</f>
        <v>85</v>
      </c>
      <c r="G118" s="1793">
        <f ca="1">ROUND(IF(D32="楼面单价",C35,F118*10000/B118),0)</f>
        <v>7315</v>
      </c>
      <c r="H118" s="1793">
        <f ca="1">ROUND(IF(D32="总价",C32,I118*B118/10000),0)</f>
        <v>385</v>
      </c>
      <c r="I118" s="1793">
        <f ca="1">ROUND(IF(D32="楼面单价",C32,H118*10000/B118),0)</f>
        <v>33133</v>
      </c>
    </row>
    <row r="119" spans="1:11" ht="18.75" customHeight="1">
      <c r="A119" s="3163" t="s">
        <v>2309</v>
      </c>
      <c r="B119" s="3163"/>
      <c r="C119" s="3163"/>
      <c r="D119" s="3190" t="str">
        <f ca="1">NUMBERSTRING(INT(D118*10000),2)&amp;"元整"</f>
        <v>叁佰万元整</v>
      </c>
      <c r="E119" s="3192"/>
      <c r="F119" s="3190" t="str">
        <f ca="1">NUMBERSTRING(INT(F118*10000),2)&amp;"元整"</f>
        <v>捌拾伍万元整</v>
      </c>
      <c r="G119" s="3192"/>
      <c r="H119" s="3190" t="str">
        <f ca="1">NUMBERSTRING(INT(H118*10000),2)&amp;"元整"</f>
        <v>叁佰捌拾伍万元整</v>
      </c>
      <c r="I119" s="3192"/>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9" t="str">
        <f>IF(D120=0,"故，本次评估不存在"&amp;A120,"故，本次评估"&amp;A120&amp;"为人民币"&amp;D120&amp;"万元整。")</f>
        <v>故，本次评估不存在估价师知悉的法定优先受偿款</v>
      </c>
    </row>
    <row r="121" spans="1:11" ht="18.75" customHeight="1">
      <c r="A121" s="3198" t="s">
        <v>2309</v>
      </c>
      <c r="B121" s="3199"/>
      <c r="C121" s="3200"/>
      <c r="D121" s="3190" t="str">
        <f>IF(D120=0,"零元整",NUMBERSTRING(INT(D120*10000),2)&amp;"元整")</f>
        <v>零元整</v>
      </c>
      <c r="E121" s="3191"/>
      <c r="F121" s="3191"/>
      <c r="G121" s="3191"/>
      <c r="H121" s="3191"/>
      <c r="I121" s="3192"/>
    </row>
    <row r="122" spans="1:11" ht="18.75" customHeight="1">
      <c r="A122" s="3194" t="str">
        <f>IF(项目基本情况!B9="房地产市场价值","",MID(E107,3,LEN(E107)-2))</f>
        <v>房地产抵押价值</v>
      </c>
      <c r="B122" s="3194"/>
      <c r="C122" s="3194"/>
      <c r="D122" s="3195">
        <f ca="1">H107</f>
        <v>385</v>
      </c>
      <c r="E122" s="3196"/>
      <c r="F122" s="3196"/>
      <c r="G122" s="3196"/>
      <c r="H122" s="3196"/>
      <c r="I122" s="3197"/>
    </row>
    <row r="123" spans="1:11" ht="18.75" customHeight="1">
      <c r="A123" s="3163" t="s">
        <v>2309</v>
      </c>
      <c r="B123" s="3163"/>
      <c r="C123" s="3163"/>
      <c r="D123" s="3190" t="str">
        <f ca="1">NUMBERSTRING(INT(D122*10000),2)&amp;"元整"</f>
        <v>叁佰捌拾伍万元整</v>
      </c>
      <c r="E123" s="3191"/>
      <c r="F123" s="3191"/>
      <c r="G123" s="3191"/>
      <c r="H123" s="3191"/>
      <c r="I123" s="3192"/>
    </row>
    <row r="124" spans="1:11" ht="18.75" customHeight="1">
      <c r="A124" s="3194" t="str">
        <f>IF(项目基本情况!B9="房地产市场价值","",MID(E109,3,LEN(E109)-2))</f>
        <v>抵押担保权已注销时的房地产抵押价值</v>
      </c>
      <c r="B124" s="3194"/>
      <c r="C124" s="3194"/>
      <c r="D124" s="3195">
        <f ca="1">H109</f>
        <v>385</v>
      </c>
      <c r="E124" s="3196"/>
      <c r="F124" s="3196"/>
      <c r="G124" s="3196"/>
      <c r="H124" s="3196"/>
      <c r="I124" s="3197"/>
    </row>
    <row r="125" spans="1:11" ht="18.75" customHeight="1">
      <c r="A125" s="3163" t="s">
        <v>2309</v>
      </c>
      <c r="B125" s="3163"/>
      <c r="C125" s="3163"/>
      <c r="D125" s="3190" t="str">
        <f ca="1">NUMBERSTRING(INT(D124*10000),2)&amp;"元整"</f>
        <v>叁佰捌拾伍万元整</v>
      </c>
      <c r="E125" s="3191"/>
      <c r="F125" s="3191"/>
      <c r="G125" s="3191"/>
      <c r="H125" s="3191"/>
      <c r="I125" s="3192"/>
    </row>
    <row r="126" spans="1:11" ht="18.75" customHeight="1">
      <c r="A126" s="3194" t="str">
        <f>IF(项目基本情况!B9="房地产市场价值","",MID(E111,3,LEN(E111)-2))</f>
        <v/>
      </c>
      <c r="B126" s="3194"/>
      <c r="C126" s="3194"/>
      <c r="D126" s="3195" t="str">
        <f>H111</f>
        <v>——</v>
      </c>
      <c r="E126" s="3196"/>
      <c r="F126" s="3196"/>
      <c r="G126" s="3196"/>
      <c r="H126" s="3196"/>
      <c r="I126" s="3197"/>
    </row>
    <row r="127" spans="1:11" ht="18.75" customHeight="1">
      <c r="A127" s="3163" t="s">
        <v>2309</v>
      </c>
      <c r="B127" s="3163"/>
      <c r="C127" s="3163"/>
      <c r="D127" s="3190" t="e">
        <f>NUMBERSTRING(INT(D126*10000),2)&amp;"元整"</f>
        <v>#VALUE!</v>
      </c>
      <c r="E127" s="3191"/>
      <c r="F127" s="3191"/>
      <c r="G127" s="3191"/>
      <c r="H127" s="3191"/>
      <c r="I127" s="3192"/>
    </row>
    <row r="128" spans="1:11" ht="21.75" customHeight="1">
      <c r="A128" s="3193" t="s">
        <v>2310</v>
      </c>
      <c r="B128" s="3193"/>
      <c r="C128" s="3193"/>
      <c r="D128" s="3193"/>
      <c r="E128" s="3193"/>
      <c r="F128" s="3193"/>
      <c r="G128" s="3193"/>
      <c r="H128" s="3193"/>
      <c r="I128" s="3193"/>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 zoomScaleNormal="100" zoomScaleSheetLayoutView="90" workbookViewId="0">
      <selection activeCell="J59" sqref="J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88" t="s">
        <v>1399</v>
      </c>
      <c r="C6" s="1295">
        <f ca="1">ROUND(F6*F8*F7*(1-F9),0)</f>
        <v>227181</v>
      </c>
      <c r="D6" s="164" t="s">
        <v>3014</v>
      </c>
      <c r="E6" s="347" t="s">
        <v>1401</v>
      </c>
      <c r="F6" s="348">
        <f ca="1">INDIRECT("'数据-取费表'!u"&amp;$G$1)</f>
        <v>5.5</v>
      </c>
      <c r="G6" s="1849"/>
      <c r="H6" s="1290" t="s">
        <v>1032</v>
      </c>
      <c r="I6" s="3288" t="s">
        <v>1399</v>
      </c>
      <c r="J6" s="346">
        <f ca="1">ROUND(M6*M8*M7*(1-M9),0)</f>
        <v>0</v>
      </c>
      <c r="K6" s="1832" t="s">
        <v>3015</v>
      </c>
      <c r="L6" s="347" t="s">
        <v>1401</v>
      </c>
      <c r="M6" s="348">
        <f ca="1">INDIRECT("'数据-取费表'!z"&amp;$G$1)</f>
        <v>0</v>
      </c>
    </row>
    <row r="7" spans="1:37" ht="18" customHeight="1">
      <c r="A7" s="1294"/>
      <c r="B7" s="3289"/>
      <c r="C7" s="1296"/>
      <c r="D7" s="352"/>
      <c r="E7" s="1297" t="s">
        <v>1402</v>
      </c>
      <c r="F7" s="348">
        <f ca="1">IF(INDIRECT("'数据-取费表'!ah"&amp;$G$1)="",INDIRECT("'数据-取费表'!k"&amp;$G$1),INDIRECT("'数据-取费表'!ah"&amp;$G$1))</f>
        <v>125.74</v>
      </c>
      <c r="G7" s="1849"/>
      <c r="H7" s="349"/>
      <c r="I7" s="3289"/>
      <c r="J7" s="351"/>
      <c r="K7" s="352"/>
      <c r="L7" s="347" t="s">
        <v>1402</v>
      </c>
      <c r="M7" s="348">
        <f ca="1">F7</f>
        <v>125.74</v>
      </c>
    </row>
    <row r="8" spans="1:37" ht="18" customHeight="1">
      <c r="A8" s="349"/>
      <c r="B8" s="3289"/>
      <c r="C8" s="351"/>
      <c r="D8" s="352"/>
      <c r="E8" s="347" t="s">
        <v>1403</v>
      </c>
      <c r="F8" s="348">
        <f ca="1">INDIRECT("'数据-取费表'!ai"&amp;$G$1)</f>
        <v>365</v>
      </c>
      <c r="G8" s="1849"/>
      <c r="H8" s="349"/>
      <c r="I8" s="3289"/>
      <c r="J8" s="351"/>
      <c r="K8" s="352"/>
      <c r="L8" s="347" t="s">
        <v>1403</v>
      </c>
      <c r="M8" s="348">
        <f ca="1">INDIRECT("'数据-取费表'!ai"&amp;$G$1)</f>
        <v>365</v>
      </c>
    </row>
    <row r="9" spans="1:37" ht="18" customHeight="1">
      <c r="A9" s="349"/>
      <c r="B9" s="3290"/>
      <c r="C9" s="351"/>
      <c r="D9" s="352"/>
      <c r="E9" s="347" t="s">
        <v>1404</v>
      </c>
      <c r="F9" s="357">
        <f ca="1">INDIRECT("'数据-取费表'!w"&amp;$G$1)</f>
        <v>0.1</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86" t="s">
        <v>1544</v>
      </c>
      <c r="L53" s="3287"/>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802</v>
      </c>
      <c r="C2" s="2563" t="s">
        <v>2511</v>
      </c>
      <c r="D2" s="2564" t="s">
        <v>2512</v>
      </c>
      <c r="E2" s="2565">
        <f>SUM(E6:E13)</f>
        <v>1266.6500000000001</v>
      </c>
    </row>
    <row r="3" spans="1:6" ht="15.75">
      <c r="A3" s="2561" t="s">
        <v>1391</v>
      </c>
      <c r="B3" s="2562">
        <f ca="1">ROUND(B2*10000/E2,0)</f>
        <v>6332</v>
      </c>
      <c r="C3" s="2563" t="s">
        <v>2519</v>
      </c>
      <c r="D3" s="2566"/>
      <c r="E3" s="2567"/>
    </row>
    <row r="4" spans="1:6" ht="15.75">
      <c r="A4" s="2568"/>
      <c r="B4" s="2566"/>
      <c r="C4" s="2566"/>
      <c r="D4" s="2566"/>
      <c r="E4" s="2567"/>
    </row>
    <row r="5" spans="1:6" ht="15">
      <c r="A5" s="2569" t="s">
        <v>2513</v>
      </c>
      <c r="B5" s="3291" t="s">
        <v>2514</v>
      </c>
      <c r="C5" s="3291"/>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1024.71</v>
      </c>
      <c r="F7" s="2575" t="s">
        <v>2517</v>
      </c>
    </row>
    <row r="8" spans="1:6">
      <c r="A8" s="2573" t="str">
        <f>'数据-取费表'!AN8</f>
        <v>收益法 (元) (估价对象2)</v>
      </c>
      <c r="B8" s="2572">
        <f ca="1">IF(F8="是",'数据-取费表'!AO8,0)</f>
        <v>385</v>
      </c>
      <c r="C8" s="2563" t="s">
        <v>2511</v>
      </c>
      <c r="D8" s="2566"/>
      <c r="E8" s="2574">
        <f>IF(OR(A8=0,F8="否"),0,'数据-取费表'!K8+'数据-取费表'!S8)</f>
        <v>116.2</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2" t="s">
        <v>1073</v>
      </c>
      <c r="B1" s="3293"/>
      <c r="C1" s="3294"/>
      <c r="D1" s="3295">
        <f>SUM(I10,I15,I20,I21,I23)</f>
        <v>0</v>
      </c>
      <c r="E1" s="3295"/>
      <c r="F1" s="3295"/>
      <c r="G1" s="3295"/>
      <c r="H1" s="3295"/>
      <c r="I1" s="3296"/>
    </row>
    <row r="2" spans="1:9">
      <c r="A2" s="3297" t="s">
        <v>1074</v>
      </c>
      <c r="B2" s="3298" t="s">
        <v>1075</v>
      </c>
      <c r="C2" s="3298"/>
      <c r="D2" s="1300" t="s">
        <v>1076</v>
      </c>
      <c r="E2" s="1300" t="s">
        <v>1077</v>
      </c>
      <c r="F2" s="1300" t="s">
        <v>1078</v>
      </c>
      <c r="G2" s="1300" t="s">
        <v>1079</v>
      </c>
      <c r="H2" s="1300" t="s">
        <v>1080</v>
      </c>
      <c r="I2" s="1301" t="s">
        <v>1081</v>
      </c>
    </row>
    <row r="3" spans="1:9">
      <c r="A3" s="3297"/>
      <c r="B3" s="3298" t="s">
        <v>1082</v>
      </c>
      <c r="C3" s="3298"/>
      <c r="D3" s="1302"/>
      <c r="E3" s="1300"/>
      <c r="F3" s="1303"/>
      <c r="G3" s="1303"/>
      <c r="H3" s="1304"/>
      <c r="I3" s="1305">
        <f>ROUND(D3*E3*F3*G3*H3/10000,0)</f>
        <v>0</v>
      </c>
    </row>
    <row r="4" spans="1:9">
      <c r="A4" s="3297"/>
      <c r="B4" s="3298" t="s">
        <v>1083</v>
      </c>
      <c r="C4" s="3298"/>
      <c r="D4" s="1302"/>
      <c r="E4" s="1300"/>
      <c r="F4" s="1303"/>
      <c r="G4" s="1303"/>
      <c r="H4" s="1304"/>
      <c r="I4" s="1305">
        <f t="shared" ref="I4:I9" si="0">ROUND(D4*E4*F4*G4*H4/10000,0)</f>
        <v>0</v>
      </c>
    </row>
    <row r="5" spans="1:9">
      <c r="A5" s="3297"/>
      <c r="B5" s="3298" t="s">
        <v>1084</v>
      </c>
      <c r="C5" s="3298"/>
      <c r="D5" s="1302"/>
      <c r="E5" s="1300"/>
      <c r="F5" s="1303"/>
      <c r="G5" s="1303"/>
      <c r="H5" s="1304"/>
      <c r="I5" s="1305">
        <f t="shared" si="0"/>
        <v>0</v>
      </c>
    </row>
    <row r="6" spans="1:9">
      <c r="A6" s="3297"/>
      <c r="B6" s="3298" t="s">
        <v>1085</v>
      </c>
      <c r="C6" s="3298"/>
      <c r="D6" s="1302"/>
      <c r="E6" s="1300"/>
      <c r="F6" s="1303"/>
      <c r="G6" s="1303"/>
      <c r="H6" s="1304"/>
      <c r="I6" s="1305">
        <f t="shared" si="0"/>
        <v>0</v>
      </c>
    </row>
    <row r="7" spans="1:9">
      <c r="A7" s="3297"/>
      <c r="B7" s="3298" t="s">
        <v>1086</v>
      </c>
      <c r="C7" s="3298"/>
      <c r="D7" s="1302"/>
      <c r="E7" s="1300"/>
      <c r="F7" s="1303"/>
      <c r="G7" s="1303"/>
      <c r="H7" s="1304"/>
      <c r="I7" s="1305">
        <f t="shared" si="0"/>
        <v>0</v>
      </c>
    </row>
    <row r="8" spans="1:9">
      <c r="A8" s="3297"/>
      <c r="B8" s="3298" t="s">
        <v>1087</v>
      </c>
      <c r="C8" s="3298"/>
      <c r="D8" s="1302"/>
      <c r="E8" s="1300"/>
      <c r="F8" s="1303"/>
      <c r="G8" s="1303"/>
      <c r="H8" s="1304"/>
      <c r="I8" s="1305">
        <f t="shared" si="0"/>
        <v>0</v>
      </c>
    </row>
    <row r="9" spans="1:9">
      <c r="A9" s="3297"/>
      <c r="B9" s="3298" t="s">
        <v>1088</v>
      </c>
      <c r="C9" s="3298"/>
      <c r="D9" s="1302"/>
      <c r="E9" s="1300"/>
      <c r="F9" s="1303"/>
      <c r="G9" s="1303"/>
      <c r="H9" s="1304"/>
      <c r="I9" s="1305">
        <f t="shared" si="0"/>
        <v>0</v>
      </c>
    </row>
    <row r="10" spans="1:9">
      <c r="A10" s="3297"/>
      <c r="B10" s="3299" t="s">
        <v>1089</v>
      </c>
      <c r="C10" s="3299"/>
      <c r="D10" s="1306"/>
      <c r="E10" s="1306" t="e">
        <f>ROUND(D1*10000/D10/H9,0)</f>
        <v>#DIV/0!</v>
      </c>
      <c r="F10" s="1307"/>
      <c r="G10" s="1307"/>
      <c r="H10" s="1308"/>
      <c r="I10" s="1309">
        <f>SUM(I3:I9)</f>
        <v>0</v>
      </c>
    </row>
    <row r="11" spans="1:9" ht="14.25">
      <c r="A11" s="3297" t="s">
        <v>1090</v>
      </c>
      <c r="B11" s="3298" t="s">
        <v>1091</v>
      </c>
      <c r="C11" s="3298"/>
      <c r="D11" s="1302" t="s">
        <v>1092</v>
      </c>
      <c r="E11" s="1302" t="s">
        <v>1093</v>
      </c>
      <c r="F11" s="1303" t="s">
        <v>1094</v>
      </c>
      <c r="G11" s="1303" t="s">
        <v>1080</v>
      </c>
      <c r="H11" s="1310" t="s">
        <v>1095</v>
      </c>
      <c r="I11" s="1301" t="s">
        <v>1081</v>
      </c>
    </row>
    <row r="12" spans="1:9">
      <c r="A12" s="3297"/>
      <c r="B12" s="3298" t="s">
        <v>1096</v>
      </c>
      <c r="C12" s="3298"/>
      <c r="D12" s="1302"/>
      <c r="E12" s="1302"/>
      <c r="F12" s="1303"/>
      <c r="G12" s="1304"/>
      <c r="H12" s="1311"/>
      <c r="I12" s="1301">
        <f>ROUND(D12*E12*F12*G12/10000,0)</f>
        <v>0</v>
      </c>
    </row>
    <row r="13" spans="1:9">
      <c r="A13" s="3297"/>
      <c r="B13" s="3298" t="s">
        <v>1097</v>
      </c>
      <c r="C13" s="3298"/>
      <c r="D13" s="1302"/>
      <c r="E13" s="1302"/>
      <c r="F13" s="1303"/>
      <c r="G13" s="1304"/>
      <c r="H13" s="1311"/>
      <c r="I13" s="1301">
        <f>ROUND(D13*E13*F13*G13/10000,0)</f>
        <v>0</v>
      </c>
    </row>
    <row r="14" spans="1:9">
      <c r="A14" s="3297"/>
      <c r="B14" s="3298" t="s">
        <v>1098</v>
      </c>
      <c r="C14" s="3298"/>
      <c r="D14" s="1302"/>
      <c r="E14" s="1302"/>
      <c r="F14" s="1303"/>
      <c r="G14" s="1304"/>
      <c r="H14" s="1311"/>
      <c r="I14" s="1301">
        <f>ROUND(D14*E14*F14*G14/10000,0)</f>
        <v>0</v>
      </c>
    </row>
    <row r="15" spans="1:9">
      <c r="A15" s="3297"/>
      <c r="B15" s="3299" t="s">
        <v>1089</v>
      </c>
      <c r="C15" s="3299"/>
      <c r="D15" s="1306"/>
      <c r="E15" s="1306">
        <f>SUM(E12:E14)</f>
        <v>0</v>
      </c>
      <c r="F15" s="1307"/>
      <c r="G15" s="1304"/>
      <c r="H15" s="1311"/>
      <c r="I15" s="1312">
        <f>SUM(I12:I14)</f>
        <v>0</v>
      </c>
    </row>
    <row r="16" spans="1:9" ht="24">
      <c r="A16" s="3297" t="s">
        <v>1099</v>
      </c>
      <c r="B16" s="3298" t="s">
        <v>1100</v>
      </c>
      <c r="C16" s="3298"/>
      <c r="D16" s="1302" t="s">
        <v>1076</v>
      </c>
      <c r="E16" s="1313" t="s">
        <v>1101</v>
      </c>
      <c r="F16" s="1303" t="s">
        <v>1102</v>
      </c>
      <c r="G16" s="1304" t="s">
        <v>1080</v>
      </c>
      <c r="H16" s="1310" t="s">
        <v>1095</v>
      </c>
      <c r="I16" s="1301" t="s">
        <v>1081</v>
      </c>
    </row>
    <row r="17" spans="1:9" ht="14.25">
      <c r="A17" s="3297"/>
      <c r="B17" s="3298" t="s">
        <v>1103</v>
      </c>
      <c r="C17" s="3298"/>
      <c r="D17" s="1302"/>
      <c r="E17" s="1302"/>
      <c r="F17" s="1303"/>
      <c r="G17" s="1304"/>
      <c r="H17" s="1314"/>
      <c r="I17" s="1315">
        <f>ROUND(D17*E17*F17*G17/10000,0)</f>
        <v>0</v>
      </c>
    </row>
    <row r="18" spans="1:9" ht="14.25">
      <c r="A18" s="3297"/>
      <c r="B18" s="3298" t="s">
        <v>1104</v>
      </c>
      <c r="C18" s="3298"/>
      <c r="D18" s="1302"/>
      <c r="E18" s="1302"/>
      <c r="F18" s="1303"/>
      <c r="G18" s="1304"/>
      <c r="H18" s="1314"/>
      <c r="I18" s="1315">
        <f>ROUND(D18*E18*F18*G18/10000,0)</f>
        <v>0</v>
      </c>
    </row>
    <row r="19" spans="1:9" ht="14.25">
      <c r="A19" s="3297"/>
      <c r="B19" s="3298" t="s">
        <v>1105</v>
      </c>
      <c r="C19" s="3298"/>
      <c r="D19" s="1302"/>
      <c r="E19" s="1302"/>
      <c r="F19" s="1303"/>
      <c r="G19" s="1304"/>
      <c r="H19" s="1314"/>
      <c r="I19" s="1315">
        <f>ROUND(D19*E19*F19*G19/10000,0)</f>
        <v>0</v>
      </c>
    </row>
    <row r="20" spans="1:9">
      <c r="A20" s="3297"/>
      <c r="B20" s="3299" t="s">
        <v>1089</v>
      </c>
      <c r="C20" s="3299"/>
      <c r="D20" s="1306">
        <f>SUM(D17:D19)</f>
        <v>0</v>
      </c>
      <c r="E20" s="1306"/>
      <c r="F20" s="1307"/>
      <c r="G20" s="1304"/>
      <c r="H20" s="1311"/>
      <c r="I20" s="1312">
        <f>SUM(I17:I19)</f>
        <v>0</v>
      </c>
    </row>
    <row r="21" spans="1:9">
      <c r="A21" s="3297" t="s">
        <v>1106</v>
      </c>
      <c r="B21" s="3301"/>
      <c r="C21" s="3301"/>
      <c r="D21" s="3301"/>
      <c r="E21" s="3301"/>
      <c r="F21" s="3301"/>
      <c r="G21" s="3301"/>
      <c r="H21" s="1764">
        <v>0.1</v>
      </c>
      <c r="I21" s="1309">
        <f>ROUND(I10*H21,0)</f>
        <v>0</v>
      </c>
    </row>
    <row r="22" spans="1:9" ht="14.25">
      <c r="A22" s="3302" t="s">
        <v>1107</v>
      </c>
      <c r="B22" s="3303"/>
      <c r="C22" s="3304"/>
      <c r="D22" s="1316" t="s">
        <v>1108</v>
      </c>
      <c r="E22" s="1316" t="s">
        <v>1109</v>
      </c>
      <c r="F22" s="1317" t="s">
        <v>1110</v>
      </c>
      <c r="G22" s="1317" t="s">
        <v>1111</v>
      </c>
      <c r="H22" s="1310" t="s">
        <v>1112</v>
      </c>
      <c r="I22" s="1301" t="s">
        <v>1113</v>
      </c>
    </row>
    <row r="23" spans="1:9" ht="14.25" thickBot="1">
      <c r="A23" s="3305"/>
      <c r="B23" s="3306"/>
      <c r="C23" s="3307"/>
      <c r="D23" s="1318"/>
      <c r="E23" s="1318"/>
      <c r="F23" s="1318"/>
      <c r="G23" s="1319"/>
      <c r="H23" s="1320"/>
      <c r="I23" s="1321">
        <f>ROUND(E23*D23*F23*(1-G23)/10000,0)</f>
        <v>0</v>
      </c>
    </row>
    <row r="26" spans="1:9">
      <c r="A26" s="1322" t="s">
        <v>1114</v>
      </c>
      <c r="B26" s="1322"/>
      <c r="C26" s="1322"/>
      <c r="D26" s="1322"/>
      <c r="E26" s="3308">
        <f>C27-C30-C31-C32</f>
        <v>0</v>
      </c>
      <c r="F26" s="3308"/>
      <c r="G26" s="3308"/>
      <c r="H26" s="1736" t="s">
        <v>1336</v>
      </c>
    </row>
    <row r="27" spans="1:9">
      <c r="A27" s="1323">
        <v>1</v>
      </c>
      <c r="B27" s="1324" t="s">
        <v>1115</v>
      </c>
      <c r="C27" s="1324">
        <f>C28+C29</f>
        <v>0</v>
      </c>
      <c r="D27" s="1324"/>
      <c r="E27" s="3309"/>
      <c r="F27" s="3309"/>
      <c r="G27" s="3309"/>
    </row>
    <row r="28" spans="1:9">
      <c r="A28" s="1325" t="s">
        <v>1116</v>
      </c>
      <c r="B28" s="1324" t="s">
        <v>1117</v>
      </c>
      <c r="C28" s="1324"/>
      <c r="D28" s="1324"/>
      <c r="E28" s="3309"/>
      <c r="F28" s="3309"/>
      <c r="G28" s="330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0"/>
      <c r="F32" s="3300"/>
      <c r="G32" s="3300"/>
    </row>
    <row r="33" spans="1:7" hidden="1">
      <c r="A33" s="3310" t="s">
        <v>1126</v>
      </c>
      <c r="B33" s="3311"/>
      <c r="C33" s="3311"/>
      <c r="D33" s="3312"/>
      <c r="E33" s="3308"/>
      <c r="F33" s="3308"/>
      <c r="G33" s="3308"/>
    </row>
    <row r="34" spans="1:7" hidden="1">
      <c r="A34" s="1327">
        <v>1</v>
      </c>
      <c r="B34" s="1324" t="s">
        <v>1127</v>
      </c>
      <c r="C34" s="1324"/>
      <c r="D34" s="1324"/>
      <c r="E34" s="3309"/>
      <c r="F34" s="3309"/>
      <c r="G34" s="3309"/>
    </row>
    <row r="35" spans="1:7" hidden="1">
      <c r="A35" s="1327">
        <v>2</v>
      </c>
      <c r="B35" s="1324" t="s">
        <v>1128</v>
      </c>
      <c r="C35" s="1324"/>
      <c r="D35" s="1324"/>
      <c r="E35" s="3309"/>
      <c r="F35" s="3309"/>
      <c r="G35" s="3309"/>
    </row>
    <row r="36" spans="1:7" hidden="1">
      <c r="A36" s="1327">
        <v>3</v>
      </c>
      <c r="B36" s="1324" t="s">
        <v>1129</v>
      </c>
      <c r="C36" s="1324"/>
      <c r="D36" s="1324"/>
      <c r="E36" s="3309"/>
      <c r="F36" s="3309"/>
      <c r="G36" s="3309"/>
    </row>
    <row r="37" spans="1:7" hidden="1">
      <c r="A37" s="1327">
        <v>4</v>
      </c>
      <c r="B37" s="1324" t="s">
        <v>1130</v>
      </c>
      <c r="C37" s="1324"/>
      <c r="D37" s="1324"/>
      <c r="E37" s="3309"/>
      <c r="F37" s="3309"/>
      <c r="G37" s="3309"/>
    </row>
    <row r="38" spans="1:7" hidden="1">
      <c r="A38" s="3310" t="s">
        <v>1131</v>
      </c>
      <c r="B38" s="3311"/>
      <c r="C38" s="3311"/>
      <c r="D38" s="3312"/>
      <c r="E38" s="3308"/>
      <c r="F38" s="3308"/>
      <c r="G38" s="33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331" t="s">
        <v>2528</v>
      </c>
      <c r="D4" s="3332"/>
      <c r="E4" s="3333" t="s">
        <v>2529</v>
      </c>
      <c r="F4" s="3334"/>
      <c r="G4" s="3331" t="s">
        <v>2530</v>
      </c>
      <c r="H4" s="3332"/>
      <c r="I4" s="3331" t="s">
        <v>2531</v>
      </c>
      <c r="J4" s="3332"/>
      <c r="K4" s="2593" t="s">
        <v>2532</v>
      </c>
      <c r="L4" s="1129"/>
      <c r="M4" s="1130"/>
      <c r="N4" s="1130"/>
      <c r="O4" s="1130"/>
      <c r="P4" s="3335" t="s">
        <v>2533</v>
      </c>
      <c r="Q4" s="3336"/>
      <c r="R4" s="3318" t="s">
        <v>2529</v>
      </c>
      <c r="S4" s="3319"/>
      <c r="T4" s="3318" t="s">
        <v>2530</v>
      </c>
      <c r="U4" s="3319"/>
      <c r="V4" s="3343" t="s">
        <v>2531</v>
      </c>
      <c r="W4" s="3343"/>
      <c r="X4" s="1811"/>
      <c r="Y4" s="3318" t="s">
        <v>2533</v>
      </c>
      <c r="Z4" s="3319"/>
      <c r="AA4" s="3313" t="s">
        <v>2529</v>
      </c>
      <c r="AB4" s="3313" t="s">
        <v>2530</v>
      </c>
      <c r="AC4" s="3313" t="s">
        <v>2531</v>
      </c>
    </row>
    <row r="5" spans="1:29" ht="15">
      <c r="A5" s="404"/>
      <c r="B5" s="405"/>
      <c r="C5" s="3324" t="s">
        <v>2534</v>
      </c>
      <c r="D5" s="3325"/>
      <c r="E5" s="3322" t="s">
        <v>2535</v>
      </c>
      <c r="F5" s="3323"/>
      <c r="G5" s="3324" t="s">
        <v>2536</v>
      </c>
      <c r="H5" s="3325"/>
      <c r="I5" s="3324" t="s">
        <v>2537</v>
      </c>
      <c r="J5" s="3325"/>
      <c r="K5" s="2594"/>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2594"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316" t="s">
        <v>2541</v>
      </c>
      <c r="Q7" s="3344"/>
      <c r="R7" s="767" t="s">
        <v>23</v>
      </c>
      <c r="S7" s="768">
        <f t="shared" ref="S7:S15" si="0">F7</f>
        <v>0</v>
      </c>
      <c r="T7" s="767" t="s">
        <v>23</v>
      </c>
      <c r="U7" s="768">
        <f t="shared" ref="U7:U15" si="1">H7</f>
        <v>0</v>
      </c>
      <c r="V7" s="767" t="s">
        <v>23</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316" t="s">
        <v>2544</v>
      </c>
      <c r="Q8" s="3317"/>
      <c r="R8" s="767" t="s">
        <v>23</v>
      </c>
      <c r="S8" s="768">
        <f t="shared" si="0"/>
        <v>0</v>
      </c>
      <c r="T8" s="767" t="s">
        <v>23</v>
      </c>
      <c r="U8" s="768">
        <f t="shared" si="1"/>
        <v>0</v>
      </c>
      <c r="V8" s="767" t="s">
        <v>23</v>
      </c>
      <c r="W8" s="768">
        <f t="shared" si="2"/>
        <v>0</v>
      </c>
      <c r="X8" s="769"/>
      <c r="Y8" s="3316" t="s">
        <v>2544</v>
      </c>
      <c r="Z8" s="3317"/>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330"/>
      <c r="Q11" s="1793" t="str">
        <f t="shared" si="6"/>
        <v>容积率</v>
      </c>
      <c r="R11" s="767" t="s">
        <v>21</v>
      </c>
      <c r="S11" s="768" t="e">
        <f t="shared" si="0"/>
        <v>#N/A</v>
      </c>
      <c r="T11" s="767" t="s">
        <v>21</v>
      </c>
      <c r="U11" s="768" t="e">
        <f t="shared" si="1"/>
        <v>#N/A</v>
      </c>
      <c r="V11" s="767" t="s">
        <v>21</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330"/>
      <c r="Q12" s="1793">
        <f t="shared" si="6"/>
        <v>111</v>
      </c>
      <c r="R12" s="767" t="s">
        <v>21</v>
      </c>
      <c r="S12" s="768">
        <f t="shared" si="0"/>
        <v>100</v>
      </c>
      <c r="T12" s="767" t="s">
        <v>21</v>
      </c>
      <c r="U12" s="768">
        <f t="shared" si="1"/>
        <v>100</v>
      </c>
      <c r="V12" s="767" t="s">
        <v>21</v>
      </c>
      <c r="W12" s="768">
        <f t="shared" si="2"/>
        <v>100</v>
      </c>
      <c r="X12" s="769"/>
      <c r="Y12" s="3163"/>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330"/>
      <c r="Q13" s="1793">
        <f t="shared" si="6"/>
        <v>111</v>
      </c>
      <c r="R13" s="767" t="s">
        <v>21</v>
      </c>
      <c r="S13" s="768">
        <f t="shared" si="0"/>
        <v>100</v>
      </c>
      <c r="T13" s="767" t="s">
        <v>21</v>
      </c>
      <c r="U13" s="768">
        <f t="shared" si="1"/>
        <v>100</v>
      </c>
      <c r="V13" s="767" t="s">
        <v>21</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330"/>
      <c r="Q14" s="1793">
        <f t="shared" si="6"/>
        <v>111</v>
      </c>
      <c r="R14" s="767" t="s">
        <v>21</v>
      </c>
      <c r="S14" s="768">
        <f t="shared" si="0"/>
        <v>100</v>
      </c>
      <c r="T14" s="767" t="s">
        <v>21</v>
      </c>
      <c r="U14" s="768">
        <f t="shared" si="1"/>
        <v>100</v>
      </c>
      <c r="V14" s="767" t="s">
        <v>21</v>
      </c>
      <c r="W14" s="768">
        <f t="shared" si="2"/>
        <v>100</v>
      </c>
      <c r="X14" s="769"/>
      <c r="Y14" s="3163"/>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357" t="s">
        <v>2552</v>
      </c>
      <c r="Q15" s="1808" t="str">
        <f t="shared" si="6"/>
        <v>居住社区成熟度</v>
      </c>
      <c r="R15" s="771" t="s">
        <v>21</v>
      </c>
      <c r="S15" s="772">
        <f t="shared" si="0"/>
        <v>100</v>
      </c>
      <c r="T15" s="771" t="s">
        <v>21</v>
      </c>
      <c r="U15" s="772">
        <f t="shared" si="1"/>
        <v>100</v>
      </c>
      <c r="V15" s="771" t="s">
        <v>21</v>
      </c>
      <c r="W15" s="772">
        <f t="shared" si="2"/>
        <v>100</v>
      </c>
      <c r="X15" s="1811"/>
      <c r="Y15" s="3350"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358"/>
      <c r="Q16" s="1808"/>
      <c r="R16" s="771"/>
      <c r="S16" s="772"/>
      <c r="T16" s="771"/>
      <c r="U16" s="772"/>
      <c r="V16" s="771"/>
      <c r="W16" s="772"/>
      <c r="X16" s="1811"/>
      <c r="Y16" s="335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358"/>
      <c r="Q17" s="1808" t="str">
        <f>B17</f>
        <v>交通便捷度</v>
      </c>
      <c r="R17" s="771" t="s">
        <v>21</v>
      </c>
      <c r="S17" s="772">
        <f>F17</f>
        <v>100</v>
      </c>
      <c r="T17" s="771" t="s">
        <v>21</v>
      </c>
      <c r="U17" s="772">
        <f>H17</f>
        <v>100</v>
      </c>
      <c r="V17" s="771" t="s">
        <v>21</v>
      </c>
      <c r="W17" s="772">
        <f>J17</f>
        <v>100</v>
      </c>
      <c r="X17" s="1811"/>
      <c r="Y17" s="335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358"/>
      <c r="Q18" s="1808"/>
      <c r="R18" s="771"/>
      <c r="S18" s="772"/>
      <c r="T18" s="771"/>
      <c r="U18" s="772"/>
      <c r="V18" s="771"/>
      <c r="W18" s="772"/>
      <c r="X18" s="1811"/>
      <c r="Y18" s="3351"/>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358"/>
      <c r="Q19" s="1808" t="str">
        <f>B19</f>
        <v>公共配套设施</v>
      </c>
      <c r="R19" s="771" t="s">
        <v>21</v>
      </c>
      <c r="S19" s="772">
        <f>F19</f>
        <v>100</v>
      </c>
      <c r="T19" s="771" t="s">
        <v>21</v>
      </c>
      <c r="U19" s="772">
        <f>H19</f>
        <v>100</v>
      </c>
      <c r="V19" s="771" t="s">
        <v>21</v>
      </c>
      <c r="W19" s="772">
        <f>J19</f>
        <v>100</v>
      </c>
      <c r="X19" s="1811"/>
      <c r="Y19" s="335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358"/>
      <c r="Q20" s="1808"/>
      <c r="R20" s="771"/>
      <c r="S20" s="772"/>
      <c r="T20" s="771"/>
      <c r="U20" s="772"/>
      <c r="V20" s="771"/>
      <c r="W20" s="772"/>
      <c r="X20" s="1811"/>
      <c r="Y20" s="3351"/>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358"/>
      <c r="Q22" s="1808"/>
      <c r="R22" s="771"/>
      <c r="S22" s="772"/>
      <c r="T22" s="771"/>
      <c r="U22" s="772"/>
      <c r="V22" s="771"/>
      <c r="W22" s="772"/>
      <c r="X22" s="1811"/>
      <c r="Y22" s="3351"/>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358"/>
      <c r="Q23" s="1808" t="str">
        <f>B23</f>
        <v>自然及人文环境</v>
      </c>
      <c r="R23" s="771" t="s">
        <v>21</v>
      </c>
      <c r="S23" s="772">
        <f>F23</f>
        <v>100</v>
      </c>
      <c r="T23" s="771" t="s">
        <v>21</v>
      </c>
      <c r="U23" s="772">
        <f>H23</f>
        <v>100</v>
      </c>
      <c r="V23" s="771" t="s">
        <v>21</v>
      </c>
      <c r="W23" s="772">
        <f>J23</f>
        <v>100</v>
      </c>
      <c r="X23" s="1811"/>
      <c r="Y23" s="335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358"/>
      <c r="Q24" s="1808"/>
      <c r="R24" s="771"/>
      <c r="S24" s="772"/>
      <c r="T24" s="771"/>
      <c r="U24" s="772"/>
      <c r="V24" s="771"/>
      <c r="W24" s="772"/>
      <c r="X24" s="1811"/>
      <c r="Y24" s="3351"/>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358"/>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351"/>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358"/>
      <c r="Q26" s="1808" t="str">
        <f t="shared" si="11"/>
        <v>朝向</v>
      </c>
      <c r="R26" s="771" t="s">
        <v>21</v>
      </c>
      <c r="S26" s="772">
        <f t="shared" si="12"/>
        <v>100</v>
      </c>
      <c r="T26" s="771" t="s">
        <v>21</v>
      </c>
      <c r="U26" s="772">
        <f t="shared" si="13"/>
        <v>100</v>
      </c>
      <c r="V26" s="771" t="s">
        <v>21</v>
      </c>
      <c r="W26" s="772">
        <f t="shared" si="14"/>
        <v>100</v>
      </c>
      <c r="X26" s="1811"/>
      <c r="Y26" s="335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358"/>
      <c r="Q27" s="1793">
        <f t="shared" si="11"/>
        <v>111</v>
      </c>
      <c r="R27" s="767" t="s">
        <v>21</v>
      </c>
      <c r="S27" s="768">
        <f t="shared" si="12"/>
        <v>100</v>
      </c>
      <c r="T27" s="767" t="s">
        <v>21</v>
      </c>
      <c r="U27" s="768">
        <f t="shared" si="13"/>
        <v>100</v>
      </c>
      <c r="V27" s="767" t="s">
        <v>21</v>
      </c>
      <c r="W27" s="768">
        <f t="shared" si="14"/>
        <v>100</v>
      </c>
      <c r="X27" s="769"/>
      <c r="Y27" s="335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358"/>
      <c r="Q28" s="1808">
        <f t="shared" si="11"/>
        <v>111</v>
      </c>
      <c r="R28" s="771" t="s">
        <v>21</v>
      </c>
      <c r="S28" s="772">
        <f t="shared" si="12"/>
        <v>100</v>
      </c>
      <c r="T28" s="771" t="s">
        <v>21</v>
      </c>
      <c r="U28" s="772">
        <f t="shared" si="13"/>
        <v>100</v>
      </c>
      <c r="V28" s="771" t="s">
        <v>21</v>
      </c>
      <c r="W28" s="772">
        <f t="shared" si="14"/>
        <v>100</v>
      </c>
      <c r="X28" s="1811"/>
      <c r="Y28" s="335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358"/>
      <c r="Q29" s="1808">
        <f t="shared" si="11"/>
        <v>111</v>
      </c>
      <c r="R29" s="771" t="s">
        <v>21</v>
      </c>
      <c r="S29" s="772">
        <f t="shared" si="12"/>
        <v>100</v>
      </c>
      <c r="T29" s="771" t="s">
        <v>21</v>
      </c>
      <c r="U29" s="772">
        <f t="shared" si="13"/>
        <v>100</v>
      </c>
      <c r="V29" s="771" t="s">
        <v>21</v>
      </c>
      <c r="W29" s="772">
        <f t="shared" si="14"/>
        <v>100</v>
      </c>
      <c r="X29" s="1811"/>
      <c r="Y29" s="335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358"/>
      <c r="Q30" s="1808">
        <f t="shared" si="11"/>
        <v>111</v>
      </c>
      <c r="R30" s="771" t="s">
        <v>21</v>
      </c>
      <c r="S30" s="772">
        <f t="shared" si="12"/>
        <v>100</v>
      </c>
      <c r="T30" s="771" t="s">
        <v>21</v>
      </c>
      <c r="U30" s="772">
        <f t="shared" si="13"/>
        <v>100</v>
      </c>
      <c r="V30" s="771" t="s">
        <v>21</v>
      </c>
      <c r="W30" s="772">
        <f t="shared" si="14"/>
        <v>100</v>
      </c>
      <c r="X30" s="1811"/>
      <c r="Y30" s="335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358"/>
      <c r="Q31" s="1808">
        <f t="shared" si="11"/>
        <v>111</v>
      </c>
      <c r="R31" s="771" t="s">
        <v>21</v>
      </c>
      <c r="S31" s="772">
        <f t="shared" si="12"/>
        <v>100</v>
      </c>
      <c r="T31" s="771" t="s">
        <v>21</v>
      </c>
      <c r="U31" s="772">
        <f t="shared" si="13"/>
        <v>100</v>
      </c>
      <c r="V31" s="771" t="s">
        <v>21</v>
      </c>
      <c r="W31" s="772">
        <f t="shared" si="14"/>
        <v>100</v>
      </c>
      <c r="X31" s="1811"/>
      <c r="Y31" s="3351"/>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352" t="s">
        <v>2557</v>
      </c>
      <c r="Q32" s="1808" t="str">
        <f t="shared" si="11"/>
        <v>建筑类型</v>
      </c>
      <c r="R32" s="771" t="s">
        <v>21</v>
      </c>
      <c r="S32" s="772">
        <f t="shared" si="12"/>
        <v>100</v>
      </c>
      <c r="T32" s="771" t="s">
        <v>21</v>
      </c>
      <c r="U32" s="772">
        <f t="shared" si="13"/>
        <v>100</v>
      </c>
      <c r="V32" s="771" t="s">
        <v>21</v>
      </c>
      <c r="W32" s="772">
        <f t="shared" si="14"/>
        <v>100</v>
      </c>
      <c r="X32" s="1811"/>
      <c r="Y32" s="3355"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353"/>
      <c r="Q33" s="773" t="str">
        <f t="shared" si="11"/>
        <v>项目建筑规模</v>
      </c>
      <c r="R33" s="774" t="s">
        <v>21</v>
      </c>
      <c r="S33" s="775" t="e">
        <f t="shared" si="12"/>
        <v>#N/A</v>
      </c>
      <c r="T33" s="774" t="s">
        <v>21</v>
      </c>
      <c r="U33" s="775" t="e">
        <f t="shared" si="13"/>
        <v>#N/A</v>
      </c>
      <c r="V33" s="774" t="s">
        <v>21</v>
      </c>
      <c r="W33" s="775" t="e">
        <f t="shared" si="14"/>
        <v>#N/A</v>
      </c>
      <c r="X33" s="776"/>
      <c r="Y33" s="3355"/>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353"/>
      <c r="Q34" s="1808" t="str">
        <f t="shared" si="11"/>
        <v>建筑结构</v>
      </c>
      <c r="R34" s="771" t="s">
        <v>21</v>
      </c>
      <c r="S34" s="772">
        <f t="shared" si="12"/>
        <v>100</v>
      </c>
      <c r="T34" s="771" t="s">
        <v>21</v>
      </c>
      <c r="U34" s="772">
        <f t="shared" si="13"/>
        <v>100</v>
      </c>
      <c r="V34" s="771" t="s">
        <v>21</v>
      </c>
      <c r="W34" s="772">
        <f t="shared" si="14"/>
        <v>100</v>
      </c>
      <c r="X34" s="1811"/>
      <c r="Y34" s="3355"/>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353"/>
      <c r="Q35" s="1808" t="str">
        <f t="shared" si="11"/>
        <v>建筑品质</v>
      </c>
      <c r="R35" s="771" t="s">
        <v>21</v>
      </c>
      <c r="S35" s="772">
        <f t="shared" si="12"/>
        <v>100</v>
      </c>
      <c r="T35" s="771" t="s">
        <v>21</v>
      </c>
      <c r="U35" s="772">
        <f t="shared" si="13"/>
        <v>100</v>
      </c>
      <c r="V35" s="771" t="s">
        <v>21</v>
      </c>
      <c r="W35" s="772">
        <f t="shared" si="14"/>
        <v>100</v>
      </c>
      <c r="X35" s="1811"/>
      <c r="Y35" s="3355"/>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353"/>
      <c r="Q36" s="1808" t="str">
        <f t="shared" si="11"/>
        <v>公共部分装修</v>
      </c>
      <c r="R36" s="771" t="s">
        <v>21</v>
      </c>
      <c r="S36" s="772">
        <f t="shared" si="12"/>
        <v>100</v>
      </c>
      <c r="T36" s="771" t="s">
        <v>21</v>
      </c>
      <c r="U36" s="772">
        <f t="shared" si="13"/>
        <v>100</v>
      </c>
      <c r="V36" s="771" t="s">
        <v>21</v>
      </c>
      <c r="W36" s="772">
        <f t="shared" si="14"/>
        <v>100</v>
      </c>
      <c r="X36" s="1811"/>
      <c r="Y36" s="3355"/>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353"/>
      <c r="Q37" s="1793" t="str">
        <f t="shared" si="11"/>
        <v>成新度</v>
      </c>
      <c r="R37" s="767" t="s">
        <v>21</v>
      </c>
      <c r="S37" s="768" t="e">
        <f t="shared" si="12"/>
        <v>#N/A</v>
      </c>
      <c r="T37" s="767" t="s">
        <v>21</v>
      </c>
      <c r="U37" s="768" t="e">
        <f t="shared" si="13"/>
        <v>#N/A</v>
      </c>
      <c r="V37" s="767" t="s">
        <v>21</v>
      </c>
      <c r="W37" s="768" t="e">
        <f t="shared" si="14"/>
        <v>#N/A</v>
      </c>
      <c r="X37" s="769"/>
      <c r="Y37" s="3355"/>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353" t="s">
        <v>2557</v>
      </c>
      <c r="Q38" s="1808" t="str">
        <f t="shared" si="11"/>
        <v>物业管理</v>
      </c>
      <c r="R38" s="771" t="s">
        <v>21</v>
      </c>
      <c r="S38" s="772">
        <f t="shared" si="12"/>
        <v>100</v>
      </c>
      <c r="T38" s="771" t="s">
        <v>21</v>
      </c>
      <c r="U38" s="772">
        <f t="shared" si="13"/>
        <v>100</v>
      </c>
      <c r="V38" s="771" t="s">
        <v>21</v>
      </c>
      <c r="W38" s="772">
        <f t="shared" si="14"/>
        <v>100</v>
      </c>
      <c r="X38" s="1811"/>
      <c r="Y38" s="3355"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353"/>
      <c r="Q39" s="1808" t="str">
        <f t="shared" si="11"/>
        <v>市政基础设施</v>
      </c>
      <c r="R39" s="771" t="s">
        <v>21</v>
      </c>
      <c r="S39" s="772">
        <f t="shared" si="12"/>
        <v>100</v>
      </c>
      <c r="T39" s="771" t="s">
        <v>21</v>
      </c>
      <c r="U39" s="772">
        <f t="shared" si="13"/>
        <v>100</v>
      </c>
      <c r="V39" s="771" t="s">
        <v>21</v>
      </c>
      <c r="W39" s="772">
        <f t="shared" si="14"/>
        <v>100</v>
      </c>
      <c r="X39" s="1811"/>
      <c r="Y39" s="3355"/>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353"/>
      <c r="Q40" s="1808" t="str">
        <f t="shared" si="11"/>
        <v>房型</v>
      </c>
      <c r="R40" s="771" t="s">
        <v>21</v>
      </c>
      <c r="S40" s="772">
        <f t="shared" si="12"/>
        <v>100</v>
      </c>
      <c r="T40" s="771" t="s">
        <v>21</v>
      </c>
      <c r="U40" s="772">
        <f t="shared" si="13"/>
        <v>100</v>
      </c>
      <c r="V40" s="771" t="s">
        <v>21</v>
      </c>
      <c r="W40" s="772">
        <f t="shared" si="14"/>
        <v>100</v>
      </c>
      <c r="X40" s="1811"/>
      <c r="Y40" s="3355"/>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353"/>
      <c r="Q41" s="773" t="str">
        <f t="shared" si="11"/>
        <v>单套/主力户型建筑面积</v>
      </c>
      <c r="R41" s="774" t="s">
        <v>21</v>
      </c>
      <c r="S41" s="775">
        <f t="shared" si="12"/>
        <v>100</v>
      </c>
      <c r="T41" s="774" t="s">
        <v>21</v>
      </c>
      <c r="U41" s="775">
        <f t="shared" si="13"/>
        <v>100</v>
      </c>
      <c r="V41" s="774" t="s">
        <v>21</v>
      </c>
      <c r="W41" s="775">
        <f t="shared" si="14"/>
        <v>100</v>
      </c>
      <c r="X41" s="776"/>
      <c r="Y41" s="3355"/>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353"/>
      <c r="Q42" s="1808" t="str">
        <f t="shared" si="11"/>
        <v>内部装修</v>
      </c>
      <c r="R42" s="771" t="s">
        <v>21</v>
      </c>
      <c r="S42" s="772">
        <f t="shared" si="12"/>
        <v>100</v>
      </c>
      <c r="T42" s="771" t="s">
        <v>21</v>
      </c>
      <c r="U42" s="772">
        <f t="shared" si="13"/>
        <v>100</v>
      </c>
      <c r="V42" s="771" t="s">
        <v>21</v>
      </c>
      <c r="W42" s="772">
        <f t="shared" si="14"/>
        <v>100</v>
      </c>
      <c r="X42" s="1811"/>
      <c r="Y42" s="3355"/>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353"/>
      <c r="Q43" s="1808" t="str">
        <f t="shared" si="11"/>
        <v>内部装修维护情况</v>
      </c>
      <c r="R43" s="771" t="s">
        <v>21</v>
      </c>
      <c r="S43" s="772">
        <f t="shared" si="12"/>
        <v>100</v>
      </c>
      <c r="T43" s="771" t="s">
        <v>21</v>
      </c>
      <c r="U43" s="772">
        <f t="shared" si="13"/>
        <v>100</v>
      </c>
      <c r="V43" s="771" t="s">
        <v>21</v>
      </c>
      <c r="W43" s="772">
        <f t="shared" si="14"/>
        <v>100</v>
      </c>
      <c r="X43" s="1811"/>
      <c r="Y43" s="3355"/>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353"/>
      <c r="Q44" s="1793">
        <f t="shared" si="11"/>
        <v>111</v>
      </c>
      <c r="R44" s="767" t="s">
        <v>21</v>
      </c>
      <c r="S44" s="768">
        <f t="shared" si="12"/>
        <v>100</v>
      </c>
      <c r="T44" s="767" t="s">
        <v>21</v>
      </c>
      <c r="U44" s="768">
        <f t="shared" si="13"/>
        <v>100</v>
      </c>
      <c r="V44" s="767" t="s">
        <v>21</v>
      </c>
      <c r="W44" s="768">
        <f t="shared" si="14"/>
        <v>100</v>
      </c>
      <c r="X44" s="769"/>
      <c r="Y44" s="3355"/>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353"/>
      <c r="Q45" s="1808">
        <f t="shared" si="11"/>
        <v>111</v>
      </c>
      <c r="R45" s="771" t="s">
        <v>21</v>
      </c>
      <c r="S45" s="772">
        <f t="shared" si="12"/>
        <v>100</v>
      </c>
      <c r="T45" s="771" t="s">
        <v>21</v>
      </c>
      <c r="U45" s="772">
        <f t="shared" si="13"/>
        <v>100</v>
      </c>
      <c r="V45" s="771" t="s">
        <v>21</v>
      </c>
      <c r="W45" s="772">
        <f t="shared" si="14"/>
        <v>100</v>
      </c>
      <c r="X45" s="1811"/>
      <c r="Y45" s="3355"/>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354"/>
      <c r="Q46" s="1808">
        <f t="shared" si="11"/>
        <v>111</v>
      </c>
      <c r="R46" s="771" t="s">
        <v>20</v>
      </c>
      <c r="S46" s="772">
        <f t="shared" si="12"/>
        <v>100</v>
      </c>
      <c r="T46" s="771" t="s">
        <v>20</v>
      </c>
      <c r="U46" s="772">
        <f t="shared" si="13"/>
        <v>100</v>
      </c>
      <c r="V46" s="771" t="s">
        <v>20</v>
      </c>
      <c r="W46" s="772">
        <f t="shared" si="14"/>
        <v>100</v>
      </c>
      <c r="X46" s="1811"/>
      <c r="Y46" s="3356"/>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348" t="str">
        <f>A47</f>
        <v>成交单价（元/平方米）</v>
      </c>
      <c r="Q47" s="3348"/>
      <c r="R47" s="3349">
        <f>E47</f>
        <v>0</v>
      </c>
      <c r="S47" s="3349"/>
      <c r="T47" s="3349">
        <f>G47</f>
        <v>0</v>
      </c>
      <c r="U47" s="3349"/>
      <c r="V47" s="3349">
        <f>I47</f>
        <v>0</v>
      </c>
      <c r="W47" s="3349"/>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345" t="str">
        <f>A49</f>
        <v>估价对象XX用房的比较价值（楼面单价，元/平方米）</v>
      </c>
      <c r="Q49" s="3346"/>
      <c r="R49" s="3347" t="e">
        <f>IF(F1="售价",ROUND(AVERAGE(R48:V48),0),ROUND(AVERAGE(R48:V48),1))</f>
        <v>#DIV/0!</v>
      </c>
      <c r="S49" s="3347"/>
      <c r="T49" s="3347"/>
      <c r="U49" s="3347"/>
      <c r="V49" s="3347"/>
      <c r="W49" s="334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Normal="100" zoomScaleSheetLayoutView="90" workbookViewId="0">
      <selection activeCell="J70" sqref="J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v>106</v>
      </c>
      <c r="D1" s="1818" t="s">
        <v>70</v>
      </c>
      <c r="E1" s="1819" t="s">
        <v>1383</v>
      </c>
      <c r="F1" s="1282">
        <f ca="1">J53</f>
        <v>37.020000000000003</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f ca="1">ROUND(D2/10000,0)</f>
        <v>385</v>
      </c>
      <c r="C2" s="1843" t="s">
        <v>1512</v>
      </c>
      <c r="D2" s="1936">
        <f ca="1">C40+J29+L46</f>
        <v>3851648</v>
      </c>
      <c r="E2" s="1844" t="s">
        <v>1588</v>
      </c>
      <c r="F2" s="1845"/>
      <c r="G2" s="1846"/>
      <c r="H2" s="1838"/>
      <c r="I2" s="1838"/>
      <c r="J2" s="1838"/>
      <c r="K2" s="1839"/>
      <c r="L2" s="1838"/>
      <c r="M2" s="1838"/>
    </row>
    <row r="3" spans="1:37" ht="18" customHeight="1" thickBot="1">
      <c r="A3" s="1847" t="s">
        <v>1513</v>
      </c>
      <c r="B3" s="1848">
        <f ca="1">IF(ISERROR(D2/F43),0,ROUND(D2/F43,0))</f>
        <v>33147</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210206</v>
      </c>
      <c r="D5" s="1820" t="s">
        <v>1398</v>
      </c>
      <c r="E5" s="1292"/>
      <c r="F5" s="1293"/>
      <c r="G5" s="1849"/>
      <c r="H5" s="344">
        <v>1</v>
      </c>
      <c r="I5" s="345" t="s">
        <v>1397</v>
      </c>
      <c r="J5" s="1291">
        <f ca="1">J6+J10+J12</f>
        <v>0</v>
      </c>
      <c r="K5" s="1820" t="s">
        <v>1398</v>
      </c>
      <c r="L5" s="1292"/>
      <c r="M5" s="1293"/>
    </row>
    <row r="6" spans="1:37" ht="18" customHeight="1">
      <c r="A6" s="1290" t="s">
        <v>1032</v>
      </c>
      <c r="B6" s="3288" t="s">
        <v>1399</v>
      </c>
      <c r="C6" s="1295">
        <f ca="1">ROUND(F6*F8*F7*(1-F9),0)</f>
        <v>209944</v>
      </c>
      <c r="D6" s="164" t="s">
        <v>3014</v>
      </c>
      <c r="E6" s="347" t="s">
        <v>1401</v>
      </c>
      <c r="F6" s="348">
        <f ca="1">INDIRECT("'数据-取费表'!u"&amp;$G$1)</f>
        <v>5.5</v>
      </c>
      <c r="G6" s="1849"/>
      <c r="H6" s="1290" t="s">
        <v>1032</v>
      </c>
      <c r="I6" s="3288" t="s">
        <v>1399</v>
      </c>
      <c r="J6" s="346">
        <f ca="1">ROUND(M6*M8*M7*(1-M9),0)</f>
        <v>0</v>
      </c>
      <c r="K6" s="1832" t="s">
        <v>3015</v>
      </c>
      <c r="L6" s="347" t="s">
        <v>1401</v>
      </c>
      <c r="M6" s="348">
        <f ca="1">INDIRECT("'数据-取费表'!z"&amp;$G$1)</f>
        <v>0</v>
      </c>
    </row>
    <row r="7" spans="1:37" ht="18" customHeight="1">
      <c r="A7" s="1294"/>
      <c r="B7" s="3289"/>
      <c r="C7" s="1296"/>
      <c r="D7" s="352"/>
      <c r="E7" s="3087" t="s">
        <v>1402</v>
      </c>
      <c r="F7" s="348">
        <f ca="1">IF(INDIRECT("'数据-取费表'!ah"&amp;$G$1)="",INDIRECT("'数据-取费表'!k"&amp;$G$1),INDIRECT("'数据-取费表'!ah"&amp;$G$1))</f>
        <v>116.2</v>
      </c>
      <c r="G7" s="1849"/>
      <c r="H7" s="349"/>
      <c r="I7" s="3289"/>
      <c r="J7" s="351"/>
      <c r="K7" s="352"/>
      <c r="L7" s="347" t="s">
        <v>1402</v>
      </c>
      <c r="M7" s="348">
        <f ca="1">F7</f>
        <v>116.2</v>
      </c>
    </row>
    <row r="8" spans="1:37" ht="18" customHeight="1">
      <c r="A8" s="349"/>
      <c r="B8" s="3289"/>
      <c r="C8" s="351"/>
      <c r="D8" s="352"/>
      <c r="E8" s="347" t="s">
        <v>1403</v>
      </c>
      <c r="F8" s="348">
        <f ca="1">INDIRECT("'数据-取费表'!ai"&amp;$G$1)</f>
        <v>365</v>
      </c>
      <c r="G8" s="1849"/>
      <c r="H8" s="349"/>
      <c r="I8" s="3289"/>
      <c r="J8" s="351"/>
      <c r="K8" s="352"/>
      <c r="L8" s="347" t="s">
        <v>1403</v>
      </c>
      <c r="M8" s="348">
        <f ca="1">INDIRECT("'数据-取费表'!ai"&amp;$G$1)</f>
        <v>365</v>
      </c>
    </row>
    <row r="9" spans="1:37" ht="18" customHeight="1">
      <c r="A9" s="349"/>
      <c r="B9" s="3290"/>
      <c r="C9" s="351"/>
      <c r="D9" s="352"/>
      <c r="E9" s="347" t="s">
        <v>1404</v>
      </c>
      <c r="F9" s="357">
        <f ca="1">INDIRECT("'数据-取费表'!w"&amp;$G$1)</f>
        <v>0.1</v>
      </c>
      <c r="G9" s="1849"/>
      <c r="H9" s="349"/>
      <c r="I9" s="329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262</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424027</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325360</v>
      </c>
      <c r="D14" s="3084" t="s">
        <v>1414</v>
      </c>
      <c r="E14" s="3085"/>
      <c r="F14" s="364"/>
      <c r="G14" s="1849"/>
      <c r="H14" s="1200" t="s">
        <v>1032</v>
      </c>
      <c r="I14" s="347" t="s">
        <v>1415</v>
      </c>
      <c r="J14" s="24">
        <f ca="1">C29</f>
        <v>517106</v>
      </c>
      <c r="K14" s="3086"/>
      <c r="L14" s="979"/>
      <c r="M14" s="980"/>
    </row>
    <row r="15" spans="1:37" s="1856" customFormat="1" ht="18" customHeight="1" thickBot="1">
      <c r="A15" s="1200" t="s">
        <v>1033</v>
      </c>
      <c r="B15" s="347" t="s">
        <v>1416</v>
      </c>
      <c r="C15" s="24">
        <f ca="1">ROUND(C14*F15,0)</f>
        <v>9761</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12101</v>
      </c>
      <c r="K16" s="1336" t="s">
        <v>1421</v>
      </c>
      <c r="L16" s="3091"/>
      <c r="M16" s="1293"/>
    </row>
    <row r="17" spans="1:37" s="1856" customFormat="1" ht="18" customHeight="1">
      <c r="A17" s="1200" t="s">
        <v>1386</v>
      </c>
      <c r="B17" s="347" t="s">
        <v>1422</v>
      </c>
      <c r="C17" s="24">
        <f ca="1">ROUND(F17*(F43+INDIRECT("'数据-取费表'!S"&amp;$G$1)),0)</f>
        <v>23240</v>
      </c>
      <c r="D17" s="347" t="s">
        <v>1423</v>
      </c>
      <c r="E17" s="347" t="s">
        <v>1424</v>
      </c>
      <c r="F17" s="26">
        <f>'数据-取费表'!B35</f>
        <v>200</v>
      </c>
      <c r="G17" s="1852"/>
      <c r="H17" s="1200" t="s">
        <v>1032</v>
      </c>
      <c r="I17" s="347" t="s">
        <v>1425</v>
      </c>
      <c r="J17" s="24">
        <f ca="1">ROUND(IF(项目基本情况!B11="自然人",J5*M17,J18+J19+J20),0)</f>
        <v>4344</v>
      </c>
      <c r="K17" s="3084" t="s">
        <v>1426</v>
      </c>
      <c r="L17" s="3088"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4880</v>
      </c>
      <c r="D18" s="347" t="s">
        <v>1417</v>
      </c>
      <c r="E18" s="347" t="s">
        <v>1418</v>
      </c>
      <c r="F18" s="367">
        <f>'数据-取费表'!B36</f>
        <v>1.4999999999999999E-2</v>
      </c>
      <c r="G18" s="1852"/>
      <c r="H18" s="1200" t="s">
        <v>1031</v>
      </c>
      <c r="I18" s="347" t="s">
        <v>1429</v>
      </c>
      <c r="J18" s="24">
        <f ca="1">ROUND(J5*M18/(1+'数据-取费表'!C42),0)</f>
        <v>0</v>
      </c>
      <c r="K18" s="3088"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363241</v>
      </c>
      <c r="D19" s="140" t="s">
        <v>1432</v>
      </c>
      <c r="E19" s="3090"/>
      <c r="F19" s="26"/>
      <c r="G19" s="1849"/>
      <c r="H19" s="1200" t="s">
        <v>1033</v>
      </c>
      <c r="I19" s="347" t="s">
        <v>1433</v>
      </c>
      <c r="J19" s="24">
        <f ca="1">IF(K19="按租金收入计税",ROUND(J5*M19,0),ROUND(C29*M19*0.7,0))</f>
        <v>4344</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7265</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3090"/>
      <c r="F22" s="26"/>
      <c r="G22" s="1849"/>
      <c r="H22" s="1200" t="s">
        <v>1036</v>
      </c>
      <c r="I22" s="347" t="s">
        <v>1445</v>
      </c>
      <c r="J22" s="24">
        <f ca="1">ROUND(J14*M22,0)</f>
        <v>7757</v>
      </c>
      <c r="K22" s="3088"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13122</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308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1388</v>
      </c>
      <c r="I24" s="1339" t="s">
        <v>1435</v>
      </c>
      <c r="J24" s="1340">
        <f ca="1">ROUND(J5*M24,0)</f>
        <v>0</v>
      </c>
      <c r="K24" s="1341" t="s">
        <v>1455</v>
      </c>
      <c r="L24" s="1339" t="s">
        <v>1418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3090"/>
      <c r="F25" s="26"/>
      <c r="G25" s="1849"/>
      <c r="H25" s="1328" t="s">
        <v>1028</v>
      </c>
      <c r="I25" s="1343" t="s">
        <v>1459</v>
      </c>
      <c r="J25" s="355">
        <f ca="1">J5-J16</f>
        <v>-12101</v>
      </c>
      <c r="K25" s="1344" t="s">
        <v>1460</v>
      </c>
      <c r="L25" s="1345"/>
      <c r="M25" s="1346"/>
    </row>
    <row r="26" spans="1:37" ht="18" customHeight="1">
      <c r="A26" s="1200" t="s">
        <v>1031</v>
      </c>
      <c r="B26" s="347" t="s">
        <v>1461</v>
      </c>
      <c r="C26" s="24">
        <f ca="1">ROUND((C19+C20)*F26,0)</f>
        <v>92627</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517106</v>
      </c>
      <c r="D29" s="1341"/>
      <c r="E29" s="1339"/>
      <c r="F29" s="1342"/>
      <c r="G29" s="1852"/>
      <c r="H29" s="380" t="s">
        <v>1030</v>
      </c>
      <c r="I29" s="381" t="s">
        <v>1475</v>
      </c>
      <c r="J29" s="382">
        <f ca="1">ROUND(J26/(1+F40)^F41,0)</f>
        <v>0</v>
      </c>
      <c r="K29" s="383" t="s">
        <v>1476</v>
      </c>
      <c r="L29" s="384"/>
      <c r="M29" s="385">
        <f ca="1">INDIRECT("'数据-取费表'!k"&amp;$G$1)</f>
        <v>116.2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46931</v>
      </c>
      <c r="D30" s="1336" t="s">
        <v>1421</v>
      </c>
      <c r="E30" s="3091"/>
      <c r="F30" s="1293"/>
      <c r="G30" s="1849"/>
      <c r="H30" s="742"/>
      <c r="I30" s="743"/>
      <c r="J30" s="744"/>
      <c r="K30" s="745"/>
      <c r="L30" s="746"/>
      <c r="M30" s="747"/>
    </row>
    <row r="31" spans="1:37" ht="18" customHeight="1">
      <c r="A31" s="1200" t="s">
        <v>1032</v>
      </c>
      <c r="B31" s="347" t="s">
        <v>1425</v>
      </c>
      <c r="C31" s="24">
        <f ca="1">ROUND(IF(项目基本情况!B11="自然人",C5*F31,C32+C33+C34),0)</f>
        <v>36436</v>
      </c>
      <c r="D31" s="3084" t="s">
        <v>1426</v>
      </c>
      <c r="E31" s="3088"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11211</v>
      </c>
      <c r="D32" s="3088"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25225</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7757</v>
      </c>
      <c r="D36" s="3088"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636</v>
      </c>
      <c r="D37" s="3088" t="s">
        <v>1450</v>
      </c>
      <c r="E37" s="347" t="s">
        <v>1418</v>
      </c>
      <c r="F37" s="376">
        <f ca="1">INDIRECT("'数据-取费表'!Al"&amp;$G$1)</f>
        <v>1.5E-3</v>
      </c>
      <c r="G37" s="1849"/>
      <c r="H37" s="1857"/>
      <c r="I37" s="1858"/>
      <c r="J37" s="1859"/>
      <c r="K37" s="748"/>
      <c r="L37" s="1857"/>
      <c r="M37" s="1857"/>
    </row>
    <row r="38" spans="1:18" ht="18" customHeight="1" thickBot="1">
      <c r="A38" s="1338" t="s">
        <v>1388</v>
      </c>
      <c r="B38" s="1339" t="s">
        <v>1435</v>
      </c>
      <c r="C38" s="1340">
        <f ca="1">ROUND(C5*F38,1)</f>
        <v>2102.1</v>
      </c>
      <c r="D38" s="1341" t="s">
        <v>1455</v>
      </c>
      <c r="E38" s="1339" t="s">
        <v>1418</v>
      </c>
      <c r="F38" s="1335">
        <f ca="1">INDIRECT("'数据-取费表'!Am"&amp;$G$1)</f>
        <v>0.01</v>
      </c>
      <c r="G38" s="1849"/>
      <c r="H38" s="1857"/>
      <c r="I38" s="1858"/>
      <c r="J38" s="1859"/>
      <c r="K38" s="1863"/>
      <c r="L38" s="1857"/>
      <c r="M38" s="1857"/>
    </row>
    <row r="39" spans="1:18" ht="24.6" customHeight="1" thickTop="1">
      <c r="A39" s="1328" t="s">
        <v>1028</v>
      </c>
      <c r="B39" s="1343" t="s">
        <v>1459</v>
      </c>
      <c r="C39" s="355">
        <f ca="1">C5-C30</f>
        <v>163275</v>
      </c>
      <c r="D39" s="1344" t="s">
        <v>1460</v>
      </c>
      <c r="E39" s="1345"/>
      <c r="F39" s="1346"/>
      <c r="G39" s="1849"/>
      <c r="H39" s="1857"/>
      <c r="I39" s="1858"/>
      <c r="J39" s="1859"/>
      <c r="K39" s="1863"/>
      <c r="L39" s="1857"/>
      <c r="M39" s="1857"/>
    </row>
    <row r="40" spans="1:18" ht="18" customHeight="1">
      <c r="A40" s="344" t="s">
        <v>1029</v>
      </c>
      <c r="B40" s="345" t="s">
        <v>1481</v>
      </c>
      <c r="C40" s="346">
        <f ca="1">ROUND(C39*(1-((1+F42)/(1+F40))^F41)/(F40-F42),0)</f>
        <v>3843134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33073</v>
      </c>
      <c r="D43" s="383" t="s">
        <v>1484</v>
      </c>
      <c r="E43" s="384" t="s">
        <v>1485</v>
      </c>
      <c r="F43" s="385">
        <f ca="1">INDIRECT("'数据-取费表'!k"&amp;$G$1)</f>
        <v>116.2</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-4040687</v>
      </c>
      <c r="D45" s="1938" t="s">
        <v>1600</v>
      </c>
      <c r="E45" s="1864"/>
      <c r="F45" s="1864"/>
      <c r="O45" s="1867" t="s">
        <v>1515</v>
      </c>
      <c r="P45" s="1837"/>
      <c r="Q45" s="1837"/>
      <c r="R45" s="1837"/>
    </row>
    <row r="46" spans="1:18" s="1840" customFormat="1" ht="13.5" thickBot="1">
      <c r="A46" s="1868" t="s">
        <v>1516</v>
      </c>
      <c r="C46" s="1869">
        <f ca="1">ROUND(C45/10000,0)</f>
        <v>-404</v>
      </c>
      <c r="D46" s="1870" t="str">
        <f>C2</f>
        <v>万元</v>
      </c>
      <c r="I46" s="1871" t="s">
        <v>1517</v>
      </c>
      <c r="J46" s="1872"/>
      <c r="K46" s="1873"/>
      <c r="L46" s="1874">
        <f ca="1">IF(M47="住宅",0,IF(L48&gt;J51,L60,J60))</f>
        <v>8514</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3843134</v>
      </c>
      <c r="R47" s="1884" t="s">
        <v>1525</v>
      </c>
    </row>
    <row r="48" spans="1:18" s="1840" customFormat="1" ht="28.5" thickBot="1">
      <c r="A48" s="1359" t="s">
        <v>1132</v>
      </c>
      <c r="B48" s="345" t="s">
        <v>1397</v>
      </c>
      <c r="C48" s="3089">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8514</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517106</v>
      </c>
      <c r="R49" s="1884" t="s">
        <v>1525</v>
      </c>
    </row>
    <row r="50" spans="1:18" s="1840" customFormat="1" ht="13.5" thickBot="1">
      <c r="A50" s="1194"/>
      <c r="B50" s="1197"/>
      <c r="C50" s="1198"/>
      <c r="D50" s="1171"/>
      <c r="E50" s="1276" t="s">
        <v>1402</v>
      </c>
      <c r="F50" s="1277">
        <f ca="1">F7</f>
        <v>116.2</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2126630</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86" t="s">
        <v>1544</v>
      </c>
      <c r="L53" s="3287"/>
      <c r="O53" s="1882" t="s">
        <v>1043</v>
      </c>
      <c r="P53" s="1883" t="s">
        <v>1545</v>
      </c>
      <c r="Q53" s="1884">
        <f ca="1">Q47+Q48</f>
        <v>3851648</v>
      </c>
      <c r="R53" s="1884" t="s">
        <v>1044</v>
      </c>
    </row>
    <row r="54" spans="1:18" s="1840" customFormat="1" ht="13.5" thickBot="1">
      <c r="A54" s="1193"/>
      <c r="B54" s="1939" t="s">
        <v>1599</v>
      </c>
      <c r="C54" s="1177"/>
      <c r="D54" s="1822"/>
      <c r="E54" s="308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3082"/>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424027</v>
      </c>
      <c r="D56" s="1912"/>
      <c r="E56" s="1913"/>
      <c r="F56" s="1905"/>
      <c r="I56" s="1914" t="s">
        <v>1550</v>
      </c>
      <c r="J56" s="1915" t="s">
        <v>3048</v>
      </c>
      <c r="K56" s="1885" t="s">
        <v>1551</v>
      </c>
      <c r="L56" s="1888" t="str">
        <f ca="1">IF(L48&lt;J51,"——",L48-J51)</f>
        <v>——</v>
      </c>
      <c r="O56" s="1882" t="s">
        <v>1037</v>
      </c>
      <c r="P56" s="1883" t="s">
        <v>1524</v>
      </c>
      <c r="Q56" s="1884">
        <f ca="1">C40+J29</f>
        <v>3843134</v>
      </c>
      <c r="R56" s="1884" t="s">
        <v>1525</v>
      </c>
    </row>
    <row r="57" spans="1:18" s="1840" customFormat="1" ht="24.75" thickBot="1">
      <c r="A57" s="1916"/>
      <c r="B57" s="1168" t="s">
        <v>1474</v>
      </c>
      <c r="C57" s="282">
        <f ca="1">C29</f>
        <v>517106</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8393</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206842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8514</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1433</v>
      </c>
      <c r="C61" s="24">
        <f ca="1">IF(项目基本情况!B11="自然人","——",IF(D61="按租金收入计税",ROUND(C48*F61,0),IF(D61="按房产原值计税",ROUND(C57*F61*0.7,0),INDIRECT("'数据-取费表'!Aj"&amp;$G$1))))</f>
        <v>0</v>
      </c>
      <c r="D61" s="1826" t="s">
        <v>3061</v>
      </c>
      <c r="E61" s="1168"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1437</v>
      </c>
      <c r="C62" s="25">
        <f ca="1">IF(项目基本情况!B11="自然人","——",ROUND(F62*F63,0))</f>
        <v>0</v>
      </c>
      <c r="D62" s="1183" t="s">
        <v>1438</v>
      </c>
      <c r="E62" s="1168" t="s">
        <v>1439</v>
      </c>
      <c r="F62" s="371">
        <f t="shared" si="0"/>
        <v>1.5</v>
      </c>
      <c r="I62" s="1927" t="s">
        <v>1566</v>
      </c>
      <c r="J62" s="1928" t="s">
        <v>1567</v>
      </c>
      <c r="K62" s="1928" t="s">
        <v>1568</v>
      </c>
      <c r="L62" s="1928" t="s">
        <v>1569</v>
      </c>
      <c r="M62" s="1929" t="s">
        <v>1570</v>
      </c>
      <c r="O62" s="1882" t="s">
        <v>1043</v>
      </c>
      <c r="P62" s="1883" t="s">
        <v>1545</v>
      </c>
      <c r="Q62" s="1884">
        <f ca="1">Q56+Q57</f>
        <v>3843134</v>
      </c>
      <c r="R62" s="1884" t="s">
        <v>1044</v>
      </c>
    </row>
    <row r="63" spans="1:18" s="1840" customFormat="1" ht="13.5" thickBot="1">
      <c r="A63" s="372"/>
      <c r="B63" s="1174"/>
      <c r="C63" s="29"/>
      <c r="D63" s="1184"/>
      <c r="E63" s="1168"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1036</v>
      </c>
      <c r="B64" s="1168" t="s">
        <v>1445</v>
      </c>
      <c r="C64" s="24">
        <f ca="1">ROUND(C57*F64,0)</f>
        <v>7757</v>
      </c>
      <c r="D64" s="1182" t="s">
        <v>1478</v>
      </c>
      <c r="E64" s="1168"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636</v>
      </c>
      <c r="D65" s="1182" t="s">
        <v>1450</v>
      </c>
      <c r="E65" s="1168" t="s">
        <v>1418</v>
      </c>
      <c r="F65" s="376">
        <f t="shared" ca="1" si="0"/>
        <v>1.5E-3</v>
      </c>
      <c r="I65" s="1927" t="s">
        <v>1575</v>
      </c>
      <c r="J65" s="1928">
        <v>40</v>
      </c>
      <c r="K65" s="1928">
        <v>30</v>
      </c>
      <c r="L65" s="1928">
        <v>50</v>
      </c>
      <c r="M65" s="1930">
        <v>0.02</v>
      </c>
      <c r="O65" s="1882" t="s">
        <v>1037</v>
      </c>
      <c r="P65" s="1883" t="s">
        <v>1524</v>
      </c>
      <c r="Q65" s="1884">
        <f ca="1">C40+J29</f>
        <v>3843134</v>
      </c>
      <c r="R65" s="1884" t="s">
        <v>1525</v>
      </c>
    </row>
    <row r="66" spans="1:18" s="1840" customFormat="1" ht="16.5" thickBot="1">
      <c r="A66" s="1200" t="s">
        <v>1500</v>
      </c>
      <c r="B66" s="1168" t="s">
        <v>1435</v>
      </c>
      <c r="C66" s="24">
        <f ca="1">ROUND(C48*F66,0)</f>
        <v>0</v>
      </c>
      <c r="D66" s="1182" t="s">
        <v>1455</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-8393</v>
      </c>
      <c r="D67" s="1181" t="s">
        <v>1460</v>
      </c>
      <c r="E67" s="1186"/>
      <c r="F67" s="1187"/>
      <c r="O67" s="1892" t="s">
        <v>1039</v>
      </c>
      <c r="P67" s="1883" t="s">
        <v>1558</v>
      </c>
      <c r="Q67" s="1931">
        <f ca="1">L51</f>
        <v>2126630</v>
      </c>
      <c r="R67" s="1884" t="s">
        <v>1578</v>
      </c>
    </row>
    <row r="68" spans="1:18" s="1840" customFormat="1" ht="16.5" thickBot="1">
      <c r="A68" s="1165" t="s">
        <v>1029</v>
      </c>
      <c r="B68" s="1166" t="s">
        <v>1481</v>
      </c>
      <c r="C68" s="346">
        <f ca="1">ROUND(C67*(1-((1+F70)/(1+F68))^F69)/(F68-F70),0)</f>
        <v>-197553</v>
      </c>
      <c r="D68" s="1183" t="s">
        <v>1465</v>
      </c>
      <c r="E68" s="1168" t="s">
        <v>1466</v>
      </c>
      <c r="F68" s="357">
        <f ca="1">F40</f>
        <v>5.5E-2</v>
      </c>
      <c r="O68" s="1892" t="s">
        <v>1040</v>
      </c>
      <c r="P68" s="1932" t="s">
        <v>1579</v>
      </c>
      <c r="Q68" s="1884">
        <f ca="1">ROUND(Q69-Q70*Q71,0)</f>
        <v>127233</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163275</v>
      </c>
      <c r="R69" s="1884" t="s">
        <v>1525</v>
      </c>
    </row>
    <row r="70" spans="1:18" s="1840" customFormat="1" ht="13.5" thickBot="1">
      <c r="A70" s="1172"/>
      <c r="B70" s="1173"/>
      <c r="C70" s="355"/>
      <c r="D70" s="1184"/>
      <c r="E70" s="1168" t="s">
        <v>1473</v>
      </c>
      <c r="F70" s="1274">
        <f ca="1">F42</f>
        <v>0.03</v>
      </c>
      <c r="O70" s="1892" t="s">
        <v>1046</v>
      </c>
      <c r="P70" s="1932" t="s">
        <v>1581</v>
      </c>
      <c r="Q70" s="1884">
        <f ca="1">C13</f>
        <v>424027</v>
      </c>
      <c r="R70" s="1884" t="s">
        <v>1525</v>
      </c>
    </row>
    <row r="71" spans="1:18" s="1840" customFormat="1" ht="13.5" thickBot="1">
      <c r="A71" s="1189" t="s">
        <v>1030</v>
      </c>
      <c r="B71" s="1190" t="s">
        <v>1483</v>
      </c>
      <c r="C71" s="382">
        <f ca="1">ROUND(C68/F71,0)</f>
        <v>-1700</v>
      </c>
      <c r="D71" s="1191" t="s">
        <v>1484</v>
      </c>
      <c r="E71" s="1192" t="s">
        <v>1485</v>
      </c>
      <c r="F71" s="385">
        <f ca="1">F43</f>
        <v>116.2</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36042</v>
      </c>
      <c r="D75" s="1840"/>
      <c r="E75" s="1840"/>
      <c r="F75" s="1840"/>
      <c r="K75" s="1866"/>
      <c r="L75" s="1840"/>
      <c r="O75" s="1882" t="s">
        <v>1043</v>
      </c>
      <c r="P75" s="1883" t="s">
        <v>1545</v>
      </c>
      <c r="Q75" s="1884">
        <f ca="1">Q65+Q66</f>
        <v>3843134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典型户型价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"本次评估采用的主估价方法为"&amp;'结果表（典型户型价值）'!K4&amp;"和"&amp;'结果表（典型户型价值）'!L4&amp;"。"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1" zoomScale="90" zoomScaleNormal="90" workbookViewId="0">
      <selection activeCell="E27" sqref="E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t="s">
        <v>3051</v>
      </c>
      <c r="E1" s="2654"/>
      <c r="F1" s="2581" t="s">
        <v>3265</v>
      </c>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f>IF(C2="——",ROUND(C49*D3/10000,0),ROUND(C49*D3/10000,0)-D2)</f>
        <v>0</v>
      </c>
      <c r="C2" s="2583" t="s">
        <v>70</v>
      </c>
      <c r="D2" s="1364" t="e">
        <f ca="1">SUMIF(INDIRECT("'"&amp;F2&amp;"'"&amp;"!A:A"),"承租人权益价值",INDIRECT("'"&amp;F2&amp;"'"&amp;"!c:c"))</f>
        <v>#REF!</v>
      </c>
      <c r="E2" s="3063" t="s">
        <v>3305</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f>IF(C2="——",C49,ROUND(B2*10000/D3,0))</f>
        <v>5.5</v>
      </c>
      <c r="C3" s="400" t="s">
        <v>2636</v>
      </c>
      <c r="D3" s="399">
        <f>IF(D1="",'数据-汇总表'!E3,SUMIF('数据-汇总表'!$C19:$C33,D1,'数据-汇总表'!$E19:$E33))</f>
        <v>125.74</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43" t="s">
        <v>2640</v>
      </c>
      <c r="AC4" s="3313" t="s">
        <v>2641</v>
      </c>
    </row>
    <row r="5" spans="1:29" ht="31.5" customHeight="1">
      <c r="A5" s="404"/>
      <c r="B5" s="405"/>
      <c r="C5" s="3360" t="str">
        <f>项目基本情况!F10</f>
        <v>顺义区天竺地区小天竺路一号院1号楼101-112号办公用房</v>
      </c>
      <c r="D5" s="3325"/>
      <c r="E5" s="3359" t="s">
        <v>3266</v>
      </c>
      <c r="F5" s="3329"/>
      <c r="G5" s="3361" t="s">
        <v>3303</v>
      </c>
      <c r="H5" s="3325"/>
      <c r="I5" s="3361" t="s">
        <v>3268</v>
      </c>
      <c r="J5" s="3325"/>
      <c r="K5" s="610"/>
      <c r="L5" s="1129"/>
      <c r="M5" s="1130"/>
      <c r="N5" s="1130"/>
      <c r="O5" s="1130"/>
      <c r="P5" s="3337"/>
      <c r="Q5" s="3338"/>
      <c r="R5" s="3320"/>
      <c r="S5" s="3321"/>
      <c r="T5" s="3320"/>
      <c r="U5" s="3321"/>
      <c r="V5" s="3343"/>
      <c r="W5" s="3343"/>
      <c r="X5" s="1811"/>
      <c r="Y5" s="3320"/>
      <c r="Z5" s="3321"/>
      <c r="AA5" s="3314"/>
      <c r="AB5" s="3343"/>
      <c r="AC5" s="3314"/>
    </row>
    <row r="6" spans="1:29" ht="15.75" thickBot="1">
      <c r="A6" s="406"/>
      <c r="B6" s="407"/>
      <c r="C6" s="3326" t="s">
        <v>2538</v>
      </c>
      <c r="D6" s="3327"/>
      <c r="E6" s="3359" t="s">
        <v>3266</v>
      </c>
      <c r="F6" s="3329"/>
      <c r="G6" s="3362" t="s">
        <v>3267</v>
      </c>
      <c r="H6" s="3327"/>
      <c r="I6" s="3326" t="s">
        <v>2538</v>
      </c>
      <c r="J6" s="3327"/>
      <c r="K6" s="610" t="s">
        <v>2539</v>
      </c>
      <c r="L6" s="1129"/>
      <c r="M6" s="1130"/>
      <c r="N6" s="1130"/>
      <c r="O6" s="1130"/>
      <c r="P6" s="3339"/>
      <c r="Q6" s="3340"/>
      <c r="R6" s="3320"/>
      <c r="S6" s="3321"/>
      <c r="T6" s="3341"/>
      <c r="U6" s="3342"/>
      <c r="V6" s="3343"/>
      <c r="W6" s="3343"/>
      <c r="X6" s="1811"/>
      <c r="Y6" s="3341"/>
      <c r="Z6" s="3342"/>
      <c r="AA6" s="3315"/>
      <c r="AB6" s="3343"/>
      <c r="AC6" s="3315"/>
    </row>
    <row r="7" spans="1:29" s="117" customFormat="1" ht="15.75" thickBot="1">
      <c r="A7" s="408" t="s">
        <v>2540</v>
      </c>
      <c r="B7" s="409"/>
      <c r="C7" s="410">
        <f>'数据-取费表'!B2</f>
        <v>43444</v>
      </c>
      <c r="D7" s="411">
        <v>100</v>
      </c>
      <c r="E7" s="412">
        <v>43454</v>
      </c>
      <c r="F7" s="413">
        <f>SUMIF(58:58,YEAR(E7)&amp;"-"&amp;MONTH(E7),59:59)</f>
        <v>100</v>
      </c>
      <c r="G7" s="412">
        <v>43454</v>
      </c>
      <c r="H7" s="411">
        <f>SUMIF(58:58,YEAR(G7)&amp;"-"&amp;MONTH(G7),59:59)</f>
        <v>100</v>
      </c>
      <c r="I7" s="412">
        <v>43454</v>
      </c>
      <c r="J7" s="411">
        <f>SUMIF(58:58,YEAR(I7)&amp;"-"&amp;MONTH(I7),59:59)</f>
        <v>100</v>
      </c>
      <c r="K7" s="611"/>
      <c r="L7" s="1131"/>
      <c r="M7" s="1132"/>
      <c r="N7" s="1132"/>
      <c r="O7" s="1132"/>
      <c r="P7" s="331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770">
        <f>D7/J7</f>
        <v>1</v>
      </c>
    </row>
    <row r="8" spans="1:29" s="117" customFormat="1" ht="15.75" thickBot="1">
      <c r="A8" s="408" t="s">
        <v>2542</v>
      </c>
      <c r="B8" s="409"/>
      <c r="C8" s="414" t="s">
        <v>2644</v>
      </c>
      <c r="D8" s="411">
        <v>100</v>
      </c>
      <c r="E8" s="414" t="s">
        <v>3071</v>
      </c>
      <c r="F8" s="413">
        <f>SUMIF(61:61,E8,62:62)-SUMIF(61:61,C8,62:62)+100</f>
        <v>100</v>
      </c>
      <c r="G8" s="414" t="s">
        <v>3071</v>
      </c>
      <c r="H8" s="411">
        <f>SUMIF(61:61,G8,62:62)-SUMIF(61:61,C8,62:62)+100</f>
        <v>100</v>
      </c>
      <c r="I8" s="414" t="s">
        <v>3071</v>
      </c>
      <c r="J8" s="411">
        <f>SUMIF(61:61,I8,62:62)-SUMIF(61:61,C8,62:62)+100</f>
        <v>100</v>
      </c>
      <c r="K8" s="611"/>
      <c r="L8" s="1131"/>
      <c r="M8" s="1132"/>
      <c r="N8" s="1132"/>
      <c r="O8" s="1132"/>
      <c r="P8" s="3316" t="s">
        <v>2544</v>
      </c>
      <c r="Q8" s="3317"/>
      <c r="R8" s="767" t="s">
        <v>17</v>
      </c>
      <c r="S8" s="768">
        <f t="shared" si="0"/>
        <v>100</v>
      </c>
      <c r="T8" s="767" t="s">
        <v>17</v>
      </c>
      <c r="U8" s="768">
        <f t="shared" si="1"/>
        <v>100</v>
      </c>
      <c r="V8" s="767" t="s">
        <v>17</v>
      </c>
      <c r="W8" s="768">
        <f t="shared" si="2"/>
        <v>100</v>
      </c>
      <c r="X8" s="769"/>
      <c r="Y8" s="3316" t="s">
        <v>2544</v>
      </c>
      <c r="Z8" s="3317"/>
      <c r="AA8" s="770">
        <f t="shared" ref="AA8:AA46" si="3">D8/F8</f>
        <v>1</v>
      </c>
      <c r="AB8" s="770">
        <f t="shared" ref="AB8:AB46" si="4">D8/H8</f>
        <v>1</v>
      </c>
      <c r="AC8" s="770">
        <f t="shared" ref="AC8:AC46" si="5">D8/J8</f>
        <v>1</v>
      </c>
    </row>
    <row r="9" spans="1:29" s="117" customFormat="1">
      <c r="A9" s="415" t="s">
        <v>2545</v>
      </c>
      <c r="B9" s="71" t="s">
        <v>2546</v>
      </c>
      <c r="C9" s="2944" t="s">
        <v>3269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75" thickBot="1">
      <c r="A10" s="421"/>
      <c r="B10" s="422" t="s">
        <v>2549</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612">
        <v>3</v>
      </c>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hidden="1">
      <c r="A11" s="428"/>
      <c r="B11" s="422" t="s">
        <v>2550</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2</v>
      </c>
      <c r="L11" s="1137"/>
      <c r="M11" s="1130"/>
      <c r="N11" s="1130"/>
      <c r="O11" s="1130"/>
      <c r="P11" s="3330"/>
      <c r="Q11" s="1793" t="str">
        <f t="shared" si="6"/>
        <v>容积率</v>
      </c>
      <c r="R11" s="767" t="s">
        <v>17</v>
      </c>
      <c r="S11" s="768">
        <f t="shared" si="0"/>
        <v>100</v>
      </c>
      <c r="T11" s="767" t="s">
        <v>17</v>
      </c>
      <c r="U11" s="768">
        <f t="shared" si="1"/>
        <v>100</v>
      </c>
      <c r="V11" s="767" t="s">
        <v>17</v>
      </c>
      <c r="W11" s="768">
        <f t="shared" si="2"/>
        <v>100</v>
      </c>
      <c r="X11" s="769"/>
      <c r="Y11" s="3163"/>
      <c r="Z11" s="55" t="str">
        <f t="shared" si="7"/>
        <v>容积率</v>
      </c>
      <c r="AA11" s="770">
        <f t="shared" si="3"/>
        <v>1</v>
      </c>
      <c r="AB11" s="770">
        <f t="shared" si="4"/>
        <v>1</v>
      </c>
      <c r="AC11" s="770">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330"/>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330"/>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330"/>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357" t="s">
        <v>2552</v>
      </c>
      <c r="Q15" s="1808" t="str">
        <f t="shared" si="6"/>
        <v>商业繁华度</v>
      </c>
      <c r="R15" s="771" t="s">
        <v>17</v>
      </c>
      <c r="S15" s="772">
        <f t="shared" si="0"/>
        <v>100</v>
      </c>
      <c r="T15" s="771" t="s">
        <v>17</v>
      </c>
      <c r="U15" s="772">
        <f t="shared" si="1"/>
        <v>100</v>
      </c>
      <c r="V15" s="771" t="s">
        <v>17</v>
      </c>
      <c r="W15" s="772">
        <f t="shared" si="2"/>
        <v>100</v>
      </c>
      <c r="X15" s="1811"/>
      <c r="Y15" s="3350" t="s">
        <v>2552</v>
      </c>
      <c r="Z15" s="1812" t="str">
        <f t="shared" si="7"/>
        <v>商业繁华度</v>
      </c>
      <c r="AA15" s="1809">
        <f t="shared" si="3"/>
        <v>1</v>
      </c>
      <c r="AB15" s="1809">
        <f t="shared" si="4"/>
        <v>1</v>
      </c>
      <c r="AC15" s="1809">
        <f t="shared" si="5"/>
        <v>1</v>
      </c>
    </row>
    <row r="16" spans="1:29" ht="15">
      <c r="A16" s="428"/>
      <c r="B16" s="446"/>
      <c r="C16" s="447" t="s">
        <v>3074</v>
      </c>
      <c r="D16" s="448"/>
      <c r="E16" s="447" t="s">
        <v>3074</v>
      </c>
      <c r="F16" s="449"/>
      <c r="G16" s="447" t="s">
        <v>3074</v>
      </c>
      <c r="H16" s="450"/>
      <c r="I16" s="447" t="s">
        <v>3074</v>
      </c>
      <c r="J16" s="448"/>
      <c r="K16" s="615"/>
      <c r="L16" s="1139"/>
      <c r="M16" s="1130"/>
      <c r="N16" s="1130"/>
      <c r="O16" s="1130"/>
      <c r="P16" s="3358"/>
      <c r="Q16" s="1808"/>
      <c r="R16" s="771"/>
      <c r="S16" s="772"/>
      <c r="T16" s="771"/>
      <c r="U16" s="772"/>
      <c r="V16" s="771"/>
      <c r="W16" s="772"/>
      <c r="X16" s="1811"/>
      <c r="Y16" s="3351"/>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358"/>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456"/>
      <c r="C18" s="2605" t="s">
        <v>3074</v>
      </c>
      <c r="D18" s="450"/>
      <c r="E18" s="2607" t="s">
        <v>3074</v>
      </c>
      <c r="F18" s="453"/>
      <c r="G18" s="2606" t="s">
        <v>3074</v>
      </c>
      <c r="H18" s="448"/>
      <c r="I18" s="2607" t="s">
        <v>3074</v>
      </c>
      <c r="J18" s="448"/>
      <c r="K18" s="615"/>
      <c r="L18" s="1139"/>
      <c r="M18" s="1130"/>
      <c r="N18" s="1130"/>
      <c r="O18" s="1130"/>
      <c r="P18" s="3358"/>
      <c r="Q18" s="1808"/>
      <c r="R18" s="771"/>
      <c r="S18" s="772"/>
      <c r="T18" s="771"/>
      <c r="U18" s="772"/>
      <c r="V18" s="771"/>
      <c r="W18" s="772"/>
      <c r="X18" s="1811"/>
      <c r="Y18" s="3351"/>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358"/>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1809">
        <f t="shared" si="5"/>
        <v>1</v>
      </c>
    </row>
    <row r="20" spans="1:29" ht="15">
      <c r="A20" s="428"/>
      <c r="B20" s="456"/>
      <c r="C20" s="447" t="s">
        <v>3074</v>
      </c>
      <c r="D20" s="448"/>
      <c r="E20" s="2602" t="s">
        <v>3074</v>
      </c>
      <c r="F20" s="449"/>
      <c r="G20" s="2601" t="s">
        <v>3074</v>
      </c>
      <c r="H20" s="448"/>
      <c r="I20" s="2602" t="s">
        <v>3074</v>
      </c>
      <c r="J20" s="448"/>
      <c r="K20" s="615"/>
      <c r="L20" s="1139"/>
      <c r="M20" s="1130"/>
      <c r="N20" s="1130"/>
      <c r="O20" s="1130"/>
      <c r="P20" s="3358"/>
      <c r="Q20" s="1808"/>
      <c r="R20" s="771"/>
      <c r="S20" s="772"/>
      <c r="T20" s="771"/>
      <c r="U20" s="772"/>
      <c r="V20" s="771"/>
      <c r="W20" s="772"/>
      <c r="X20" s="1811"/>
      <c r="Y20" s="3351"/>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t="s">
        <v>3083</v>
      </c>
      <c r="D22" s="448"/>
      <c r="E22" s="447" t="s">
        <v>3083</v>
      </c>
      <c r="F22" s="449"/>
      <c r="G22" s="447" t="s">
        <v>3083</v>
      </c>
      <c r="H22" s="448"/>
      <c r="I22" s="447" t="s">
        <v>3083</v>
      </c>
      <c r="J22" s="448"/>
      <c r="K22" s="1382"/>
      <c r="L22" s="1139"/>
      <c r="M22" s="1130"/>
      <c r="N22" s="1130"/>
      <c r="O22" s="1130"/>
      <c r="P22" s="3358"/>
      <c r="Q22" s="1808"/>
      <c r="R22" s="771"/>
      <c r="S22" s="772"/>
      <c r="T22" s="771"/>
      <c r="U22" s="772"/>
      <c r="V22" s="771"/>
      <c r="W22" s="772"/>
      <c r="X22" s="1811"/>
      <c r="Y22" s="3351"/>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9"/>
      <c r="M23" s="1130"/>
      <c r="N23" s="1130"/>
      <c r="O23" s="1130"/>
      <c r="P23" s="3358"/>
      <c r="Q23" s="1808" t="str">
        <f>B23</f>
        <v>自然及人文环境</v>
      </c>
      <c r="R23" s="771" t="s">
        <v>17</v>
      </c>
      <c r="S23" s="772">
        <f>F23</f>
        <v>100</v>
      </c>
      <c r="T23" s="771" t="s">
        <v>17</v>
      </c>
      <c r="U23" s="772">
        <f>H23</f>
        <v>100</v>
      </c>
      <c r="V23" s="771" t="s">
        <v>17</v>
      </c>
      <c r="W23" s="772">
        <f>J23</f>
        <v>100</v>
      </c>
      <c r="X23" s="1811"/>
      <c r="Y23" s="3351"/>
      <c r="Z23" s="1812" t="str">
        <f>Q23</f>
        <v>自然及人文环境</v>
      </c>
      <c r="AA23" s="1809">
        <f t="shared" si="3"/>
        <v>1</v>
      </c>
      <c r="AB23" s="1809">
        <f t="shared" si="4"/>
        <v>1</v>
      </c>
      <c r="AC23" s="1809">
        <f t="shared" si="5"/>
        <v>1</v>
      </c>
    </row>
    <row r="24" spans="1:29" ht="15">
      <c r="A24" s="428"/>
      <c r="B24" s="456"/>
      <c r="C24" s="447" t="s">
        <v>3074</v>
      </c>
      <c r="D24" s="448"/>
      <c r="E24" s="2602" t="s">
        <v>3074</v>
      </c>
      <c r="F24" s="449"/>
      <c r="G24" s="2601" t="s">
        <v>3074</v>
      </c>
      <c r="H24" s="448"/>
      <c r="I24" s="2602" t="s">
        <v>3074</v>
      </c>
      <c r="J24" s="448"/>
      <c r="K24" s="615"/>
      <c r="L24" s="1139"/>
      <c r="M24" s="1130"/>
      <c r="N24" s="1130"/>
      <c r="O24" s="1130"/>
      <c r="P24" s="3358"/>
      <c r="Q24" s="1808"/>
      <c r="R24" s="771"/>
      <c r="S24" s="772"/>
      <c r="T24" s="771"/>
      <c r="U24" s="772"/>
      <c r="V24" s="771"/>
      <c r="W24" s="772"/>
      <c r="X24" s="1811"/>
      <c r="Y24" s="3351"/>
      <c r="Z24" s="1812"/>
      <c r="AA24" s="1809">
        <v>1</v>
      </c>
      <c r="AB24" s="1809">
        <v>1</v>
      </c>
      <c r="AC24" s="1809">
        <v>1</v>
      </c>
    </row>
    <row r="25" spans="1:29" ht="15">
      <c r="A25" s="428"/>
      <c r="B25" s="422" t="s">
        <v>2648</v>
      </c>
      <c r="C25" s="616" t="s">
        <v>3076</v>
      </c>
      <c r="D25" s="435">
        <v>100</v>
      </c>
      <c r="E25" s="616" t="s">
        <v>3076</v>
      </c>
      <c r="F25" s="461">
        <f>SUMIF(86:86,E25,87:87)-SUMIF(86:86,C25,87:87)+100</f>
        <v>100</v>
      </c>
      <c r="G25" s="616" t="s">
        <v>3076</v>
      </c>
      <c r="H25" s="435">
        <f>SUMIF(86:86,G25,87:87)-SUMIF(86:86,C25,87:87)+100</f>
        <v>100</v>
      </c>
      <c r="I25" s="616" t="s">
        <v>3076</v>
      </c>
      <c r="J25" s="435">
        <f>SUMIF(86:86,I25,87:87)-SUMIF(86:86,C25,87:87)+100</f>
        <v>100</v>
      </c>
      <c r="K25" s="612">
        <v>5</v>
      </c>
      <c r="L25" s="1139"/>
      <c r="M25" s="1130"/>
      <c r="N25" s="1130"/>
      <c r="O25" s="1130"/>
      <c r="P25" s="3358"/>
      <c r="Q25" s="1808" t="str">
        <f t="shared" ref="Q25:Q46" si="11">B25</f>
        <v>临街状况</v>
      </c>
      <c r="R25" s="771" t="s">
        <v>17</v>
      </c>
      <c r="S25" s="772">
        <f>F25</f>
        <v>100</v>
      </c>
      <c r="T25" s="771" t="s">
        <v>17</v>
      </c>
      <c r="U25" s="772">
        <f>H25</f>
        <v>100</v>
      </c>
      <c r="V25" s="771" t="s">
        <v>17</v>
      </c>
      <c r="W25" s="772">
        <f>J25</f>
        <v>100</v>
      </c>
      <c r="X25" s="1811"/>
      <c r="Y25" s="3351"/>
      <c r="Z25" s="1812" t="str">
        <f>Q25</f>
        <v>临街状况</v>
      </c>
      <c r="AA25" s="1809">
        <f t="shared" si="3"/>
        <v>1</v>
      </c>
      <c r="AB25" s="1809">
        <f t="shared" si="4"/>
        <v>1</v>
      </c>
      <c r="AC25" s="1809">
        <f t="shared" si="5"/>
        <v>1</v>
      </c>
    </row>
    <row r="26" spans="1:29" ht="15.75" customHeight="1">
      <c r="A26" s="428"/>
      <c r="B26" s="1385" t="s">
        <v>2649</v>
      </c>
      <c r="C26" s="3059" t="s">
        <v>3283</v>
      </c>
      <c r="D26" s="435">
        <v>100</v>
      </c>
      <c r="E26" s="3059" t="s">
        <v>3283</v>
      </c>
      <c r="F26" s="461">
        <f>SUMIF(88:88,E26,89:89)-SUMIF(88:88,C26,89:89)+100</f>
        <v>100</v>
      </c>
      <c r="G26" s="3059" t="s">
        <v>3279</v>
      </c>
      <c r="H26" s="435">
        <f>SUMIF(88:88,G26,89:89)-SUMIF(88:88,C26,89:89)+100</f>
        <v>95</v>
      </c>
      <c r="I26" s="3059" t="s">
        <v>3283</v>
      </c>
      <c r="J26" s="435">
        <f>SUMIF(88:88,I26,89:89)-SUMIF(88:88,C26,89:89)+100</f>
        <v>100</v>
      </c>
      <c r="K26" s="613"/>
      <c r="L26" s="1139"/>
      <c r="M26" s="1130"/>
      <c r="N26" s="1130"/>
      <c r="O26" s="1130"/>
      <c r="P26" s="3358"/>
      <c r="Q26" s="1808" t="str">
        <f t="shared" si="11"/>
        <v>平面位置/可视性</v>
      </c>
      <c r="R26" s="771" t="s">
        <v>17</v>
      </c>
      <c r="S26" s="772">
        <f>F26</f>
        <v>100</v>
      </c>
      <c r="T26" s="771" t="s">
        <v>17</v>
      </c>
      <c r="U26" s="772">
        <f>H26</f>
        <v>95</v>
      </c>
      <c r="V26" s="771" t="s">
        <v>17</v>
      </c>
      <c r="W26" s="772">
        <f>J26</f>
        <v>100</v>
      </c>
      <c r="X26" s="1811"/>
      <c r="Y26" s="3351"/>
      <c r="Z26" s="1812" t="str">
        <f>Q26</f>
        <v>平面位置/可视性</v>
      </c>
      <c r="AA26" s="1809">
        <f t="shared" si="3"/>
        <v>1</v>
      </c>
      <c r="AB26" s="1809">
        <f t="shared" si="4"/>
        <v>1.0526315789473684</v>
      </c>
      <c r="AC26" s="1809">
        <f t="shared" si="5"/>
        <v>1</v>
      </c>
    </row>
    <row r="27" spans="1:29" s="117" customFormat="1" ht="15.75" thickBot="1">
      <c r="A27" s="431"/>
      <c r="B27" s="451" t="s">
        <v>2650</v>
      </c>
      <c r="C27" s="2662" t="s">
        <v>3302</v>
      </c>
      <c r="D27" s="462">
        <v>100</v>
      </c>
      <c r="E27" s="2662" t="s">
        <v>3302</v>
      </c>
      <c r="F27" s="464">
        <f>SUMIF(90:90,E27,91:91)-SUMIF(90:90,C27,91:91)+100</f>
        <v>100</v>
      </c>
      <c r="G27" s="2662" t="s">
        <v>3074</v>
      </c>
      <c r="H27" s="462">
        <f>SUMIF(90:90,G27,91:91)-SUMIF(90:90,C27,91:91)+100</f>
        <v>97</v>
      </c>
      <c r="I27" s="2662" t="s">
        <v>3272</v>
      </c>
      <c r="J27" s="462">
        <f>SUMIF(90:90,I27,91:91)-SUMIF(90:90,C27,91:91)+100</f>
        <v>94</v>
      </c>
      <c r="K27" s="612">
        <v>3</v>
      </c>
      <c r="L27" s="1131"/>
      <c r="M27" s="1132"/>
      <c r="N27" s="1132"/>
      <c r="O27" s="1132"/>
      <c r="P27" s="3358"/>
      <c r="Q27" s="1793" t="str">
        <f t="shared" si="11"/>
        <v>人流量</v>
      </c>
      <c r="R27" s="767" t="s">
        <v>17</v>
      </c>
      <c r="S27" s="768">
        <f>F27</f>
        <v>100</v>
      </c>
      <c r="T27" s="767" t="s">
        <v>17</v>
      </c>
      <c r="U27" s="768">
        <f>H27</f>
        <v>97</v>
      </c>
      <c r="V27" s="767" t="s">
        <v>17</v>
      </c>
      <c r="W27" s="768">
        <f>J27</f>
        <v>94</v>
      </c>
      <c r="X27" s="769"/>
      <c r="Y27" s="3351"/>
      <c r="Z27" s="55" t="str">
        <f>Q27</f>
        <v>人流量</v>
      </c>
      <c r="AA27" s="1809">
        <f>D27/F27</f>
        <v>1</v>
      </c>
      <c r="AB27" s="1809">
        <f>D27/H27</f>
        <v>1.0309278350515463</v>
      </c>
      <c r="AC27" s="1809">
        <f>D27/J27</f>
        <v>1.0638297872340425</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358"/>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351"/>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358"/>
      <c r="Q29" s="1808">
        <f t="shared" si="11"/>
        <v>111</v>
      </c>
      <c r="R29" s="771" t="s">
        <v>17</v>
      </c>
      <c r="S29" s="772">
        <f t="shared" si="12"/>
        <v>100</v>
      </c>
      <c r="T29" s="771" t="s">
        <v>17</v>
      </c>
      <c r="U29" s="772">
        <f t="shared" si="13"/>
        <v>100</v>
      </c>
      <c r="V29" s="771" t="s">
        <v>17</v>
      </c>
      <c r="W29" s="772">
        <f t="shared" si="14"/>
        <v>100</v>
      </c>
      <c r="X29" s="1811"/>
      <c r="Y29" s="3351"/>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358"/>
      <c r="Q30" s="1808">
        <f t="shared" si="11"/>
        <v>111</v>
      </c>
      <c r="R30" s="771" t="s">
        <v>17</v>
      </c>
      <c r="S30" s="772">
        <f t="shared" si="12"/>
        <v>100</v>
      </c>
      <c r="T30" s="771" t="s">
        <v>17</v>
      </c>
      <c r="U30" s="772">
        <f t="shared" si="13"/>
        <v>100</v>
      </c>
      <c r="V30" s="771" t="s">
        <v>17</v>
      </c>
      <c r="W30" s="772">
        <f t="shared" si="14"/>
        <v>100</v>
      </c>
      <c r="X30" s="1811"/>
      <c r="Y30" s="3351"/>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358"/>
      <c r="Q31" s="1808">
        <f t="shared" si="11"/>
        <v>111</v>
      </c>
      <c r="R31" s="771" t="s">
        <v>17</v>
      </c>
      <c r="S31" s="772">
        <f t="shared" si="12"/>
        <v>100</v>
      </c>
      <c r="T31" s="771" t="s">
        <v>17</v>
      </c>
      <c r="U31" s="772">
        <f t="shared" si="13"/>
        <v>100</v>
      </c>
      <c r="V31" s="771" t="s">
        <v>17</v>
      </c>
      <c r="W31" s="772">
        <f t="shared" si="14"/>
        <v>100</v>
      </c>
      <c r="X31" s="1811"/>
      <c r="Y31" s="3351"/>
      <c r="Z31" s="1812">
        <f t="shared" si="15"/>
        <v>111</v>
      </c>
      <c r="AA31" s="1809">
        <f t="shared" si="3"/>
        <v>1</v>
      </c>
      <c r="AB31" s="1809">
        <f t="shared" si="4"/>
        <v>1</v>
      </c>
      <c r="AC31" s="1809">
        <f t="shared" si="5"/>
        <v>1</v>
      </c>
    </row>
    <row r="32" spans="1:29" ht="15">
      <c r="A32" s="440" t="s">
        <v>2555</v>
      </c>
      <c r="B32" s="71" t="s">
        <v>2652</v>
      </c>
      <c r="C32" s="2614" t="s">
        <v>3116</v>
      </c>
      <c r="D32" s="467">
        <v>100</v>
      </c>
      <c r="E32" s="2614" t="s">
        <v>3116</v>
      </c>
      <c r="F32" s="461">
        <f>SUMIF(100:100,E32,101:101)-SUMIF(100:100,C32,101:101)+100</f>
        <v>100</v>
      </c>
      <c r="G32" s="2614" t="s">
        <v>3304</v>
      </c>
      <c r="H32" s="435">
        <f>SUMIF(100:100,G32,101:101)-SUMIF(100:100,C32,101:101)+100</f>
        <v>106</v>
      </c>
      <c r="I32" s="2614" t="s">
        <v>3116</v>
      </c>
      <c r="J32" s="467">
        <f>SUMIF(100:100,I32,101:101)-SUMIF(100:100,C32,101:101)+100</f>
        <v>100</v>
      </c>
      <c r="K32" s="612">
        <v>3</v>
      </c>
      <c r="L32" s="1139"/>
      <c r="M32" s="1130"/>
      <c r="N32" s="1130"/>
      <c r="O32" s="1130"/>
      <c r="P32" s="3352" t="s">
        <v>2557</v>
      </c>
      <c r="Q32" s="1808" t="str">
        <f t="shared" si="11"/>
        <v>商业类型</v>
      </c>
      <c r="R32" s="771" t="s">
        <v>17</v>
      </c>
      <c r="S32" s="772">
        <f t="shared" si="12"/>
        <v>100</v>
      </c>
      <c r="T32" s="771" t="s">
        <v>17</v>
      </c>
      <c r="U32" s="772">
        <f t="shared" si="13"/>
        <v>106</v>
      </c>
      <c r="V32" s="771" t="s">
        <v>17</v>
      </c>
      <c r="W32" s="772">
        <f t="shared" si="14"/>
        <v>100</v>
      </c>
      <c r="X32" s="1811"/>
      <c r="Y32" s="3355" t="s">
        <v>2557</v>
      </c>
      <c r="Z32" s="1812" t="str">
        <f t="shared" si="15"/>
        <v>商业类型</v>
      </c>
      <c r="AA32" s="1809">
        <f t="shared" si="3"/>
        <v>1</v>
      </c>
      <c r="AB32" s="1809">
        <f t="shared" si="4"/>
        <v>0.94339622641509435</v>
      </c>
      <c r="AC32" s="1809">
        <f t="shared" si="5"/>
        <v>1</v>
      </c>
    </row>
    <row r="33" spans="1:29" s="471" customFormat="1" ht="15">
      <c r="A33" s="468"/>
      <c r="B33" s="422" t="s">
        <v>2558</v>
      </c>
      <c r="C33" s="469">
        <v>125.74</v>
      </c>
      <c r="D33" s="136">
        <v>100</v>
      </c>
      <c r="E33" s="430">
        <v>320</v>
      </c>
      <c r="F33" s="425">
        <f>LOOKUP(E33,103:103,104:104)-LOOKUP(C33,103:103,104:104)+100</f>
        <v>90</v>
      </c>
      <c r="G33" s="429">
        <v>375</v>
      </c>
      <c r="H33" s="136">
        <f>LOOKUP(G33,103:103,104:104)-LOOKUP(C33,103:103,104:104)+100</f>
        <v>90</v>
      </c>
      <c r="I33" s="429">
        <v>150</v>
      </c>
      <c r="J33" s="136">
        <f>LOOKUP(I33,103:103,104:104)-LOOKUP(C33,103:103,104:104)+100</f>
        <v>100</v>
      </c>
      <c r="K33" s="613"/>
      <c r="L33" s="1137"/>
      <c r="M33" s="1140"/>
      <c r="N33" s="1140"/>
      <c r="O33" s="1140"/>
      <c r="P33" s="3353"/>
      <c r="Q33" s="773" t="str">
        <f t="shared" si="11"/>
        <v>项目建筑规模</v>
      </c>
      <c r="R33" s="774" t="s">
        <v>17</v>
      </c>
      <c r="S33" s="775">
        <f t="shared" si="12"/>
        <v>90</v>
      </c>
      <c r="T33" s="774" t="s">
        <v>17</v>
      </c>
      <c r="U33" s="775">
        <f t="shared" si="13"/>
        <v>90</v>
      </c>
      <c r="V33" s="774" t="s">
        <v>17</v>
      </c>
      <c r="W33" s="775">
        <f t="shared" si="14"/>
        <v>100</v>
      </c>
      <c r="X33" s="776"/>
      <c r="Y33" s="3355"/>
      <c r="Z33" s="777" t="str">
        <f t="shared" si="15"/>
        <v>项目建筑规模</v>
      </c>
      <c r="AA33" s="1809">
        <f t="shared" si="3"/>
        <v>1.1111111111111112</v>
      </c>
      <c r="AB33" s="1809">
        <f t="shared" si="4"/>
        <v>1.1111111111111112</v>
      </c>
      <c r="AC33" s="1809">
        <f t="shared" si="5"/>
        <v>1</v>
      </c>
    </row>
    <row r="34" spans="1:29" ht="15">
      <c r="A34" s="472"/>
      <c r="B34" s="422" t="s">
        <v>2559</v>
      </c>
      <c r="C34" s="2616" t="s">
        <v>3062</v>
      </c>
      <c r="D34" s="435">
        <v>100</v>
      </c>
      <c r="E34" s="2616" t="s">
        <v>3062</v>
      </c>
      <c r="F34" s="461">
        <f>SUMIF(105:105,E34,106:106)-SUMIF(105:105,C34,106:106)+100</f>
        <v>100</v>
      </c>
      <c r="G34" s="2616" t="s">
        <v>3062</v>
      </c>
      <c r="H34" s="435">
        <f>SUMIF(105:105,G34,106:106)-SUMIF(105:105,C34,106:106)+100</f>
        <v>100</v>
      </c>
      <c r="I34" s="2616" t="s">
        <v>3062</v>
      </c>
      <c r="J34" s="435">
        <f>SUMIF(105:105,I34,106:106)-SUMIF(105:105,C34,106:106)+100</f>
        <v>100</v>
      </c>
      <c r="K34" s="612">
        <v>5</v>
      </c>
      <c r="L34" s="1139"/>
      <c r="M34" s="1130"/>
      <c r="N34" s="1130"/>
      <c r="O34" s="1130"/>
      <c r="P34" s="3353"/>
      <c r="Q34" s="1808" t="str">
        <f t="shared" si="11"/>
        <v>建筑结构</v>
      </c>
      <c r="R34" s="771" t="s">
        <v>17</v>
      </c>
      <c r="S34" s="772">
        <f t="shared" si="12"/>
        <v>100</v>
      </c>
      <c r="T34" s="771" t="s">
        <v>17</v>
      </c>
      <c r="U34" s="772">
        <f t="shared" si="13"/>
        <v>100</v>
      </c>
      <c r="V34" s="771" t="s">
        <v>17</v>
      </c>
      <c r="W34" s="772">
        <f t="shared" si="14"/>
        <v>100</v>
      </c>
      <c r="X34" s="1811"/>
      <c r="Y34" s="3355"/>
      <c r="Z34" s="1812" t="str">
        <f t="shared" si="15"/>
        <v>建筑结构</v>
      </c>
      <c r="AA34" s="1809">
        <f t="shared" si="3"/>
        <v>1</v>
      </c>
      <c r="AB34" s="1809">
        <f t="shared" si="4"/>
        <v>1</v>
      </c>
      <c r="AC34" s="1809">
        <f t="shared" si="5"/>
        <v>1</v>
      </c>
    </row>
    <row r="35" spans="1:29" ht="15" hidden="1">
      <c r="A35" s="472"/>
      <c r="B35" s="422" t="s">
        <v>2653</v>
      </c>
      <c r="C35" s="2610" t="s">
        <v>3290</v>
      </c>
      <c r="D35" s="435">
        <v>100</v>
      </c>
      <c r="E35" s="2610" t="s">
        <v>3290</v>
      </c>
      <c r="F35" s="461">
        <f>SUMIF(107:107,E35,108:108)-SUMIF(107:107,C35,108:108)+100</f>
        <v>100</v>
      </c>
      <c r="G35" s="2610" t="s">
        <v>3291</v>
      </c>
      <c r="H35" s="435">
        <f>SUMIF(107:107,G35,108:108)-SUMIF(107:107,C35,108:108)+100</f>
        <v>100</v>
      </c>
      <c r="I35" s="2610" t="s">
        <v>3291</v>
      </c>
      <c r="J35" s="435">
        <f>SUMIF(107:107,I35,108:108)-SUMIF(107:107,C35,108:108)+100</f>
        <v>100</v>
      </c>
      <c r="K35" s="612">
        <v>0</v>
      </c>
      <c r="L35" s="1139"/>
      <c r="M35" s="1130"/>
      <c r="N35" s="1130"/>
      <c r="O35" s="1130"/>
      <c r="P35" s="3353"/>
      <c r="Q35" s="1808" t="str">
        <f t="shared" si="11"/>
        <v>公共部分装修</v>
      </c>
      <c r="R35" s="771" t="s">
        <v>17</v>
      </c>
      <c r="S35" s="772">
        <f t="shared" si="12"/>
        <v>100</v>
      </c>
      <c r="T35" s="771" t="s">
        <v>17</v>
      </c>
      <c r="U35" s="772">
        <f t="shared" si="13"/>
        <v>100</v>
      </c>
      <c r="V35" s="771" t="s">
        <v>17</v>
      </c>
      <c r="W35" s="772">
        <f t="shared" si="14"/>
        <v>100</v>
      </c>
      <c r="X35" s="1811"/>
      <c r="Y35" s="3355"/>
      <c r="Z35" s="1812" t="str">
        <f t="shared" si="15"/>
        <v>公共部分装修</v>
      </c>
      <c r="AA35" s="1809">
        <f t="shared" si="3"/>
        <v>1</v>
      </c>
      <c r="AB35" s="1809">
        <f t="shared" si="4"/>
        <v>1</v>
      </c>
      <c r="AC35" s="1809">
        <f t="shared" si="5"/>
        <v>1</v>
      </c>
    </row>
    <row r="36" spans="1:29" ht="15">
      <c r="A36" s="472"/>
      <c r="B36" s="422" t="s">
        <v>2654</v>
      </c>
      <c r="C36" s="474">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9"/>
      <c r="M36" s="1130"/>
      <c r="N36" s="1130"/>
      <c r="O36" s="1130"/>
      <c r="P36" s="3353"/>
      <c r="Q36" s="1808" t="str">
        <f t="shared" si="11"/>
        <v>成新度</v>
      </c>
      <c r="R36" s="771" t="s">
        <v>17</v>
      </c>
      <c r="S36" s="772">
        <f t="shared" si="12"/>
        <v>100</v>
      </c>
      <c r="T36" s="771" t="s">
        <v>17</v>
      </c>
      <c r="U36" s="772">
        <f t="shared" si="13"/>
        <v>100</v>
      </c>
      <c r="V36" s="771" t="s">
        <v>17</v>
      </c>
      <c r="W36" s="772">
        <f t="shared" si="14"/>
        <v>100</v>
      </c>
      <c r="X36" s="1811"/>
      <c r="Y36" s="3355"/>
      <c r="Z36" s="1812" t="str">
        <f t="shared" si="15"/>
        <v>成新度</v>
      </c>
      <c r="AA36" s="1809">
        <f t="shared" si="3"/>
        <v>1</v>
      </c>
      <c r="AB36" s="1809">
        <f t="shared" si="4"/>
        <v>1</v>
      </c>
      <c r="AC36" s="1809">
        <f t="shared" si="5"/>
        <v>1</v>
      </c>
    </row>
    <row r="37" spans="1:29" s="117" customFormat="1" ht="15">
      <c r="A37" s="473"/>
      <c r="B37" s="422" t="s">
        <v>2655</v>
      </c>
      <c r="C37" s="3062" t="s">
        <v>3129</v>
      </c>
      <c r="D37" s="136">
        <v>100</v>
      </c>
      <c r="E37" s="3062" t="s">
        <v>3129</v>
      </c>
      <c r="F37" s="461">
        <f>SUMIF(112:112,E37,113:113)-SUMIF(112:112,C37,113:113)+100</f>
        <v>100</v>
      </c>
      <c r="G37" s="2610" t="s">
        <v>3129</v>
      </c>
      <c r="H37" s="435">
        <f>SUMIF(112:112,G37,113:113)-SUMIF(112:112,C37,113:113)+100</f>
        <v>100</v>
      </c>
      <c r="I37" s="2610" t="s">
        <v>3129</v>
      </c>
      <c r="J37" s="435">
        <f>SUMIF(112:112,I37,113:113)-SUMIF(112:112,C37,113:113)+100</f>
        <v>100</v>
      </c>
      <c r="K37" s="612">
        <v>1</v>
      </c>
      <c r="L37" s="1131"/>
      <c r="M37" s="1132"/>
      <c r="N37" s="1132"/>
      <c r="O37" s="1132"/>
      <c r="P37" s="3353"/>
      <c r="Q37" s="1793" t="str">
        <f t="shared" si="11"/>
        <v>市政基础设施</v>
      </c>
      <c r="R37" s="767" t="s">
        <v>17</v>
      </c>
      <c r="S37" s="768">
        <f t="shared" si="12"/>
        <v>100</v>
      </c>
      <c r="T37" s="767" t="s">
        <v>17</v>
      </c>
      <c r="U37" s="768">
        <f t="shared" si="13"/>
        <v>100</v>
      </c>
      <c r="V37" s="767" t="s">
        <v>17</v>
      </c>
      <c r="W37" s="768">
        <f t="shared" si="14"/>
        <v>100</v>
      </c>
      <c r="X37" s="769"/>
      <c r="Y37" s="3355"/>
      <c r="Z37" s="55" t="str">
        <f t="shared" si="15"/>
        <v>市政基础设施</v>
      </c>
      <c r="AA37" s="770">
        <f t="shared" si="3"/>
        <v>1</v>
      </c>
      <c r="AB37" s="770">
        <f t="shared" si="4"/>
        <v>1</v>
      </c>
      <c r="AC37" s="770">
        <f t="shared" si="5"/>
        <v>1</v>
      </c>
    </row>
    <row r="38" spans="1:29" ht="15" hidden="1">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353" t="s">
        <v>2557</v>
      </c>
      <c r="Q38" s="1808" t="str">
        <f t="shared" si="11"/>
        <v>业态</v>
      </c>
      <c r="R38" s="771" t="s">
        <v>17</v>
      </c>
      <c r="S38" s="772">
        <f t="shared" si="12"/>
        <v>100</v>
      </c>
      <c r="T38" s="771" t="s">
        <v>17</v>
      </c>
      <c r="U38" s="772">
        <f t="shared" si="13"/>
        <v>100</v>
      </c>
      <c r="V38" s="771" t="s">
        <v>17</v>
      </c>
      <c r="W38" s="772">
        <f t="shared" si="14"/>
        <v>100</v>
      </c>
      <c r="X38" s="1811"/>
      <c r="Y38" s="3355" t="s">
        <v>2557</v>
      </c>
      <c r="Z38" s="1812" t="str">
        <f t="shared" si="15"/>
        <v>业态</v>
      </c>
      <c r="AA38" s="1809">
        <f t="shared" si="3"/>
        <v>1</v>
      </c>
      <c r="AB38" s="1809">
        <f t="shared" si="4"/>
        <v>1</v>
      </c>
      <c r="AC38" s="1809">
        <f t="shared" si="5"/>
        <v>1</v>
      </c>
    </row>
    <row r="39" spans="1:29" ht="15">
      <c r="A39" s="472"/>
      <c r="B39" s="422" t="s">
        <v>2657</v>
      </c>
      <c r="C39" s="2610" t="s">
        <v>3136</v>
      </c>
      <c r="D39" s="435">
        <v>100</v>
      </c>
      <c r="E39" s="2610" t="s">
        <v>3134</v>
      </c>
      <c r="F39" s="461">
        <f>SUMIF(116:116,E39,117:117)-SUMIF(116:116,C39,117:117)+100</f>
        <v>110</v>
      </c>
      <c r="G39" s="2610" t="s">
        <v>3136</v>
      </c>
      <c r="H39" s="435">
        <f>SUMIF(116:116,G39,117:117)-SUMIF(116:116,C39,117:117)+100</f>
        <v>100</v>
      </c>
      <c r="I39" s="2610" t="s">
        <v>3136</v>
      </c>
      <c r="J39" s="435">
        <f>SUMIF(116:116,I39,117:117)-SUMIF(116:116,C39,117:117)+100</f>
        <v>100</v>
      </c>
      <c r="K39" s="612">
        <v>10</v>
      </c>
      <c r="L39" s="1139"/>
      <c r="M39" s="1130"/>
      <c r="N39" s="1130"/>
      <c r="O39" s="1130"/>
      <c r="P39" s="3353"/>
      <c r="Q39" s="1808" t="str">
        <f t="shared" si="11"/>
        <v>层高</v>
      </c>
      <c r="R39" s="771" t="s">
        <v>17</v>
      </c>
      <c r="S39" s="772">
        <f t="shared" si="12"/>
        <v>110</v>
      </c>
      <c r="T39" s="771" t="s">
        <v>17</v>
      </c>
      <c r="U39" s="772">
        <f t="shared" si="13"/>
        <v>100</v>
      </c>
      <c r="V39" s="771" t="s">
        <v>17</v>
      </c>
      <c r="W39" s="772">
        <f t="shared" si="14"/>
        <v>100</v>
      </c>
      <c r="X39" s="1811"/>
      <c r="Y39" s="3355"/>
      <c r="Z39" s="1812" t="str">
        <f t="shared" si="15"/>
        <v>层高</v>
      </c>
      <c r="AA39" s="1809">
        <f t="shared" si="3"/>
        <v>0.90909090909090906</v>
      </c>
      <c r="AB39" s="1809">
        <f t="shared" si="4"/>
        <v>1</v>
      </c>
      <c r="AC39" s="1809">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353"/>
      <c r="Q40" s="1808" t="str">
        <f t="shared" si="11"/>
        <v>单套建筑面积</v>
      </c>
      <c r="R40" s="771" t="s">
        <v>17</v>
      </c>
      <c r="S40" s="772">
        <f t="shared" si="12"/>
        <v>100</v>
      </c>
      <c r="T40" s="771" t="s">
        <v>17</v>
      </c>
      <c r="U40" s="772">
        <f t="shared" si="13"/>
        <v>100</v>
      </c>
      <c r="V40" s="771" t="s">
        <v>17</v>
      </c>
      <c r="W40" s="772">
        <f t="shared" si="14"/>
        <v>100</v>
      </c>
      <c r="X40" s="1811"/>
      <c r="Y40" s="3355"/>
      <c r="Z40" s="1812" t="str">
        <f t="shared" si="15"/>
        <v>单套建筑面积</v>
      </c>
      <c r="AA40" s="1809">
        <f t="shared" si="3"/>
        <v>1</v>
      </c>
      <c r="AB40" s="1809">
        <f t="shared" si="4"/>
        <v>1</v>
      </c>
      <c r="AC40" s="1809">
        <f t="shared" si="5"/>
        <v>1</v>
      </c>
    </row>
    <row r="41" spans="1:29" s="471" customFormat="1" ht="15">
      <c r="A41" s="468"/>
      <c r="B41" s="1810" t="s">
        <v>2659</v>
      </c>
      <c r="C41" s="616" t="s">
        <v>3075</v>
      </c>
      <c r="D41" s="435">
        <v>100</v>
      </c>
      <c r="E41" s="616" t="s">
        <v>3075</v>
      </c>
      <c r="F41" s="461">
        <f>SUMIF(120:120,E41,121:121)-SUMIF(120:120,C41,121:121)+100</f>
        <v>100</v>
      </c>
      <c r="G41" s="616" t="s">
        <v>3074</v>
      </c>
      <c r="H41" s="435">
        <f>SUMIF(120:120,G41,121:121)-SUMIF(120:120,C41,121:121)+100</f>
        <v>97</v>
      </c>
      <c r="I41" s="616" t="s">
        <v>3074</v>
      </c>
      <c r="J41" s="435">
        <f>SUMIF(120:120,I41,121:121)-SUMIF(120:120,C41,121:121)+100</f>
        <v>97</v>
      </c>
      <c r="K41" s="612">
        <v>3</v>
      </c>
      <c r="L41" s="1137"/>
      <c r="M41" s="1140"/>
      <c r="N41" s="1140"/>
      <c r="O41" s="1140"/>
      <c r="P41" s="3353"/>
      <c r="Q41" s="773" t="str">
        <f t="shared" si="11"/>
        <v>进深比</v>
      </c>
      <c r="R41" s="774" t="s">
        <v>17</v>
      </c>
      <c r="S41" s="775">
        <f t="shared" si="12"/>
        <v>100</v>
      </c>
      <c r="T41" s="774" t="s">
        <v>17</v>
      </c>
      <c r="U41" s="775">
        <f t="shared" si="13"/>
        <v>97</v>
      </c>
      <c r="V41" s="774" t="s">
        <v>17</v>
      </c>
      <c r="W41" s="775">
        <f t="shared" si="14"/>
        <v>97</v>
      </c>
      <c r="X41" s="776"/>
      <c r="Y41" s="3355"/>
      <c r="Z41" s="777" t="str">
        <f t="shared" si="15"/>
        <v>进深比</v>
      </c>
      <c r="AA41" s="1809">
        <f t="shared" si="3"/>
        <v>1</v>
      </c>
      <c r="AB41" s="1809">
        <f t="shared" si="4"/>
        <v>1.0309278350515463</v>
      </c>
      <c r="AC41" s="1809">
        <f t="shared" si="5"/>
        <v>1.0309278350515463</v>
      </c>
    </row>
    <row r="42" spans="1:29" ht="15">
      <c r="A42" s="472"/>
      <c r="B42" s="422" t="s">
        <v>2660</v>
      </c>
      <c r="C42" s="2610" t="s">
        <v>3140</v>
      </c>
      <c r="D42" s="435">
        <v>100</v>
      </c>
      <c r="E42" s="2610" t="s">
        <v>3140</v>
      </c>
      <c r="F42" s="461">
        <f>SUMIF(122:122,E42,123:123)-SUMIF(122:122,C42,123:123)+100</f>
        <v>100</v>
      </c>
      <c r="G42" s="2610" t="s">
        <v>3140</v>
      </c>
      <c r="H42" s="435">
        <f>SUMIF(122:122,G42,123:123)-SUMIF(122:122,C42,123:123)+100</f>
        <v>100</v>
      </c>
      <c r="I42" s="2610" t="s">
        <v>3140</v>
      </c>
      <c r="J42" s="435">
        <f>SUMIF(122:122,I42,123:123)-SUMIF(122:122,C42,123:123)+100</f>
        <v>100</v>
      </c>
      <c r="K42" s="612">
        <v>2</v>
      </c>
      <c r="L42" s="1139"/>
      <c r="M42" s="1130"/>
      <c r="N42" s="1130"/>
      <c r="O42" s="1130"/>
      <c r="P42" s="3353"/>
      <c r="Q42" s="1808" t="str">
        <f t="shared" si="11"/>
        <v>内部装修</v>
      </c>
      <c r="R42" s="771" t="s">
        <v>17</v>
      </c>
      <c r="S42" s="772">
        <f t="shared" si="12"/>
        <v>100</v>
      </c>
      <c r="T42" s="771" t="s">
        <v>17</v>
      </c>
      <c r="U42" s="772">
        <f t="shared" si="13"/>
        <v>100</v>
      </c>
      <c r="V42" s="771" t="s">
        <v>17</v>
      </c>
      <c r="W42" s="772">
        <f t="shared" si="14"/>
        <v>100</v>
      </c>
      <c r="X42" s="1811"/>
      <c r="Y42" s="3355"/>
      <c r="Z42" s="1812" t="str">
        <f t="shared" si="15"/>
        <v>内部装修</v>
      </c>
      <c r="AA42" s="1809">
        <f t="shared" si="3"/>
        <v>1</v>
      </c>
      <c r="AB42" s="1809">
        <f t="shared" si="4"/>
        <v>1</v>
      </c>
      <c r="AC42" s="1809">
        <f t="shared" si="5"/>
        <v>1</v>
      </c>
    </row>
    <row r="43" spans="1:29" ht="15.75" thickBot="1">
      <c r="A43" s="472"/>
      <c r="B43" s="422" t="s">
        <v>2568</v>
      </c>
      <c r="C43" s="2610" t="s">
        <v>3075</v>
      </c>
      <c r="D43" s="435">
        <v>100</v>
      </c>
      <c r="E43" s="2610" t="s">
        <v>3075</v>
      </c>
      <c r="F43" s="461">
        <f>SUMIF(124:124,E43,125:125)-SUMIF(124:124,C43,125:125)+100</f>
        <v>100</v>
      </c>
      <c r="G43" s="2610" t="s">
        <v>3075</v>
      </c>
      <c r="H43" s="435">
        <f>SUMIF(124:124,G43,125:125)-SUMIF(124:124,C43,125:125)+100</f>
        <v>100</v>
      </c>
      <c r="I43" s="2610" t="s">
        <v>3074</v>
      </c>
      <c r="J43" s="435">
        <f>SUMIF(124:124,I43,125:125)-SUMIF(124:124,C43,125:125)+100</f>
        <v>97</v>
      </c>
      <c r="K43" s="612">
        <v>3</v>
      </c>
      <c r="L43" s="1139"/>
      <c r="M43" s="1130"/>
      <c r="N43" s="1130"/>
      <c r="O43" s="1130"/>
      <c r="P43" s="3353"/>
      <c r="Q43" s="1808" t="str">
        <f t="shared" si="11"/>
        <v>内部装修维护情况</v>
      </c>
      <c r="R43" s="771" t="s">
        <v>17</v>
      </c>
      <c r="S43" s="772">
        <f t="shared" si="12"/>
        <v>100</v>
      </c>
      <c r="T43" s="771" t="s">
        <v>17</v>
      </c>
      <c r="U43" s="772">
        <f t="shared" si="13"/>
        <v>100</v>
      </c>
      <c r="V43" s="771" t="s">
        <v>17</v>
      </c>
      <c r="W43" s="772">
        <f t="shared" si="14"/>
        <v>97</v>
      </c>
      <c r="X43" s="1811"/>
      <c r="Y43" s="3355"/>
      <c r="Z43" s="1812" t="str">
        <f t="shared" si="15"/>
        <v>内部装修维护情况</v>
      </c>
      <c r="AA43" s="1809">
        <f t="shared" si="3"/>
        <v>1</v>
      </c>
      <c r="AB43" s="1809">
        <f t="shared" si="4"/>
        <v>1</v>
      </c>
      <c r="AC43" s="1809">
        <f t="shared" si="5"/>
        <v>1.0309278350515463</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353"/>
      <c r="Q44" s="1793">
        <f t="shared" si="11"/>
        <v>111</v>
      </c>
      <c r="R44" s="767" t="s">
        <v>17</v>
      </c>
      <c r="S44" s="768">
        <f t="shared" si="12"/>
        <v>100</v>
      </c>
      <c r="T44" s="767" t="s">
        <v>17</v>
      </c>
      <c r="U44" s="768">
        <f t="shared" si="13"/>
        <v>100</v>
      </c>
      <c r="V44" s="767" t="s">
        <v>17</v>
      </c>
      <c r="W44" s="768">
        <f t="shared" si="14"/>
        <v>100</v>
      </c>
      <c r="X44" s="769"/>
      <c r="Y44" s="3355"/>
      <c r="Z44" s="55">
        <f t="shared" si="15"/>
        <v>111</v>
      </c>
      <c r="AA44" s="770">
        <f t="shared" si="3"/>
        <v>1</v>
      </c>
      <c r="AB44" s="770">
        <f t="shared" si="4"/>
        <v>1</v>
      </c>
      <c r="AC44" s="770">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353"/>
      <c r="Q45" s="1808">
        <f t="shared" si="11"/>
        <v>111</v>
      </c>
      <c r="R45" s="771" t="s">
        <v>17</v>
      </c>
      <c r="S45" s="772">
        <f t="shared" si="12"/>
        <v>100</v>
      </c>
      <c r="T45" s="771" t="s">
        <v>17</v>
      </c>
      <c r="U45" s="772">
        <f t="shared" si="13"/>
        <v>100</v>
      </c>
      <c r="V45" s="771" t="s">
        <v>17</v>
      </c>
      <c r="W45" s="772">
        <f t="shared" si="14"/>
        <v>100</v>
      </c>
      <c r="X45" s="1811"/>
      <c r="Y45" s="3355"/>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354"/>
      <c r="Q46" s="1808">
        <f t="shared" si="11"/>
        <v>111</v>
      </c>
      <c r="R46" s="771" t="s">
        <v>17</v>
      </c>
      <c r="S46" s="772">
        <f t="shared" si="12"/>
        <v>100</v>
      </c>
      <c r="T46" s="771" t="s">
        <v>17</v>
      </c>
      <c r="U46" s="772">
        <f t="shared" si="13"/>
        <v>100</v>
      </c>
      <c r="V46" s="771" t="s">
        <v>17</v>
      </c>
      <c r="W46" s="772">
        <f t="shared" si="14"/>
        <v>100</v>
      </c>
      <c r="X46" s="1811"/>
      <c r="Y46" s="3356"/>
      <c r="Z46" s="1812">
        <f t="shared" si="15"/>
        <v>111</v>
      </c>
      <c r="AA46" s="1809">
        <f t="shared" si="3"/>
        <v>1</v>
      </c>
      <c r="AB46" s="1809">
        <f t="shared" si="4"/>
        <v>1</v>
      </c>
      <c r="AC46" s="1809">
        <f t="shared" si="5"/>
        <v>1</v>
      </c>
    </row>
    <row r="47" spans="1:29" ht="15">
      <c r="A47" s="479" t="s">
        <v>2569</v>
      </c>
      <c r="B47" s="480"/>
      <c r="C47" s="1406" t="s">
        <v>1</v>
      </c>
      <c r="D47" s="1407"/>
      <c r="E47" s="1408">
        <v>5.64</v>
      </c>
      <c r="F47" s="1409"/>
      <c r="G47" s="1410">
        <v>4.8</v>
      </c>
      <c r="H47" s="1411"/>
      <c r="I47" s="1408">
        <v>4.5</v>
      </c>
      <c r="J47" s="1411"/>
      <c r="K47" s="780"/>
      <c r="L47" s="1142"/>
      <c r="M47" s="1143"/>
      <c r="N47" s="1130"/>
      <c r="O47" s="1143"/>
      <c r="P47" s="3348" t="str">
        <f>A47</f>
        <v>成交单价（元/平方米）</v>
      </c>
      <c r="Q47" s="3348"/>
      <c r="R47" s="3343">
        <f>E47</f>
        <v>5.64</v>
      </c>
      <c r="S47" s="3343"/>
      <c r="T47" s="3343">
        <f>G47</f>
        <v>4.8</v>
      </c>
      <c r="U47" s="3343"/>
      <c r="V47" s="3343">
        <f>I47</f>
        <v>4.5</v>
      </c>
      <c r="W47" s="3343"/>
      <c r="X47" s="756"/>
      <c r="Y47" s="778"/>
      <c r="Z47" s="756"/>
      <c r="AA47" s="756"/>
      <c r="AB47" s="756"/>
      <c r="AC47" s="756"/>
    </row>
    <row r="48" spans="1:29" ht="15.75" thickBot="1">
      <c r="A48" s="486" t="s">
        <v>2661</v>
      </c>
      <c r="B48" s="487"/>
      <c r="C48" s="1412">
        <f>R49</f>
        <v>5.5</v>
      </c>
      <c r="D48" s="1413"/>
      <c r="E48" s="1414">
        <f>R48</f>
        <v>5.7</v>
      </c>
      <c r="F48" s="1414"/>
      <c r="G48" s="1412">
        <f>T48</f>
        <v>5.6</v>
      </c>
      <c r="H48" s="1413"/>
      <c r="I48" s="1414">
        <f>V48</f>
        <v>5.0999999999999996</v>
      </c>
      <c r="J48" s="1413"/>
      <c r="K48" s="781"/>
      <c r="L48" s="1142"/>
      <c r="M48" s="1143"/>
      <c r="N48" s="1130"/>
      <c r="O48" s="1143"/>
      <c r="P48" s="3348" t="str">
        <f>A48</f>
        <v>比较价值（元/平方米）</v>
      </c>
      <c r="Q48" s="3348"/>
      <c r="R48" s="3349">
        <f>IF(F1="售价",ROUND(PRODUCT(R47,AA7:AA46),0),ROUND(PRODUCT(R47,AA7:AA46),1))</f>
        <v>5.7</v>
      </c>
      <c r="S48" s="3349"/>
      <c r="T48" s="3349">
        <f>IF(F1="售价",ROUND(PRODUCT(T47,AB7:AB46),0),ROUND(PRODUCT(T47,AB7:AB46),1))</f>
        <v>5.6</v>
      </c>
      <c r="U48" s="3349"/>
      <c r="V48" s="3349">
        <f>IF(F1="售价",ROUND(PRODUCT(V47,AC7:AC46),0),ROUND(PRODUCT(V47,AC7:AC46),1))</f>
        <v>5.0999999999999996</v>
      </c>
      <c r="W48" s="3349"/>
      <c r="X48" s="756"/>
      <c r="Y48" s="756"/>
      <c r="Z48" s="756"/>
      <c r="AA48" s="756"/>
      <c r="AB48" s="756"/>
      <c r="AC48" s="756"/>
    </row>
    <row r="49" spans="1:29" ht="15.75" thickBot="1">
      <c r="A49" s="492" t="s">
        <v>2662</v>
      </c>
      <c r="B49" s="493"/>
      <c r="C49" s="1416">
        <f>R49</f>
        <v>5.5</v>
      </c>
      <c r="D49" s="1416"/>
      <c r="E49" s="1416"/>
      <c r="F49" s="1416"/>
      <c r="G49" s="1416"/>
      <c r="H49" s="1416"/>
      <c r="I49" s="1416"/>
      <c r="J49" s="1416"/>
      <c r="K49" s="782"/>
      <c r="L49" s="1142"/>
      <c r="M49" s="1143"/>
      <c r="N49" s="1130"/>
      <c r="O49" s="1143"/>
      <c r="P49" s="3345" t="str">
        <f>A49</f>
        <v>估价对象XX用房的比较价值（楼面单价，元/平方米）</v>
      </c>
      <c r="Q49" s="3346"/>
      <c r="R49" s="3347">
        <f>IF(F1="售价",ROUND(AVERAGE(R48:V48),0),ROUND(AVERAGE(R48:V48),1))</f>
        <v>5.5</v>
      </c>
      <c r="S49" s="3347"/>
      <c r="T49" s="3347"/>
      <c r="U49" s="3347"/>
      <c r="V49" s="3347"/>
      <c r="W49" s="3347"/>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f>IF(E47&lt;E48,E48/E47-1,E47/E48-1)</f>
        <v>1.0638297872340496E-2</v>
      </c>
      <c r="F52" s="500" t="str">
        <f>IF(OR(E52&gt;=0.3,E52&lt;=-0.3),"超过30%","")</f>
        <v/>
      </c>
      <c r="G52" s="499">
        <f>IF(G47&lt;G48,G48/G47-1,G47/G48-1)</f>
        <v>0.16666666666666674</v>
      </c>
      <c r="H52" s="500" t="str">
        <f>IF(OR(G52&gt;=0.3,G52&lt;=-0.3),"超过30%","")</f>
        <v/>
      </c>
      <c r="I52" s="499">
        <f>IF(I47&lt;I48,I48/I47-1,I47/I48-1)</f>
        <v>0.1333333333333333</v>
      </c>
      <c r="J52" s="500" t="str">
        <f>IF(OR(I52&gt;=0.3,I52&lt;=-0.3),"超过30%","")</f>
        <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f>IF(E48&lt;G48,G48/E48-1,E48/G48-1)</f>
        <v>1.7857142857143016E-2</v>
      </c>
      <c r="F53" s="500" t="str">
        <f>IF(OR(E53&gt;=0.2,E53&lt;=-0.2),"超过20%","")</f>
        <v/>
      </c>
      <c r="G53" s="499">
        <f>IF(G48&lt;I48,I48/G48-1,G48/I48-1)</f>
        <v>9.8039215686274606E-2</v>
      </c>
      <c r="H53" s="500" t="str">
        <f>IF(OR(G53&gt;=0.2,G53&lt;=-0.2),"超过20%","")</f>
        <v/>
      </c>
      <c r="I53" s="499">
        <f>IF(I48&lt;E48,E48/I48-1,I48/E48-1)</f>
        <v>0.11764705882352944</v>
      </c>
      <c r="J53" s="500" t="str">
        <f>IF(OR(I53&gt;=0.2,I53&lt;=-0.2),"超过20%","")</f>
        <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f>IF(E47&lt;G47,G47/E47-1,E47/G47-1)</f>
        <v>0.17500000000000004</v>
      </c>
      <c r="F54" s="500" t="str">
        <f>IF(OR(E54&gt;=0.3,E54&lt;=-0.3),"超过30%","")</f>
        <v/>
      </c>
      <c r="G54" s="499">
        <f>IF(G47&lt;I47,I47/G47-1,G47/I47-1)</f>
        <v>6.6666666666666652E-2</v>
      </c>
      <c r="H54" s="500" t="str">
        <f>IF(OR(G54&gt;=0.3,G54&lt;=-0.3),"超过30%","")</f>
        <v/>
      </c>
      <c r="I54" s="499">
        <f>IF(I47&lt;E47,E47/I47-1,I47/E47-1)</f>
        <v>0.25333333333333319</v>
      </c>
      <c r="J54" s="500"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v>100</v>
      </c>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t="str">
        <f>C9</f>
        <v>商业</v>
      </c>
      <c r="D63" s="2959" t="s">
        <v>3269</v>
      </c>
      <c r="E63" s="2959" t="s">
        <v>3270</v>
      </c>
      <c r="F63" s="2959" t="s">
        <v>3271</v>
      </c>
      <c r="G63" s="530"/>
      <c r="H63" s="530"/>
      <c r="I63" s="530"/>
      <c r="J63" s="530"/>
      <c r="K63" s="531"/>
      <c r="L63" s="532"/>
      <c r="M63" s="533"/>
      <c r="N63" s="1151"/>
      <c r="O63" s="1151"/>
      <c r="P63" s="2627"/>
      <c r="Q63" s="504"/>
    </row>
    <row r="64" spans="1:29" ht="15.75" thickBot="1">
      <c r="A64" s="534"/>
      <c r="B64" s="535"/>
      <c r="C64" s="536">
        <v>100</v>
      </c>
      <c r="D64" s="536">
        <v>100</v>
      </c>
      <c r="E64" s="536">
        <v>100</v>
      </c>
      <c r="F64" s="536">
        <v>100</v>
      </c>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7"/>
      <c r="Q66" s="504"/>
    </row>
    <row r="67" spans="1:17" ht="15.75" thickTop="1">
      <c r="A67" s="534"/>
      <c r="B67" s="546" t="s">
        <v>2550</v>
      </c>
      <c r="C67" s="547" t="str">
        <f>C68&amp;"（含）"&amp;"-"&amp;D68</f>
        <v>2（含）-2</v>
      </c>
      <c r="D67" s="547" t="str">
        <f t="shared" ref="D67:L67" si="17">D68&amp;"（含）"&amp;"-"&amp;E68</f>
        <v>2（含）-2</v>
      </c>
      <c r="E67" s="547" t="str">
        <f t="shared" si="17"/>
        <v>2（含）-2</v>
      </c>
      <c r="F67" s="547" t="str">
        <f t="shared" si="17"/>
        <v>2（含）-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2</v>
      </c>
      <c r="D68" s="549">
        <v>2</v>
      </c>
      <c r="E68" s="549">
        <v>2</v>
      </c>
      <c r="F68" s="549">
        <v>2</v>
      </c>
      <c r="G68" s="549"/>
      <c r="H68" s="549"/>
      <c r="I68" s="549"/>
      <c r="J68" s="549"/>
      <c r="K68" s="550"/>
      <c r="L68" s="551"/>
      <c r="M68" s="552"/>
      <c r="N68" s="1151"/>
      <c r="O68" s="1151"/>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2"/>
      <c r="O69" s="1152"/>
      <c r="P69" s="2627"/>
      <c r="Q69" s="504"/>
    </row>
    <row r="70" spans="1:17" s="471" customFormat="1" ht="15.75" hidden="1" thickTop="1">
      <c r="A70" s="553"/>
      <c r="B70" s="538">
        <f>B12</f>
        <v>111</v>
      </c>
      <c r="C70" s="554"/>
      <c r="D70" s="554"/>
      <c r="E70" s="554"/>
      <c r="F70" s="554"/>
      <c r="G70" s="554"/>
      <c r="H70" s="555"/>
      <c r="I70" s="555"/>
      <c r="J70" s="555"/>
      <c r="K70" s="555"/>
      <c r="L70" s="556"/>
      <c r="M70" s="557"/>
      <c r="N70" s="1153"/>
      <c r="O70" s="1153"/>
      <c r="P70" s="2628"/>
      <c r="Q70" s="559"/>
    </row>
    <row r="71" spans="1:17" s="471" customFormat="1" ht="15.75" hidden="1" thickBot="1">
      <c r="A71" s="553"/>
      <c r="B71" s="543"/>
      <c r="C71" s="560"/>
      <c r="D71" s="536"/>
      <c r="E71" s="536"/>
      <c r="F71" s="536"/>
      <c r="G71" s="536"/>
      <c r="H71" s="536"/>
      <c r="I71" s="536"/>
      <c r="J71" s="536"/>
      <c r="K71" s="536"/>
      <c r="L71" s="536"/>
      <c r="M71" s="537"/>
      <c r="N71" s="1152"/>
      <c r="O71" s="1152"/>
      <c r="P71" s="2628"/>
      <c r="Q71" s="559"/>
    </row>
    <row r="72" spans="1:17" s="471" customFormat="1" ht="15.75" hidden="1" thickTop="1">
      <c r="A72" s="553"/>
      <c r="B72" s="538">
        <f>B13</f>
        <v>111</v>
      </c>
      <c r="C72" s="554"/>
      <c r="D72" s="554"/>
      <c r="E72" s="554"/>
      <c r="F72" s="554"/>
      <c r="G72" s="554"/>
      <c r="H72" s="555"/>
      <c r="I72" s="555"/>
      <c r="J72" s="555"/>
      <c r="K72" s="555"/>
      <c r="L72" s="556"/>
      <c r="M72" s="557"/>
      <c r="N72" s="1153"/>
      <c r="O72" s="1153"/>
      <c r="P72" s="2629"/>
      <c r="Q72" s="561"/>
    </row>
    <row r="73" spans="1:17" s="471" customFormat="1" ht="15.75" hidden="1" thickBot="1">
      <c r="A73" s="553"/>
      <c r="B73" s="543"/>
      <c r="C73" s="560"/>
      <c r="D73" s="536"/>
      <c r="E73" s="536"/>
      <c r="F73" s="536"/>
      <c r="G73" s="560"/>
      <c r="H73" s="562"/>
      <c r="I73" s="562"/>
      <c r="J73" s="562"/>
      <c r="K73" s="562"/>
      <c r="L73" s="562"/>
      <c r="M73" s="563"/>
      <c r="N73" s="1153"/>
      <c r="O73" s="1153"/>
      <c r="P73" s="2628"/>
      <c r="Q73" s="559"/>
    </row>
    <row r="74" spans="1:17" s="471" customFormat="1" ht="15.75" hidden="1" thickTop="1">
      <c r="A74" s="553"/>
      <c r="B74" s="546">
        <f>B14</f>
        <v>111</v>
      </c>
      <c r="C74" s="554"/>
      <c r="D74" s="554"/>
      <c r="E74" s="554"/>
      <c r="F74" s="554"/>
      <c r="G74" s="523"/>
      <c r="H74" s="564"/>
      <c r="I74" s="564"/>
      <c r="J74" s="564"/>
      <c r="K74" s="564"/>
      <c r="L74" s="565"/>
      <c r="M74" s="566"/>
      <c r="N74" s="1153"/>
      <c r="O74" s="1153"/>
      <c r="P74" s="2630"/>
      <c r="Q74" s="559"/>
    </row>
    <row r="75" spans="1:17" s="471" customFormat="1" ht="15.75" hidden="1" thickBot="1">
      <c r="A75" s="568"/>
      <c r="B75" s="569"/>
      <c r="C75" s="570"/>
      <c r="D75" s="570"/>
      <c r="E75" s="570"/>
      <c r="F75" s="570"/>
      <c r="G75" s="570"/>
      <c r="H75" s="571"/>
      <c r="I75" s="571"/>
      <c r="J75" s="571"/>
      <c r="K75" s="571"/>
      <c r="L75" s="571"/>
      <c r="M75" s="572"/>
      <c r="N75" s="1153"/>
      <c r="O75" s="1153"/>
      <c r="P75" s="262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7"/>
      <c r="Q85" s="504"/>
    </row>
    <row r="86" spans="1:17" s="117" customFormat="1" ht="15.75" thickTop="1">
      <c r="A86" s="579"/>
      <c r="B86" s="538" t="s">
        <v>2672</v>
      </c>
      <c r="C86" s="2949" t="s">
        <v>3273</v>
      </c>
      <c r="D86" s="2949" t="s">
        <v>3274</v>
      </c>
      <c r="E86" s="2949" t="s">
        <v>3275</v>
      </c>
      <c r="F86" s="2949" t="s">
        <v>3276</v>
      </c>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7"/>
      <c r="Q87" s="504"/>
    </row>
    <row r="88" spans="1:17" s="117" customFormat="1" ht="15.75" thickTop="1">
      <c r="A88" s="579"/>
      <c r="B88" s="538" t="str">
        <f>B26</f>
        <v>平面位置/可视性</v>
      </c>
      <c r="C88" s="2949" t="s">
        <v>3282</v>
      </c>
      <c r="D88" s="2949" t="s">
        <v>3283</v>
      </c>
      <c r="E88" s="2949" t="s">
        <v>3284</v>
      </c>
      <c r="F88" s="3058" t="s">
        <v>3285</v>
      </c>
      <c r="G88" s="2949" t="s">
        <v>3286</v>
      </c>
      <c r="H88" s="554"/>
      <c r="I88" s="554"/>
      <c r="J88" s="554"/>
      <c r="K88" s="554"/>
      <c r="L88" s="554"/>
      <c r="M88" s="581"/>
      <c r="N88" s="1150"/>
      <c r="O88" s="1150"/>
      <c r="P88" s="2627"/>
      <c r="Q88" s="504"/>
    </row>
    <row r="89" spans="1:17" s="117" customFormat="1" ht="15.75" thickBot="1">
      <c r="A89" s="579"/>
      <c r="B89" s="543"/>
      <c r="C89" s="560">
        <v>100</v>
      </c>
      <c r="D89" s="536">
        <v>95</v>
      </c>
      <c r="E89" s="536">
        <v>90</v>
      </c>
      <c r="F89" s="536">
        <v>85</v>
      </c>
      <c r="G89" s="536">
        <v>80</v>
      </c>
      <c r="H89" s="536"/>
      <c r="I89" s="536"/>
      <c r="J89" s="536"/>
      <c r="K89" s="536"/>
      <c r="L89" s="536"/>
      <c r="M89" s="536"/>
      <c r="N89" s="1152"/>
      <c r="O89" s="1152"/>
      <c r="P89" s="2627"/>
      <c r="Q89" s="504"/>
    </row>
    <row r="90" spans="1:17" s="471" customFormat="1" ht="15.75" thickTop="1">
      <c r="A90" s="553"/>
      <c r="B90" s="538" t="str">
        <f>B27</f>
        <v>人流量</v>
      </c>
      <c r="C90" s="2949" t="s">
        <v>3278</v>
      </c>
      <c r="D90" s="2949" t="s">
        <v>3277</v>
      </c>
      <c r="E90" s="2949" t="s">
        <v>3279</v>
      </c>
      <c r="F90" s="2949" t="s">
        <v>3280</v>
      </c>
      <c r="G90" s="2949" t="s">
        <v>3281</v>
      </c>
      <c r="H90" s="555"/>
      <c r="I90" s="555"/>
      <c r="J90" s="555"/>
      <c r="K90" s="555"/>
      <c r="L90" s="556"/>
      <c r="M90" s="557"/>
      <c r="N90" s="1153"/>
      <c r="O90" s="1153"/>
      <c r="P90" s="2628"/>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3"/>
      <c r="O91" s="1153"/>
      <c r="P91" s="2628"/>
      <c r="Q91" s="559"/>
    </row>
    <row r="92" spans="1:17" ht="15.75" hidden="1" thickTop="1">
      <c r="A92" s="534"/>
      <c r="B92" s="538" t="str">
        <f>B28</f>
        <v>楼层</v>
      </c>
      <c r="C92" s="554"/>
      <c r="D92" s="554"/>
      <c r="E92" s="554"/>
      <c r="F92" s="554"/>
      <c r="G92" s="554"/>
      <c r="H92" s="554"/>
      <c r="I92" s="554"/>
      <c r="J92" s="554"/>
      <c r="K92" s="554"/>
      <c r="L92" s="580"/>
      <c r="M92" s="581"/>
      <c r="N92" s="1151"/>
      <c r="O92" s="1151"/>
      <c r="P92" s="2627"/>
      <c r="Q92" s="504"/>
    </row>
    <row r="93" spans="1:17" ht="15.75" hidden="1" thickBot="1">
      <c r="A93" s="534"/>
      <c r="B93" s="543"/>
      <c r="C93" s="536"/>
      <c r="D93" s="536"/>
      <c r="E93" s="536"/>
      <c r="F93" s="536"/>
      <c r="G93" s="536"/>
      <c r="H93" s="536"/>
      <c r="I93" s="536"/>
      <c r="J93" s="536"/>
      <c r="K93" s="536"/>
      <c r="L93" s="536"/>
      <c r="M93" s="537"/>
      <c r="N93" s="1152"/>
      <c r="O93" s="1152"/>
      <c r="P93" s="2627"/>
      <c r="Q93" s="504"/>
    </row>
    <row r="94" spans="1:17" ht="15.75" hidden="1" thickTop="1">
      <c r="A94" s="534"/>
      <c r="B94" s="538">
        <f>B29</f>
        <v>111</v>
      </c>
      <c r="C94" s="554"/>
      <c r="D94" s="554"/>
      <c r="E94" s="554"/>
      <c r="F94" s="554"/>
      <c r="G94" s="583"/>
      <c r="H94" s="583"/>
      <c r="I94" s="583"/>
      <c r="J94" s="583"/>
      <c r="K94" s="584"/>
      <c r="L94" s="585"/>
      <c r="M94" s="586"/>
      <c r="N94" s="1151"/>
      <c r="O94" s="1151"/>
      <c r="P94" s="2627"/>
      <c r="Q94" s="504"/>
    </row>
    <row r="95" spans="1:17" ht="15.75" hidden="1" thickBot="1">
      <c r="A95" s="534"/>
      <c r="B95" s="543"/>
      <c r="C95" s="560"/>
      <c r="D95" s="536"/>
      <c r="E95" s="536"/>
      <c r="F95" s="536"/>
      <c r="G95" s="536"/>
      <c r="H95" s="536"/>
      <c r="I95" s="536"/>
      <c r="J95" s="536"/>
      <c r="K95" s="536"/>
      <c r="L95" s="536"/>
      <c r="M95" s="537"/>
      <c r="N95" s="1152"/>
      <c r="O95" s="1152"/>
      <c r="P95" s="2627"/>
      <c r="Q95" s="504"/>
    </row>
    <row r="96" spans="1:17" ht="15.75" hidden="1" thickTop="1">
      <c r="A96" s="534"/>
      <c r="B96" s="538">
        <f>B30</f>
        <v>111</v>
      </c>
      <c r="C96" s="554"/>
      <c r="D96" s="554"/>
      <c r="E96" s="554"/>
      <c r="F96" s="554"/>
      <c r="G96" s="583"/>
      <c r="H96" s="583"/>
      <c r="I96" s="583"/>
      <c r="J96" s="583"/>
      <c r="K96" s="584"/>
      <c r="L96" s="585"/>
      <c r="M96" s="586"/>
      <c r="N96" s="1151"/>
      <c r="O96" s="1151"/>
      <c r="P96" s="2627"/>
      <c r="Q96" s="504"/>
    </row>
    <row r="97" spans="1:17" ht="15.75" hidden="1" thickBot="1">
      <c r="A97" s="534"/>
      <c r="B97" s="543"/>
      <c r="C97" s="560"/>
      <c r="D97" s="536"/>
      <c r="E97" s="536"/>
      <c r="F97" s="536"/>
      <c r="G97" s="536"/>
      <c r="H97" s="536"/>
      <c r="I97" s="536"/>
      <c r="J97" s="536"/>
      <c r="K97" s="536"/>
      <c r="L97" s="536"/>
      <c r="M97" s="537"/>
      <c r="N97" s="1152"/>
      <c r="O97" s="1152"/>
      <c r="P97" s="2627"/>
      <c r="Q97" s="504"/>
    </row>
    <row r="98" spans="1:17" ht="15.75" hidden="1" thickTop="1">
      <c r="A98" s="534"/>
      <c r="B98" s="546">
        <f>B31</f>
        <v>111</v>
      </c>
      <c r="C98" s="554"/>
      <c r="D98" s="554"/>
      <c r="E98" s="554"/>
      <c r="F98" s="554"/>
      <c r="G98" s="587"/>
      <c r="H98" s="587"/>
      <c r="I98" s="587"/>
      <c r="J98" s="587"/>
      <c r="K98" s="588"/>
      <c r="L98" s="589"/>
      <c r="M98" s="590"/>
      <c r="N98" s="1151"/>
      <c r="O98" s="1151"/>
      <c r="P98" s="2627"/>
      <c r="Q98" s="504"/>
    </row>
    <row r="99" spans="1:17" ht="15.75" hidden="1" thickBot="1">
      <c r="A99" s="2633"/>
      <c r="B99" s="569"/>
      <c r="C99" s="570"/>
      <c r="D99" s="570"/>
      <c r="E99" s="570"/>
      <c r="F99" s="570"/>
      <c r="G99" s="591"/>
      <c r="H99" s="591"/>
      <c r="I99" s="591"/>
      <c r="J99" s="591"/>
      <c r="K99" s="591"/>
      <c r="L99" s="591"/>
      <c r="M99" s="592"/>
      <c r="N99" s="1152"/>
      <c r="O99" s="1152"/>
      <c r="P99" s="2627"/>
      <c r="Q99" s="504"/>
    </row>
    <row r="100" spans="1:17" ht="15" thickTop="1">
      <c r="A100" s="527" t="s">
        <v>2555</v>
      </c>
      <c r="B100" s="528" t="s">
        <v>2673</v>
      </c>
      <c r="C100" s="2959" t="s">
        <v>3292</v>
      </c>
      <c r="D100" s="2959" t="s">
        <v>3293</v>
      </c>
      <c r="E100" s="2959" t="s">
        <v>3287</v>
      </c>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7"/>
      <c r="Q101" s="504"/>
    </row>
    <row r="102" spans="1:17" ht="15.75" thickTop="1">
      <c r="A102" s="534"/>
      <c r="B102" s="538" t="s">
        <v>2605</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3"/>
      <c r="O103" s="1153"/>
      <c r="P103" s="2628"/>
      <c r="Q103" s="559"/>
    </row>
    <row r="104" spans="1:17" s="471" customFormat="1" ht="15.75" thickBot="1">
      <c r="A104" s="553"/>
      <c r="B104" s="543"/>
      <c r="C104" s="560">
        <v>100</v>
      </c>
      <c r="D104" s="536">
        <v>95</v>
      </c>
      <c r="E104" s="560">
        <v>80</v>
      </c>
      <c r="F104" s="536">
        <v>85</v>
      </c>
      <c r="G104" s="560">
        <v>80</v>
      </c>
      <c r="H104" s="536">
        <v>75</v>
      </c>
      <c r="I104" s="560">
        <v>70</v>
      </c>
      <c r="J104" s="536"/>
      <c r="K104" s="536"/>
      <c r="L104" s="536"/>
      <c r="M104" s="537"/>
      <c r="N104" s="1152"/>
      <c r="O104" s="1152"/>
      <c r="P104" s="2628"/>
      <c r="Q104" s="559"/>
    </row>
    <row r="105" spans="1:17" ht="15" thickTop="1">
      <c r="A105" s="599"/>
      <c r="B105" s="538" t="s">
        <v>2606</v>
      </c>
      <c r="C105" s="2949" t="s">
        <v>3288</v>
      </c>
      <c r="D105" s="2949" t="s">
        <v>3289</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95</v>
      </c>
      <c r="E106" s="544">
        <f t="shared" si="24"/>
        <v>90</v>
      </c>
      <c r="F106" s="544">
        <f t="shared" si="24"/>
        <v>85</v>
      </c>
      <c r="G106" s="544">
        <f t="shared" si="24"/>
        <v>80</v>
      </c>
      <c r="H106" s="544">
        <f t="shared" si="24"/>
        <v>75</v>
      </c>
      <c r="I106" s="544">
        <f t="shared" si="24"/>
        <v>70</v>
      </c>
      <c r="J106" s="544">
        <f t="shared" si="24"/>
        <v>65</v>
      </c>
      <c r="K106" s="544">
        <f t="shared" si="24"/>
        <v>60</v>
      </c>
      <c r="L106" s="544">
        <f t="shared" si="24"/>
        <v>55</v>
      </c>
      <c r="M106" s="545">
        <f t="shared" si="24"/>
        <v>50</v>
      </c>
      <c r="N106" s="1152"/>
      <c r="O106" s="1152"/>
      <c r="P106" s="2627"/>
      <c r="Q106" s="504"/>
    </row>
    <row r="107" spans="1:17" ht="15" thickTop="1">
      <c r="A107" s="599"/>
      <c r="B107" s="538" t="s">
        <v>2608</v>
      </c>
      <c r="C107" s="2949" t="s">
        <v>3138</v>
      </c>
      <c r="D107" s="2949" t="s">
        <v>3141</v>
      </c>
      <c r="E107" s="2949" t="s">
        <v>3139</v>
      </c>
      <c r="F107" s="2956" t="s">
        <v>3124</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2610</v>
      </c>
      <c r="C112" s="2949" t="s">
        <v>3294</v>
      </c>
      <c r="D112" s="2949" t="s">
        <v>3295</v>
      </c>
      <c r="E112" s="2949" t="s">
        <v>3296</v>
      </c>
      <c r="F112" s="2949" t="s">
        <v>3297</v>
      </c>
      <c r="G112" s="2949" t="s">
        <v>3298</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2949" t="s">
        <v>3299</v>
      </c>
      <c r="D116" s="2949" t="s">
        <v>3300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2956" t="s">
        <v>3283</v>
      </c>
      <c r="D120" s="2956" t="s">
        <v>3301</v>
      </c>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3"/>
      <c r="O121" s="1153"/>
      <c r="P121" s="2628"/>
      <c r="Q121" s="559"/>
    </row>
    <row r="122" spans="1:17" ht="15" thickTop="1">
      <c r="A122" s="599"/>
      <c r="B122" s="538" t="s">
        <v>2612</v>
      </c>
      <c r="C122" s="3060" t="s">
        <v>3138</v>
      </c>
      <c r="D122" s="3060" t="s">
        <v>3141</v>
      </c>
      <c r="E122" s="3060" t="s">
        <v>3139</v>
      </c>
      <c r="F122" s="3061" t="s">
        <v>3124</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2"/>
      <c r="O125" s="1152"/>
      <c r="P125" s="2627"/>
      <c r="Q125" s="504"/>
    </row>
    <row r="126" spans="1:17" s="471" customFormat="1" ht="15" hidden="1"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hidden="1" thickBot="1">
      <c r="A127" s="553"/>
      <c r="B127" s="543"/>
      <c r="C127" s="560"/>
      <c r="D127" s="536"/>
      <c r="E127" s="536"/>
      <c r="F127" s="536"/>
      <c r="G127" s="560"/>
      <c r="H127" s="562"/>
      <c r="I127" s="562"/>
      <c r="J127" s="562"/>
      <c r="K127" s="562"/>
      <c r="L127" s="562"/>
      <c r="M127" s="563"/>
      <c r="N127" s="1153"/>
      <c r="O127" s="1153"/>
      <c r="P127" s="2628"/>
      <c r="Q127" s="559"/>
    </row>
    <row r="128" spans="1:17" ht="15" hidden="1" thickTop="1">
      <c r="A128" s="599"/>
      <c r="B128" s="538">
        <f>B45</f>
        <v>111</v>
      </c>
      <c r="C128" s="554"/>
      <c r="D128" s="554"/>
      <c r="E128" s="554"/>
      <c r="F128" s="554"/>
      <c r="G128" s="583"/>
      <c r="H128" s="583"/>
      <c r="I128" s="583"/>
      <c r="J128" s="583"/>
      <c r="K128" s="584"/>
      <c r="L128" s="585"/>
      <c r="M128" s="586"/>
      <c r="N128" s="1151"/>
      <c r="O128" s="1151"/>
      <c r="P128" s="2627"/>
      <c r="Q128" s="504"/>
    </row>
    <row r="129" spans="1:17" ht="15.75" hidden="1" thickBot="1">
      <c r="A129" s="534"/>
      <c r="B129" s="543"/>
      <c r="C129" s="560"/>
      <c r="D129" s="536"/>
      <c r="E129" s="536"/>
      <c r="F129" s="536"/>
      <c r="G129" s="536"/>
      <c r="H129" s="536"/>
      <c r="I129" s="536"/>
      <c r="J129" s="536"/>
      <c r="K129" s="536"/>
      <c r="L129" s="536"/>
      <c r="M129" s="537"/>
      <c r="N129" s="1152"/>
      <c r="O129" s="1152"/>
      <c r="P129" s="2627"/>
      <c r="Q129" s="504"/>
    </row>
    <row r="130" spans="1:17" ht="15" hidden="1" thickTop="1">
      <c r="A130" s="599"/>
      <c r="B130" s="546">
        <f>B46</f>
        <v>111</v>
      </c>
      <c r="C130" s="554"/>
      <c r="D130" s="554"/>
      <c r="E130" s="554"/>
      <c r="F130" s="554"/>
      <c r="G130" s="587"/>
      <c r="H130" s="587"/>
      <c r="I130" s="587"/>
      <c r="J130" s="587"/>
      <c r="K130" s="523"/>
      <c r="L130" s="524"/>
      <c r="M130" s="590"/>
      <c r="N130" s="1151"/>
      <c r="O130" s="1151"/>
      <c r="P130" s="2627"/>
      <c r="Q130" s="504"/>
    </row>
    <row r="131" spans="1:17" ht="15.75" hidden="1" thickBot="1">
      <c r="A131" s="2633"/>
      <c r="B131" s="569"/>
      <c r="C131" s="570"/>
      <c r="D131" s="570"/>
      <c r="E131" s="570"/>
      <c r="F131" s="570"/>
      <c r="G131" s="591"/>
      <c r="H131" s="591"/>
      <c r="I131" s="591"/>
      <c r="J131" s="591"/>
      <c r="K131" s="591"/>
      <c r="L131" s="591"/>
      <c r="M131" s="592"/>
      <c r="N131" s="1152"/>
      <c r="O131" s="1152"/>
      <c r="P131" s="2627"/>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85" zoomScaleNormal="85" workbookViewId="0">
      <selection activeCell="M44" sqref="M4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3072</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71" t="s">
        <v>2643</v>
      </c>
      <c r="Q4" s="3372"/>
      <c r="R4" s="3364" t="s">
        <v>2639</v>
      </c>
      <c r="S4" s="3365"/>
      <c r="T4" s="3364" t="s">
        <v>2640</v>
      </c>
      <c r="U4" s="3365"/>
      <c r="V4" s="3375" t="s">
        <v>2641</v>
      </c>
      <c r="W4" s="3375"/>
      <c r="X4" s="2667"/>
      <c r="Y4" s="3364" t="s">
        <v>2643</v>
      </c>
      <c r="Z4" s="3365"/>
      <c r="AA4" s="3363" t="s">
        <v>2639</v>
      </c>
      <c r="AB4" s="3363" t="s">
        <v>2640</v>
      </c>
      <c r="AC4" s="3368" t="s">
        <v>2641</v>
      </c>
    </row>
    <row r="5" spans="1:29" ht="15">
      <c r="A5" s="404"/>
      <c r="B5" s="405"/>
      <c r="C5" s="3367" t="str">
        <f>项目基本情况!F10</f>
        <v>顺义区天竺地区小天竺路一号院1号楼101-112号办公用房</v>
      </c>
      <c r="D5" s="3325"/>
      <c r="E5" s="3366" t="s">
        <v>3065</v>
      </c>
      <c r="F5" s="3323"/>
      <c r="G5" s="3361" t="s">
        <v>3066</v>
      </c>
      <c r="H5" s="3325"/>
      <c r="I5" s="3361" t="s">
        <v>3067</v>
      </c>
      <c r="J5" s="3325"/>
      <c r="K5" s="610"/>
      <c r="L5" s="1129"/>
      <c r="M5" s="1130"/>
      <c r="N5" s="1130"/>
      <c r="O5" s="1130"/>
      <c r="P5" s="3373"/>
      <c r="Q5" s="3338"/>
      <c r="R5" s="3320"/>
      <c r="S5" s="3321"/>
      <c r="T5" s="3320"/>
      <c r="U5" s="3321"/>
      <c r="V5" s="3343"/>
      <c r="W5" s="3343"/>
      <c r="X5" s="1811"/>
      <c r="Y5" s="3320"/>
      <c r="Z5" s="3321"/>
      <c r="AA5" s="3314"/>
      <c r="AB5" s="3314"/>
      <c r="AC5" s="3369"/>
    </row>
    <row r="6" spans="1:29" ht="30.75" customHeight="1" thickBot="1">
      <c r="A6" s="406"/>
      <c r="B6" s="407"/>
      <c r="C6" s="3326" t="s">
        <v>2538</v>
      </c>
      <c r="D6" s="3327"/>
      <c r="E6" s="3359" t="s">
        <v>3068</v>
      </c>
      <c r="F6" s="3329"/>
      <c r="G6" s="3362" t="s">
        <v>3069</v>
      </c>
      <c r="H6" s="3327"/>
      <c r="I6" s="3362" t="s">
        <v>3070</v>
      </c>
      <c r="J6" s="3327"/>
      <c r="K6" s="610" t="s">
        <v>2539</v>
      </c>
      <c r="L6" s="1129"/>
      <c r="M6" s="1130"/>
      <c r="N6" s="1130"/>
      <c r="O6" s="1130"/>
      <c r="P6" s="3374"/>
      <c r="Q6" s="3340"/>
      <c r="R6" s="3320"/>
      <c r="S6" s="3321"/>
      <c r="T6" s="3341"/>
      <c r="U6" s="3342"/>
      <c r="V6" s="3343"/>
      <c r="W6" s="3343"/>
      <c r="X6" s="1811"/>
      <c r="Y6" s="3341"/>
      <c r="Z6" s="3342"/>
      <c r="AA6" s="3315"/>
      <c r="AB6" s="3315"/>
      <c r="AC6" s="337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7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2668">
        <f>D7/J7</f>
        <v>1</v>
      </c>
    </row>
    <row r="8" spans="1:29" s="117" customFormat="1" ht="15.75" thickBot="1">
      <c r="A8" s="408" t="s">
        <v>2542</v>
      </c>
      <c r="B8" s="409"/>
      <c r="C8" s="414" t="s">
        <v>2644</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76" t="s">
        <v>2544</v>
      </c>
      <c r="Q8" s="3317"/>
      <c r="R8" s="767" t="s">
        <v>17</v>
      </c>
      <c r="S8" s="768">
        <f t="shared" si="0"/>
        <v>100</v>
      </c>
      <c r="T8" s="767" t="s">
        <v>17</v>
      </c>
      <c r="U8" s="768">
        <f t="shared" si="1"/>
        <v>100</v>
      </c>
      <c r="V8" s="767" t="s">
        <v>17</v>
      </c>
      <c r="W8" s="768">
        <f t="shared" si="2"/>
        <v>100</v>
      </c>
      <c r="X8" s="769"/>
      <c r="Y8" s="3316" t="s">
        <v>2544</v>
      </c>
      <c r="Z8" s="3317"/>
      <c r="AA8" s="770">
        <f t="shared" ref="AA8:AA47" si="3">D8/F8</f>
        <v>1</v>
      </c>
      <c r="AB8" s="770">
        <f t="shared" ref="AB8:AB47" si="4">D8/H8</f>
        <v>1</v>
      </c>
      <c r="AC8" s="2668">
        <f t="shared" ref="AC8:AC47" si="5">D8/J8</f>
        <v>1</v>
      </c>
    </row>
    <row r="9" spans="1:29" s="117" customFormat="1">
      <c r="A9" s="415" t="s">
        <v>2545</v>
      </c>
      <c r="B9" s="71" t="s">
        <v>2546</v>
      </c>
      <c r="C9" s="2944" t="s">
        <v>3310</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0"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2668">
        <f t="shared" si="5"/>
        <v>1</v>
      </c>
    </row>
    <row r="10" spans="1:29" s="427" customFormat="1" ht="27.75" thickBot="1">
      <c r="A10" s="421"/>
      <c r="B10" s="422"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0"/>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0"/>
      <c r="Q11" s="1793" t="str">
        <f t="shared" si="6"/>
        <v>容积率</v>
      </c>
      <c r="R11" s="767" t="s">
        <v>17</v>
      </c>
      <c r="S11" s="768">
        <f t="shared" si="0"/>
        <v>100</v>
      </c>
      <c r="T11" s="767" t="s">
        <v>17</v>
      </c>
      <c r="U11" s="768">
        <f t="shared" si="1"/>
        <v>100</v>
      </c>
      <c r="V11" s="767" t="s">
        <v>17</v>
      </c>
      <c r="W11" s="768">
        <f t="shared" si="2"/>
        <v>100</v>
      </c>
      <c r="X11" s="769"/>
      <c r="Y11" s="3163"/>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0"/>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0"/>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0"/>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57" t="s">
        <v>2552</v>
      </c>
      <c r="Q15" s="1808" t="str">
        <f t="shared" si="6"/>
        <v>办公集聚程度</v>
      </c>
      <c r="R15" s="771" t="s">
        <v>17</v>
      </c>
      <c r="S15" s="772">
        <f t="shared" si="0"/>
        <v>102</v>
      </c>
      <c r="T15" s="771" t="s">
        <v>17</v>
      </c>
      <c r="U15" s="772">
        <f t="shared" si="1"/>
        <v>102</v>
      </c>
      <c r="V15" s="771" t="s">
        <v>17</v>
      </c>
      <c r="W15" s="772">
        <f t="shared" si="2"/>
        <v>100</v>
      </c>
      <c r="X15" s="1811"/>
      <c r="Y15" s="3350" t="s">
        <v>2552</v>
      </c>
      <c r="Z15" s="1812" t="str">
        <f t="shared" si="7"/>
        <v>办公集聚程度</v>
      </c>
      <c r="AA15" s="1809">
        <f t="shared" si="3"/>
        <v>0.98039215686274506</v>
      </c>
      <c r="AB15" s="1809">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58"/>
      <c r="Q16" s="1808"/>
      <c r="R16" s="771"/>
      <c r="S16" s="772"/>
      <c r="T16" s="771"/>
      <c r="U16" s="772"/>
      <c r="V16" s="771"/>
      <c r="W16" s="772"/>
      <c r="X16" s="1811"/>
      <c r="Y16" s="3351"/>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58"/>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58"/>
      <c r="Q18" s="1808"/>
      <c r="R18" s="771"/>
      <c r="S18" s="772"/>
      <c r="T18" s="771"/>
      <c r="U18" s="772"/>
      <c r="V18" s="771"/>
      <c r="W18" s="772"/>
      <c r="X18" s="1811"/>
      <c r="Y18" s="3351"/>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58"/>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58"/>
      <c r="Q20" s="1808"/>
      <c r="R20" s="771"/>
      <c r="S20" s="772"/>
      <c r="T20" s="771"/>
      <c r="U20" s="772"/>
      <c r="V20" s="771"/>
      <c r="W20" s="772"/>
      <c r="X20" s="1811"/>
      <c r="Y20" s="3351"/>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58"/>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58"/>
      <c r="Q22" s="1808"/>
      <c r="R22" s="771"/>
      <c r="S22" s="772"/>
      <c r="T22" s="771"/>
      <c r="U22" s="772"/>
      <c r="V22" s="771"/>
      <c r="W22" s="772"/>
      <c r="X22" s="1811"/>
      <c r="Y22" s="3351"/>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58"/>
      <c r="Q23" s="1808" t="str">
        <f>B23</f>
        <v>环境质量</v>
      </c>
      <c r="R23" s="771" t="s">
        <v>17</v>
      </c>
      <c r="S23" s="772">
        <f>F23</f>
        <v>100</v>
      </c>
      <c r="T23" s="771" t="s">
        <v>17</v>
      </c>
      <c r="U23" s="772">
        <f>H23</f>
        <v>100</v>
      </c>
      <c r="V23" s="771" t="s">
        <v>17</v>
      </c>
      <c r="W23" s="772">
        <f>J23</f>
        <v>100</v>
      </c>
      <c r="X23" s="1811"/>
      <c r="Y23" s="3351"/>
      <c r="Z23" s="1812" t="str">
        <f>Q23</f>
        <v>环境质量</v>
      </c>
      <c r="AA23" s="1809">
        <f t="shared" si="3"/>
        <v>1</v>
      </c>
      <c r="AB23" s="1809">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58"/>
      <c r="Q24" s="1808"/>
      <c r="R24" s="771"/>
      <c r="S24" s="772"/>
      <c r="T24" s="771"/>
      <c r="U24" s="772"/>
      <c r="V24" s="771"/>
      <c r="W24" s="772"/>
      <c r="X24" s="1811"/>
      <c r="Y24" s="3351"/>
      <c r="Z24" s="1812"/>
      <c r="AA24" s="1809">
        <v>1</v>
      </c>
      <c r="AB24" s="1809">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58"/>
      <c r="Q25" s="1808" t="str">
        <f>B25</f>
        <v>毗邻道路的类型与等级</v>
      </c>
      <c r="R25" s="771" t="s">
        <v>17</v>
      </c>
      <c r="S25" s="772">
        <f>F25</f>
        <v>100</v>
      </c>
      <c r="T25" s="771" t="s">
        <v>17</v>
      </c>
      <c r="U25" s="772">
        <f>H25</f>
        <v>100</v>
      </c>
      <c r="V25" s="771" t="s">
        <v>17</v>
      </c>
      <c r="W25" s="772">
        <f>J25</f>
        <v>100</v>
      </c>
      <c r="X25" s="1811"/>
      <c r="Y25" s="3351"/>
      <c r="Z25" s="1812" t="str">
        <f>Q25</f>
        <v>毗邻道路的类型与等级</v>
      </c>
      <c r="AA25" s="1809">
        <f t="shared" si="3"/>
        <v>1</v>
      </c>
      <c r="AB25" s="1809">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58"/>
      <c r="Q26" s="1808"/>
      <c r="R26" s="771"/>
      <c r="S26" s="772"/>
      <c r="T26" s="771"/>
      <c r="U26" s="772"/>
      <c r="V26" s="771"/>
      <c r="W26" s="772"/>
      <c r="X26" s="1811"/>
      <c r="Y26" s="3351"/>
      <c r="Z26" s="1812"/>
      <c r="AA26" s="1809">
        <v>1</v>
      </c>
      <c r="AB26" s="1809">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58"/>
      <c r="Q27" s="1808" t="str">
        <f t="shared" ref="Q27:Q47" si="11">B27</f>
        <v>楼层</v>
      </c>
      <c r="R27" s="771" t="s">
        <v>17</v>
      </c>
      <c r="S27" s="772">
        <f>F27</f>
        <v>100</v>
      </c>
      <c r="T27" s="771" t="s">
        <v>17</v>
      </c>
      <c r="U27" s="772">
        <f>H27</f>
        <v>100</v>
      </c>
      <c r="V27" s="771" t="s">
        <v>17</v>
      </c>
      <c r="W27" s="772">
        <f>J27</f>
        <v>100</v>
      </c>
      <c r="X27" s="1811"/>
      <c r="Y27" s="3351"/>
      <c r="Z27" s="1812" t="str">
        <f>Q27</f>
        <v>楼层</v>
      </c>
      <c r="AA27" s="1809">
        <f t="shared" si="3"/>
        <v>1</v>
      </c>
      <c r="AB27" s="1809">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58"/>
      <c r="Q28" s="1793" t="str">
        <f t="shared" si="11"/>
        <v>朝向</v>
      </c>
      <c r="R28" s="767" t="s">
        <v>17</v>
      </c>
      <c r="S28" s="768">
        <f>F28</f>
        <v>100</v>
      </c>
      <c r="T28" s="767" t="s">
        <v>17</v>
      </c>
      <c r="U28" s="768">
        <f>H28</f>
        <v>100</v>
      </c>
      <c r="V28" s="767" t="s">
        <v>17</v>
      </c>
      <c r="W28" s="768">
        <f>J28</f>
        <v>100</v>
      </c>
      <c r="X28" s="769"/>
      <c r="Y28" s="3351"/>
      <c r="Z28" s="55" t="str">
        <f>Q28</f>
        <v>朝向</v>
      </c>
      <c r="AA28" s="1809">
        <f>D28/F28</f>
        <v>1</v>
      </c>
      <c r="AB28" s="1809">
        <f>D28/H28</f>
        <v>1</v>
      </c>
      <c r="AC28" s="2671">
        <f>D28/J28</f>
        <v>1</v>
      </c>
    </row>
    <row r="29" spans="1:29" ht="15">
      <c r="A29" s="428"/>
      <c r="B29" s="3039" t="s">
        <v>3260</v>
      </c>
      <c r="C29" s="3040" t="s">
        <v>3261</v>
      </c>
      <c r="D29" s="3041">
        <v>100</v>
      </c>
      <c r="E29" s="3042" t="s">
        <v>3261</v>
      </c>
      <c r="F29" s="3041">
        <f>SUMIF(93:93,E29,94:94)-SUMIF(93:93,C29,94:94)+100</f>
        <v>100</v>
      </c>
      <c r="G29" s="3043" t="s">
        <v>3261</v>
      </c>
      <c r="H29" s="3041">
        <f>SUMIF(93:93,G29,94:94)-SUMIF(93:93,C29,94:94)+100</f>
        <v>100</v>
      </c>
      <c r="I29" s="3042" t="s">
        <v>3262</v>
      </c>
      <c r="J29" s="3041">
        <f>SUMIF(93:93,I29,94:94)-SUMIF(93:93,C29,94:94)+100</f>
        <v>95</v>
      </c>
      <c r="K29" s="3044"/>
      <c r="L29" s="1139"/>
      <c r="M29" s="1130"/>
      <c r="N29" s="1130"/>
      <c r="O29" s="1130"/>
      <c r="P29" s="3358"/>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351"/>
      <c r="Z29" s="1812" t="str">
        <f t="shared" ref="Z29:Z47" si="15">Q29</f>
        <v>可视性</v>
      </c>
      <c r="AA29" s="1809">
        <f t="shared" si="3"/>
        <v>1</v>
      </c>
      <c r="AB29" s="1809">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58"/>
      <c r="Q30" s="1808" t="str">
        <f t="shared" si="11"/>
        <v>商业繁华度</v>
      </c>
      <c r="R30" s="771" t="s">
        <v>17</v>
      </c>
      <c r="S30" s="772">
        <f t="shared" si="12"/>
        <v>100</v>
      </c>
      <c r="T30" s="771" t="s">
        <v>17</v>
      </c>
      <c r="U30" s="772">
        <f t="shared" si="13"/>
        <v>100</v>
      </c>
      <c r="V30" s="771" t="s">
        <v>17</v>
      </c>
      <c r="W30" s="772">
        <f t="shared" si="14"/>
        <v>100</v>
      </c>
      <c r="X30" s="1811"/>
      <c r="Y30" s="3351"/>
      <c r="Z30" s="1812" t="str">
        <f t="shared" si="15"/>
        <v>商业繁华度</v>
      </c>
      <c r="AA30" s="1809">
        <f t="shared" si="3"/>
        <v>1</v>
      </c>
      <c r="AB30" s="1809">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58"/>
      <c r="Q31" s="1808" t="str">
        <f t="shared" si="11"/>
        <v>临街状况</v>
      </c>
      <c r="R31" s="771" t="s">
        <v>17</v>
      </c>
      <c r="S31" s="772">
        <f t="shared" si="12"/>
        <v>100</v>
      </c>
      <c r="T31" s="771" t="s">
        <v>17</v>
      </c>
      <c r="U31" s="772">
        <f t="shared" si="13"/>
        <v>100</v>
      </c>
      <c r="V31" s="771" t="s">
        <v>17</v>
      </c>
      <c r="W31" s="772">
        <f t="shared" si="14"/>
        <v>100</v>
      </c>
      <c r="X31" s="1811"/>
      <c r="Y31" s="3351"/>
      <c r="Z31" s="1812" t="str">
        <f t="shared" si="15"/>
        <v>临街状况</v>
      </c>
      <c r="AA31" s="1809">
        <f t="shared" si="3"/>
        <v>1</v>
      </c>
      <c r="AB31" s="1809">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58"/>
      <c r="Q32" s="1808" t="str">
        <f t="shared" si="11"/>
        <v>人流量</v>
      </c>
      <c r="R32" s="771" t="s">
        <v>17</v>
      </c>
      <c r="S32" s="772">
        <f t="shared" si="12"/>
        <v>100</v>
      </c>
      <c r="T32" s="771" t="s">
        <v>17</v>
      </c>
      <c r="U32" s="772">
        <f t="shared" si="13"/>
        <v>100</v>
      </c>
      <c r="V32" s="771" t="s">
        <v>17</v>
      </c>
      <c r="W32" s="772">
        <f t="shared" si="14"/>
        <v>100</v>
      </c>
      <c r="X32" s="1811"/>
      <c r="Y32" s="3351"/>
      <c r="Z32" s="1812" t="str">
        <f t="shared" si="15"/>
        <v>人流量</v>
      </c>
      <c r="AA32" s="1809">
        <f t="shared" si="3"/>
        <v>1</v>
      </c>
      <c r="AB32" s="1809">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52" t="s">
        <v>2557</v>
      </c>
      <c r="Q33" s="1808" t="str">
        <f t="shared" si="11"/>
        <v>建筑类型</v>
      </c>
      <c r="R33" s="771" t="s">
        <v>17</v>
      </c>
      <c r="S33" s="772">
        <f t="shared" si="12"/>
        <v>102</v>
      </c>
      <c r="T33" s="771" t="s">
        <v>17</v>
      </c>
      <c r="U33" s="772">
        <f t="shared" si="13"/>
        <v>100</v>
      </c>
      <c r="V33" s="771" t="s">
        <v>17</v>
      </c>
      <c r="W33" s="772">
        <f t="shared" si="14"/>
        <v>100</v>
      </c>
      <c r="X33" s="1811"/>
      <c r="Y33" s="3355"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53"/>
      <c r="Q34" s="773" t="str">
        <f t="shared" si="11"/>
        <v>项目建筑规模</v>
      </c>
      <c r="R34" s="774" t="s">
        <v>17</v>
      </c>
      <c r="S34" s="775">
        <f t="shared" si="12"/>
        <v>100</v>
      </c>
      <c r="T34" s="774" t="s">
        <v>17</v>
      </c>
      <c r="U34" s="775">
        <f t="shared" si="13"/>
        <v>100</v>
      </c>
      <c r="V34" s="774" t="s">
        <v>17</v>
      </c>
      <c r="W34" s="775">
        <f t="shared" si="14"/>
        <v>100</v>
      </c>
      <c r="X34" s="776"/>
      <c r="Y34" s="3355"/>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5</v>
      </c>
      <c r="L35" s="1139"/>
      <c r="M35" s="1130"/>
      <c r="N35" s="1130"/>
      <c r="O35" s="1130"/>
      <c r="P35" s="3353"/>
      <c r="Q35" s="1808" t="str">
        <f t="shared" si="11"/>
        <v>建筑结构</v>
      </c>
      <c r="R35" s="771" t="s">
        <v>17</v>
      </c>
      <c r="S35" s="772">
        <f t="shared" si="12"/>
        <v>100</v>
      </c>
      <c r="T35" s="771" t="s">
        <v>17</v>
      </c>
      <c r="U35" s="772">
        <f t="shared" si="13"/>
        <v>100</v>
      </c>
      <c r="V35" s="771" t="s">
        <v>17</v>
      </c>
      <c r="W35" s="772">
        <f t="shared" si="14"/>
        <v>100</v>
      </c>
      <c r="X35" s="1811"/>
      <c r="Y35" s="3355"/>
      <c r="Z35" s="1812" t="str">
        <f t="shared" si="15"/>
        <v>建筑结构</v>
      </c>
      <c r="AA35" s="1809">
        <f t="shared" si="3"/>
        <v>1</v>
      </c>
      <c r="AB35" s="1809">
        <f t="shared" si="4"/>
        <v>1</v>
      </c>
      <c r="AC35" s="2671">
        <f t="shared" si="5"/>
        <v>1</v>
      </c>
    </row>
    <row r="36" spans="1:29" ht="15">
      <c r="A36" s="472"/>
      <c r="B36" s="422"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53"/>
      <c r="Q36" s="1808" t="str">
        <f t="shared" si="11"/>
        <v>公共部分装修</v>
      </c>
      <c r="R36" s="771" t="s">
        <v>17</v>
      </c>
      <c r="S36" s="772">
        <f t="shared" si="12"/>
        <v>100</v>
      </c>
      <c r="T36" s="771" t="s">
        <v>17</v>
      </c>
      <c r="U36" s="772">
        <f t="shared" si="13"/>
        <v>100</v>
      </c>
      <c r="V36" s="771" t="s">
        <v>17</v>
      </c>
      <c r="W36" s="772">
        <f t="shared" si="14"/>
        <v>100</v>
      </c>
      <c r="X36" s="1811"/>
      <c r="Y36" s="3355"/>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53"/>
      <c r="Q37" s="1808" t="str">
        <f t="shared" si="11"/>
        <v>成新度</v>
      </c>
      <c r="R37" s="771" t="s">
        <v>17</v>
      </c>
      <c r="S37" s="772">
        <f t="shared" si="12"/>
        <v>101</v>
      </c>
      <c r="T37" s="771" t="s">
        <v>17</v>
      </c>
      <c r="U37" s="772">
        <f t="shared" si="13"/>
        <v>101</v>
      </c>
      <c r="V37" s="771" t="s">
        <v>17</v>
      </c>
      <c r="W37" s="772">
        <f t="shared" si="14"/>
        <v>100</v>
      </c>
      <c r="X37" s="1811"/>
      <c r="Y37" s="3355"/>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53"/>
      <c r="Q38" s="1793" t="str">
        <f t="shared" si="11"/>
        <v>写字楼等级</v>
      </c>
      <c r="R38" s="767" t="s">
        <v>17</v>
      </c>
      <c r="S38" s="768">
        <f t="shared" si="12"/>
        <v>100</v>
      </c>
      <c r="T38" s="767" t="s">
        <v>17</v>
      </c>
      <c r="U38" s="768">
        <f t="shared" si="13"/>
        <v>100</v>
      </c>
      <c r="V38" s="767" t="s">
        <v>17</v>
      </c>
      <c r="W38" s="768">
        <f t="shared" si="14"/>
        <v>100</v>
      </c>
      <c r="X38" s="769"/>
      <c r="Y38" s="3355"/>
      <c r="Z38" s="55" t="str">
        <f t="shared" si="15"/>
        <v>写字楼等级</v>
      </c>
      <c r="AA38" s="770">
        <f t="shared" si="3"/>
        <v>1</v>
      </c>
      <c r="AB38" s="770">
        <f t="shared" si="4"/>
        <v>1</v>
      </c>
      <c r="AC38" s="2668">
        <f t="shared" si="5"/>
        <v>1</v>
      </c>
    </row>
    <row r="39" spans="1:29" ht="15">
      <c r="A39" s="472"/>
      <c r="B39" s="422"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53" t="s">
        <v>2557</v>
      </c>
      <c r="Q39" s="1808" t="str">
        <f t="shared" si="11"/>
        <v>物业管理</v>
      </c>
      <c r="R39" s="771" t="s">
        <v>17</v>
      </c>
      <c r="S39" s="772">
        <f t="shared" si="12"/>
        <v>100</v>
      </c>
      <c r="T39" s="771" t="s">
        <v>17</v>
      </c>
      <c r="U39" s="772">
        <f t="shared" si="13"/>
        <v>100</v>
      </c>
      <c r="V39" s="771" t="s">
        <v>17</v>
      </c>
      <c r="W39" s="772">
        <f t="shared" si="14"/>
        <v>100</v>
      </c>
      <c r="X39" s="1811"/>
      <c r="Y39" s="3355" t="s">
        <v>2557</v>
      </c>
      <c r="Z39" s="1812" t="str">
        <f t="shared" si="15"/>
        <v>物业管理</v>
      </c>
      <c r="AA39" s="1809">
        <f t="shared" si="3"/>
        <v>1</v>
      </c>
      <c r="AB39" s="1809">
        <f t="shared" si="4"/>
        <v>1</v>
      </c>
      <c r="AC39" s="2671">
        <f t="shared" si="5"/>
        <v>1</v>
      </c>
    </row>
    <row r="40" spans="1:29" ht="15">
      <c r="A40" s="472"/>
      <c r="B40" s="422"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53"/>
      <c r="Q40" s="1808" t="str">
        <f t="shared" si="11"/>
        <v>市政基础设施</v>
      </c>
      <c r="R40" s="771" t="s">
        <v>17</v>
      </c>
      <c r="S40" s="772">
        <f t="shared" si="12"/>
        <v>100</v>
      </c>
      <c r="T40" s="771" t="s">
        <v>17</v>
      </c>
      <c r="U40" s="772">
        <f t="shared" si="13"/>
        <v>100</v>
      </c>
      <c r="V40" s="771" t="s">
        <v>17</v>
      </c>
      <c r="W40" s="772">
        <f t="shared" si="14"/>
        <v>100</v>
      </c>
      <c r="X40" s="1811"/>
      <c r="Y40" s="3355"/>
      <c r="Z40" s="1812" t="str">
        <f t="shared" si="15"/>
        <v>市政基础设施</v>
      </c>
      <c r="AA40" s="1809">
        <f t="shared" si="3"/>
        <v>1</v>
      </c>
      <c r="AB40" s="1809">
        <f t="shared" si="4"/>
        <v>1</v>
      </c>
      <c r="AC40" s="2671">
        <f t="shared" si="5"/>
        <v>1</v>
      </c>
    </row>
    <row r="41" spans="1:29" ht="15">
      <c r="A41" s="472"/>
      <c r="B41" s="422"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53"/>
      <c r="Q41" s="1808" t="str">
        <f t="shared" si="11"/>
        <v>层高</v>
      </c>
      <c r="R41" s="771" t="s">
        <v>17</v>
      </c>
      <c r="S41" s="772">
        <f t="shared" si="12"/>
        <v>100</v>
      </c>
      <c r="T41" s="771" t="s">
        <v>17</v>
      </c>
      <c r="U41" s="772">
        <f t="shared" si="13"/>
        <v>100</v>
      </c>
      <c r="V41" s="771" t="s">
        <v>17</v>
      </c>
      <c r="W41" s="772">
        <f t="shared" si="14"/>
        <v>110</v>
      </c>
      <c r="X41" s="1811"/>
      <c r="Y41" s="3355"/>
      <c r="Z41" s="1812" t="str">
        <f t="shared" si="15"/>
        <v>层高</v>
      </c>
      <c r="AA41" s="1809">
        <f t="shared" si="3"/>
        <v>1</v>
      </c>
      <c r="AB41" s="1809">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53"/>
      <c r="Q42" s="773" t="str">
        <f t="shared" si="11"/>
        <v>单套建筑面积</v>
      </c>
      <c r="R42" s="774" t="s">
        <v>17</v>
      </c>
      <c r="S42" s="775">
        <f t="shared" si="12"/>
        <v>100</v>
      </c>
      <c r="T42" s="774" t="s">
        <v>17</v>
      </c>
      <c r="U42" s="775">
        <f t="shared" si="13"/>
        <v>105</v>
      </c>
      <c r="V42" s="774" t="s">
        <v>17</v>
      </c>
      <c r="W42" s="775">
        <f t="shared" si="14"/>
        <v>100</v>
      </c>
      <c r="X42" s="776"/>
      <c r="Y42" s="3355"/>
      <c r="Z42" s="777" t="str">
        <f t="shared" si="15"/>
        <v>单套建筑面积</v>
      </c>
      <c r="AA42" s="1809">
        <f t="shared" si="3"/>
        <v>1</v>
      </c>
      <c r="AB42" s="1809">
        <f t="shared" si="4"/>
        <v>0.95238095238095233</v>
      </c>
      <c r="AC42" s="2671">
        <f t="shared" si="5"/>
        <v>1</v>
      </c>
    </row>
    <row r="43" spans="1:29" ht="15">
      <c r="A43" s="472"/>
      <c r="B43" s="422"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53"/>
      <c r="Q43" s="1808" t="str">
        <f t="shared" si="11"/>
        <v>内部装修</v>
      </c>
      <c r="R43" s="771" t="s">
        <v>17</v>
      </c>
      <c r="S43" s="772">
        <f t="shared" si="12"/>
        <v>100</v>
      </c>
      <c r="T43" s="771" t="s">
        <v>17</v>
      </c>
      <c r="U43" s="772">
        <f t="shared" si="13"/>
        <v>100</v>
      </c>
      <c r="V43" s="771" t="s">
        <v>17</v>
      </c>
      <c r="W43" s="772">
        <f t="shared" si="14"/>
        <v>100</v>
      </c>
      <c r="X43" s="1811"/>
      <c r="Y43" s="3355"/>
      <c r="Z43" s="1812" t="str">
        <f t="shared" si="15"/>
        <v>内部装修</v>
      </c>
      <c r="AA43" s="1809">
        <f t="shared" si="3"/>
        <v>1</v>
      </c>
      <c r="AB43" s="1809">
        <f t="shared" si="4"/>
        <v>1</v>
      </c>
      <c r="AC43" s="2671">
        <f t="shared" si="5"/>
        <v>1</v>
      </c>
    </row>
    <row r="44" spans="1:29" ht="15">
      <c r="A44" s="472"/>
      <c r="B44" s="422"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53"/>
      <c r="Q44" s="1808" t="str">
        <f t="shared" si="11"/>
        <v>内部装修维护情况</v>
      </c>
      <c r="R44" s="771" t="s">
        <v>17</v>
      </c>
      <c r="S44" s="772">
        <f t="shared" si="12"/>
        <v>100</v>
      </c>
      <c r="T44" s="771" t="s">
        <v>17</v>
      </c>
      <c r="U44" s="772">
        <f t="shared" si="13"/>
        <v>100</v>
      </c>
      <c r="V44" s="771" t="s">
        <v>17</v>
      </c>
      <c r="W44" s="772">
        <f t="shared" si="14"/>
        <v>100</v>
      </c>
      <c r="X44" s="1811"/>
      <c r="Y44" s="3355"/>
      <c r="Z44" s="1812" t="str">
        <f t="shared" si="15"/>
        <v>内部装修维护情况</v>
      </c>
      <c r="AA44" s="1809">
        <f t="shared" si="3"/>
        <v>1</v>
      </c>
      <c r="AB44" s="1809">
        <f t="shared" si="4"/>
        <v>1</v>
      </c>
      <c r="AC44" s="2671">
        <f t="shared" si="5"/>
        <v>1</v>
      </c>
    </row>
    <row r="45" spans="1:29" s="117" customFormat="1" ht="15.75" thickBot="1">
      <c r="A45" s="473"/>
      <c r="B45" s="2960" t="s">
        <v>3143</v>
      </c>
      <c r="C45" s="2961" t="s">
        <v>3146</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53"/>
      <c r="Q45" s="1793" t="str">
        <f t="shared" si="11"/>
        <v>是否含地下室</v>
      </c>
      <c r="R45" s="767" t="s">
        <v>17</v>
      </c>
      <c r="S45" s="768">
        <f t="shared" si="12"/>
        <v>105</v>
      </c>
      <c r="T45" s="767" t="s">
        <v>17</v>
      </c>
      <c r="U45" s="768">
        <f t="shared" si="13"/>
        <v>105</v>
      </c>
      <c r="V45" s="767" t="s">
        <v>17</v>
      </c>
      <c r="W45" s="768">
        <f t="shared" si="14"/>
        <v>105</v>
      </c>
      <c r="X45" s="769"/>
      <c r="Y45" s="3355"/>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53"/>
      <c r="Q46" s="1808">
        <f t="shared" si="11"/>
        <v>111</v>
      </c>
      <c r="R46" s="771" t="s">
        <v>17</v>
      </c>
      <c r="S46" s="772">
        <f t="shared" si="12"/>
        <v>100</v>
      </c>
      <c r="T46" s="771" t="s">
        <v>17</v>
      </c>
      <c r="U46" s="772">
        <f t="shared" si="13"/>
        <v>100</v>
      </c>
      <c r="V46" s="771" t="s">
        <v>17</v>
      </c>
      <c r="W46" s="772">
        <f t="shared" si="14"/>
        <v>100</v>
      </c>
      <c r="X46" s="1811"/>
      <c r="Y46" s="3355"/>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54"/>
      <c r="Q47" s="1808">
        <f t="shared" si="11"/>
        <v>111</v>
      </c>
      <c r="R47" s="771" t="s">
        <v>17</v>
      </c>
      <c r="S47" s="772">
        <f t="shared" si="12"/>
        <v>100</v>
      </c>
      <c r="T47" s="771" t="s">
        <v>17</v>
      </c>
      <c r="U47" s="772">
        <f t="shared" si="13"/>
        <v>100</v>
      </c>
      <c r="V47" s="771" t="s">
        <v>17</v>
      </c>
      <c r="W47" s="772">
        <f t="shared" si="14"/>
        <v>100</v>
      </c>
      <c r="X47" s="1811"/>
      <c r="Y47" s="3356"/>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0" t="str">
        <f>A48</f>
        <v>成交单价（元/平方米）</v>
      </c>
      <c r="Q48" s="3348"/>
      <c r="R48" s="3349">
        <f>E48</f>
        <v>36885</v>
      </c>
      <c r="S48" s="3349"/>
      <c r="T48" s="3349">
        <f>G48</f>
        <v>36889</v>
      </c>
      <c r="U48" s="3349"/>
      <c r="V48" s="3349">
        <f>I48</f>
        <v>36866</v>
      </c>
      <c r="W48" s="3349"/>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330" t="str">
        <f>A49</f>
        <v>比较价值（元/平方米）</v>
      </c>
      <c r="Q49" s="3348"/>
      <c r="R49" s="3349">
        <f>IF(F1="售价",ROUND(PRODUCT(R48,AA7:AA47),0),ROUND(PRODUCT(R48,AA7:AA47),1))</f>
        <v>33430</v>
      </c>
      <c r="S49" s="3349"/>
      <c r="T49" s="3349">
        <f>IF(F1="售价",ROUND(PRODUCT(T48,AB7:AB47),0),ROUND(PRODUCT(T48,AB7:AB47),1))</f>
        <v>32479</v>
      </c>
      <c r="U49" s="3349"/>
      <c r="V49" s="3349">
        <f>IF(F1="售价",ROUND(PRODUCT(V48,AC7:AC47),0),ROUND(PRODUCT(V48,AC7:AC47),1))</f>
        <v>33599</v>
      </c>
      <c r="W49" s="3349"/>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377" t="str">
        <f>A50</f>
        <v>估价对象XX用房的比较价值（楼面单价，元/平方米）</v>
      </c>
      <c r="Q50" s="3378"/>
      <c r="R50" s="3379">
        <f>IF(F1="售价",ROUND(AVERAGE(R49:V49),0),ROUND(AVERAGE(R49:V49),1))</f>
        <v>33169</v>
      </c>
      <c r="S50" s="3379"/>
      <c r="T50" s="3379"/>
      <c r="U50" s="3379"/>
      <c r="V50" s="3379"/>
      <c r="W50" s="337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3309</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3261</v>
      </c>
      <c r="D93" s="2949" t="s">
        <v>3262</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3102</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3107</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3102</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95</v>
      </c>
      <c r="E107" s="544">
        <f t="shared" si="24"/>
        <v>90</v>
      </c>
      <c r="F107" s="544">
        <f t="shared" si="24"/>
        <v>85</v>
      </c>
      <c r="G107" s="544">
        <f t="shared" si="24"/>
        <v>80</v>
      </c>
      <c r="H107" s="544">
        <f t="shared" si="24"/>
        <v>75</v>
      </c>
      <c r="I107" s="544">
        <f t="shared" si="24"/>
        <v>70</v>
      </c>
      <c r="J107" s="544">
        <f t="shared" si="24"/>
        <v>65</v>
      </c>
      <c r="K107" s="544">
        <f t="shared" si="24"/>
        <v>60</v>
      </c>
      <c r="L107" s="544">
        <f t="shared" si="24"/>
        <v>55</v>
      </c>
      <c r="M107" s="545">
        <f t="shared" si="24"/>
        <v>50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3142</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350" t="s">
        <v>2552</v>
      </c>
      <c r="Q15" s="1808" t="str">
        <f t="shared" si="6"/>
        <v>产业集聚程度</v>
      </c>
      <c r="R15" s="771" t="s">
        <v>17</v>
      </c>
      <c r="S15" s="772">
        <f t="shared" si="0"/>
        <v>100</v>
      </c>
      <c r="T15" s="771" t="s">
        <v>17</v>
      </c>
      <c r="U15" s="772">
        <f t="shared" si="1"/>
        <v>100</v>
      </c>
      <c r="V15" s="771" t="s">
        <v>17</v>
      </c>
      <c r="W15" s="772">
        <f t="shared" si="2"/>
        <v>100</v>
      </c>
      <c r="X15" s="1811"/>
      <c r="Y15" s="3350"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351"/>
      <c r="Q16" s="1808"/>
      <c r="R16" s="771"/>
      <c r="S16" s="772"/>
      <c r="T16" s="771"/>
      <c r="U16" s="772"/>
      <c r="V16" s="771"/>
      <c r="W16" s="772"/>
      <c r="X16" s="1811"/>
      <c r="Y16" s="3351"/>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351"/>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351"/>
      <c r="Q18" s="1808"/>
      <c r="R18" s="771"/>
      <c r="S18" s="772"/>
      <c r="T18" s="771"/>
      <c r="U18" s="772"/>
      <c r="V18" s="771"/>
      <c r="W18" s="772"/>
      <c r="X18" s="1811"/>
      <c r="Y18" s="3351"/>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351"/>
      <c r="Q19" s="1808" t="str">
        <f>B19</f>
        <v>公共配套设施</v>
      </c>
      <c r="R19" s="771" t="s">
        <v>17</v>
      </c>
      <c r="S19" s="772">
        <f>F19</f>
        <v>100</v>
      </c>
      <c r="T19" s="771" t="s">
        <v>17</v>
      </c>
      <c r="U19" s="772">
        <f>H19</f>
        <v>100</v>
      </c>
      <c r="V19" s="771" t="s">
        <v>17</v>
      </c>
      <c r="W19" s="772">
        <f>J19</f>
        <v>100</v>
      </c>
      <c r="X19" s="1811"/>
      <c r="Y19" s="335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351"/>
      <c r="Q20" s="1808"/>
      <c r="R20" s="771"/>
      <c r="S20" s="772"/>
      <c r="T20" s="771"/>
      <c r="U20" s="772"/>
      <c r="V20" s="771"/>
      <c r="W20" s="772"/>
      <c r="X20" s="1811"/>
      <c r="Y20" s="3351"/>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351"/>
      <c r="Q21" s="1808" t="str">
        <f>B21</f>
        <v>基础设施水平</v>
      </c>
      <c r="R21" s="771" t="s">
        <v>17</v>
      </c>
      <c r="S21" s="772">
        <f>F21</f>
        <v>100</v>
      </c>
      <c r="T21" s="771" t="s">
        <v>17</v>
      </c>
      <c r="U21" s="772">
        <f>H21</f>
        <v>100</v>
      </c>
      <c r="V21" s="771" t="s">
        <v>17</v>
      </c>
      <c r="W21" s="772">
        <f>J21</f>
        <v>100</v>
      </c>
      <c r="X21" s="1811"/>
      <c r="Y21" s="335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351"/>
      <c r="Q22" s="1808"/>
      <c r="R22" s="771"/>
      <c r="S22" s="772"/>
      <c r="T22" s="771"/>
      <c r="U22" s="772"/>
      <c r="V22" s="771"/>
      <c r="W22" s="772"/>
      <c r="X22" s="1811"/>
      <c r="Y22" s="3351"/>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351"/>
      <c r="Q23" s="1808" t="str">
        <f>B23</f>
        <v>环境质量</v>
      </c>
      <c r="R23" s="771" t="s">
        <v>17</v>
      </c>
      <c r="S23" s="772">
        <f>F23</f>
        <v>100</v>
      </c>
      <c r="T23" s="771" t="s">
        <v>17</v>
      </c>
      <c r="U23" s="772">
        <f>H23</f>
        <v>100</v>
      </c>
      <c r="V23" s="771" t="s">
        <v>17</v>
      </c>
      <c r="W23" s="772">
        <f>J23</f>
        <v>100</v>
      </c>
      <c r="X23" s="1811"/>
      <c r="Y23" s="335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351"/>
      <c r="Q24" s="1808"/>
      <c r="R24" s="771"/>
      <c r="S24" s="772"/>
      <c r="T24" s="771"/>
      <c r="U24" s="772"/>
      <c r="V24" s="771"/>
      <c r="W24" s="772"/>
      <c r="X24" s="1811"/>
      <c r="Y24" s="335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351"/>
      <c r="Q25" s="1808">
        <f>B25</f>
        <v>111</v>
      </c>
      <c r="R25" s="771" t="s">
        <v>17</v>
      </c>
      <c r="S25" s="772">
        <f>F25</f>
        <v>100</v>
      </c>
      <c r="T25" s="771" t="s">
        <v>17</v>
      </c>
      <c r="U25" s="772">
        <f>H25</f>
        <v>100</v>
      </c>
      <c r="V25" s="771" t="s">
        <v>17</v>
      </c>
      <c r="W25" s="772">
        <f>J25</f>
        <v>100</v>
      </c>
      <c r="X25" s="1811"/>
      <c r="Y25" s="335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351"/>
      <c r="Q26" s="1808">
        <f t="shared" ref="Q26:Q40" si="11">B26</f>
        <v>111</v>
      </c>
      <c r="R26" s="771" t="s">
        <v>17</v>
      </c>
      <c r="S26" s="772">
        <f>F26</f>
        <v>100</v>
      </c>
      <c r="T26" s="771" t="s">
        <v>17</v>
      </c>
      <c r="U26" s="772">
        <f>H26</f>
        <v>100</v>
      </c>
      <c r="V26" s="771" t="s">
        <v>17</v>
      </c>
      <c r="W26" s="772">
        <f>J26</f>
        <v>100</v>
      </c>
      <c r="X26" s="1811"/>
      <c r="Y26" s="335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351"/>
      <c r="Q27" s="1793">
        <f t="shared" si="11"/>
        <v>111</v>
      </c>
      <c r="R27" s="767" t="s">
        <v>17</v>
      </c>
      <c r="S27" s="768">
        <f>F27</f>
        <v>100</v>
      </c>
      <c r="T27" s="767" t="s">
        <v>17</v>
      </c>
      <c r="U27" s="768">
        <f>H27</f>
        <v>100</v>
      </c>
      <c r="V27" s="767" t="s">
        <v>17</v>
      </c>
      <c r="W27" s="768">
        <f>J27</f>
        <v>100</v>
      </c>
      <c r="X27" s="769"/>
      <c r="Y27" s="335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351"/>
      <c r="Q28" s="1808">
        <f t="shared" si="11"/>
        <v>111</v>
      </c>
      <c r="R28" s="771" t="s">
        <v>17</v>
      </c>
      <c r="S28" s="772">
        <f t="shared" ref="S28:S40" si="12">F28</f>
        <v>100</v>
      </c>
      <c r="T28" s="771" t="s">
        <v>17</v>
      </c>
      <c r="U28" s="772">
        <f t="shared" ref="U28:U40" si="13">H28</f>
        <v>100</v>
      </c>
      <c r="V28" s="771" t="s">
        <v>17</v>
      </c>
      <c r="W28" s="772">
        <f t="shared" ref="W28:W40" si="14">J28</f>
        <v>100</v>
      </c>
      <c r="X28" s="1811"/>
      <c r="Y28" s="3351"/>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80" t="s">
        <v>2557</v>
      </c>
      <c r="Q29" s="1808" t="str">
        <f t="shared" si="11"/>
        <v>建筑类型</v>
      </c>
      <c r="R29" s="771" t="s">
        <v>17</v>
      </c>
      <c r="S29" s="772">
        <f t="shared" si="12"/>
        <v>100</v>
      </c>
      <c r="T29" s="771" t="s">
        <v>17</v>
      </c>
      <c r="U29" s="772">
        <f t="shared" si="13"/>
        <v>100</v>
      </c>
      <c r="V29" s="771" t="s">
        <v>17</v>
      </c>
      <c r="W29" s="772">
        <f t="shared" si="14"/>
        <v>100</v>
      </c>
      <c r="X29" s="1811"/>
      <c r="Y29" s="3355"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355"/>
      <c r="Q30" s="773" t="str">
        <f t="shared" si="11"/>
        <v>项目建筑规模</v>
      </c>
      <c r="R30" s="774" t="s">
        <v>17</v>
      </c>
      <c r="S30" s="775" t="e">
        <f t="shared" si="12"/>
        <v>#N/A</v>
      </c>
      <c r="T30" s="774" t="s">
        <v>17</v>
      </c>
      <c r="U30" s="775" t="e">
        <f t="shared" si="13"/>
        <v>#N/A</v>
      </c>
      <c r="V30" s="774" t="s">
        <v>17</v>
      </c>
      <c r="W30" s="775" t="e">
        <f t="shared" si="14"/>
        <v>#N/A</v>
      </c>
      <c r="X30" s="776"/>
      <c r="Y30" s="3355"/>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355"/>
      <c r="Q31" s="1808" t="str">
        <f t="shared" si="11"/>
        <v>建筑结构</v>
      </c>
      <c r="R31" s="771" t="s">
        <v>17</v>
      </c>
      <c r="S31" s="772">
        <f t="shared" si="12"/>
        <v>100</v>
      </c>
      <c r="T31" s="771" t="s">
        <v>17</v>
      </c>
      <c r="U31" s="772">
        <f t="shared" si="13"/>
        <v>100</v>
      </c>
      <c r="V31" s="771" t="s">
        <v>17</v>
      </c>
      <c r="W31" s="772">
        <f t="shared" si="14"/>
        <v>100</v>
      </c>
      <c r="X31" s="1811"/>
      <c r="Y31" s="3355"/>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355"/>
      <c r="Q32" s="1808" t="str">
        <f t="shared" si="11"/>
        <v>公共部分装修</v>
      </c>
      <c r="R32" s="771" t="s">
        <v>17</v>
      </c>
      <c r="S32" s="772">
        <f t="shared" si="12"/>
        <v>100</v>
      </c>
      <c r="T32" s="771" t="s">
        <v>17</v>
      </c>
      <c r="U32" s="772">
        <f t="shared" si="13"/>
        <v>100</v>
      </c>
      <c r="V32" s="771" t="s">
        <v>17</v>
      </c>
      <c r="W32" s="772">
        <f t="shared" si="14"/>
        <v>100</v>
      </c>
      <c r="X32" s="1811"/>
      <c r="Y32" s="3355"/>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355"/>
      <c r="Q33" s="1808" t="str">
        <f t="shared" si="11"/>
        <v>成新度</v>
      </c>
      <c r="R33" s="771" t="s">
        <v>17</v>
      </c>
      <c r="S33" s="772" t="e">
        <f t="shared" si="12"/>
        <v>#N/A</v>
      </c>
      <c r="T33" s="771" t="s">
        <v>17</v>
      </c>
      <c r="U33" s="772" t="e">
        <f t="shared" si="13"/>
        <v>#N/A</v>
      </c>
      <c r="V33" s="771" t="s">
        <v>17</v>
      </c>
      <c r="W33" s="772" t="e">
        <f t="shared" si="14"/>
        <v>#N/A</v>
      </c>
      <c r="X33" s="1811"/>
      <c r="Y33" s="3355"/>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355"/>
      <c r="Q34" s="1793" t="str">
        <f t="shared" si="11"/>
        <v>物业管理</v>
      </c>
      <c r="R34" s="767" t="s">
        <v>17</v>
      </c>
      <c r="S34" s="768">
        <f t="shared" si="12"/>
        <v>100</v>
      </c>
      <c r="T34" s="767" t="s">
        <v>17</v>
      </c>
      <c r="U34" s="768">
        <f t="shared" si="13"/>
        <v>100</v>
      </c>
      <c r="V34" s="767" t="s">
        <v>17</v>
      </c>
      <c r="W34" s="768">
        <f t="shared" si="14"/>
        <v>100</v>
      </c>
      <c r="X34" s="769"/>
      <c r="Y34" s="3355"/>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355" t="s">
        <v>2557</v>
      </c>
      <c r="Q35" s="1808" t="str">
        <f t="shared" si="11"/>
        <v>市政基础设施</v>
      </c>
      <c r="R35" s="771" t="s">
        <v>17</v>
      </c>
      <c r="S35" s="772">
        <f t="shared" si="12"/>
        <v>100</v>
      </c>
      <c r="T35" s="771" t="s">
        <v>17</v>
      </c>
      <c r="U35" s="772">
        <f t="shared" si="13"/>
        <v>100</v>
      </c>
      <c r="V35" s="771" t="s">
        <v>17</v>
      </c>
      <c r="W35" s="772">
        <f t="shared" si="14"/>
        <v>100</v>
      </c>
      <c r="X35" s="1811"/>
      <c r="Y35" s="3355"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355"/>
      <c r="Q36" s="1808" t="str">
        <f t="shared" si="11"/>
        <v>内部装修</v>
      </c>
      <c r="R36" s="771" t="s">
        <v>17</v>
      </c>
      <c r="S36" s="772">
        <f t="shared" si="12"/>
        <v>100</v>
      </c>
      <c r="T36" s="771" t="s">
        <v>17</v>
      </c>
      <c r="U36" s="772">
        <f t="shared" si="13"/>
        <v>100</v>
      </c>
      <c r="V36" s="771" t="s">
        <v>17</v>
      </c>
      <c r="W36" s="772">
        <f t="shared" si="14"/>
        <v>100</v>
      </c>
      <c r="X36" s="1811"/>
      <c r="Y36" s="3355"/>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355"/>
      <c r="Q37" s="1808" t="str">
        <f t="shared" si="11"/>
        <v>内部装修状况</v>
      </c>
      <c r="R37" s="771" t="s">
        <v>17</v>
      </c>
      <c r="S37" s="772">
        <f t="shared" si="12"/>
        <v>100</v>
      </c>
      <c r="T37" s="771" t="s">
        <v>17</v>
      </c>
      <c r="U37" s="772">
        <f t="shared" si="13"/>
        <v>100</v>
      </c>
      <c r="V37" s="771" t="s">
        <v>17</v>
      </c>
      <c r="W37" s="772">
        <f t="shared" si="14"/>
        <v>100</v>
      </c>
      <c r="X37" s="1811"/>
      <c r="Y37" s="3355"/>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355"/>
      <c r="Q38" s="773">
        <f t="shared" si="11"/>
        <v>111</v>
      </c>
      <c r="R38" s="774" t="s">
        <v>17</v>
      </c>
      <c r="S38" s="775">
        <f t="shared" si="12"/>
        <v>100</v>
      </c>
      <c r="T38" s="774" t="s">
        <v>17</v>
      </c>
      <c r="U38" s="775">
        <f t="shared" si="13"/>
        <v>100</v>
      </c>
      <c r="V38" s="774" t="s">
        <v>17</v>
      </c>
      <c r="W38" s="775">
        <f t="shared" si="14"/>
        <v>100</v>
      </c>
      <c r="X38" s="776"/>
      <c r="Y38" s="3355"/>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355"/>
      <c r="Q39" s="1808">
        <f t="shared" si="11"/>
        <v>111</v>
      </c>
      <c r="R39" s="771" t="s">
        <v>17</v>
      </c>
      <c r="S39" s="772">
        <f t="shared" si="12"/>
        <v>100</v>
      </c>
      <c r="T39" s="771" t="s">
        <v>17</v>
      </c>
      <c r="U39" s="772">
        <f t="shared" si="13"/>
        <v>100</v>
      </c>
      <c r="V39" s="771" t="s">
        <v>17</v>
      </c>
      <c r="W39" s="772">
        <f t="shared" si="14"/>
        <v>100</v>
      </c>
      <c r="X39" s="1811"/>
      <c r="Y39" s="3355"/>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356"/>
      <c r="Q40" s="1808">
        <f t="shared" si="11"/>
        <v>111</v>
      </c>
      <c r="R40" s="771" t="s">
        <v>17</v>
      </c>
      <c r="S40" s="772">
        <f t="shared" si="12"/>
        <v>100</v>
      </c>
      <c r="T40" s="771" t="s">
        <v>17</v>
      </c>
      <c r="U40" s="772">
        <f t="shared" si="13"/>
        <v>100</v>
      </c>
      <c r="V40" s="771" t="s">
        <v>17</v>
      </c>
      <c r="W40" s="772">
        <f t="shared" si="14"/>
        <v>100</v>
      </c>
      <c r="X40" s="1811"/>
      <c r="Y40" s="3356"/>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348" t="str">
        <f>A41</f>
        <v>成交单价（元/平方米）</v>
      </c>
      <c r="Q41" s="3348"/>
      <c r="R41" s="3349">
        <f>E41</f>
        <v>0</v>
      </c>
      <c r="S41" s="3349"/>
      <c r="T41" s="3349">
        <f>G41</f>
        <v>0</v>
      </c>
      <c r="U41" s="3349"/>
      <c r="V41" s="3349">
        <f>I41</f>
        <v>0</v>
      </c>
      <c r="W41" s="3349"/>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345" t="str">
        <f>A43</f>
        <v>估价对象XX用房的比较价值（楼面单价，元/平方米）</v>
      </c>
      <c r="Q43" s="3346"/>
      <c r="R43" s="3347" t="e">
        <f>IF(F1="售价",ROUND(AVERAGE(R42:V42),0),ROUND(AVERAGE(R42:V42),1))</f>
        <v>#DIV/0!</v>
      </c>
      <c r="S43" s="3347"/>
      <c r="T43" s="3347"/>
      <c r="U43" s="3347"/>
      <c r="V43" s="3347"/>
      <c r="W43" s="3347"/>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316" t="s">
        <v>2541</v>
      </c>
      <c r="Q7" s="3344"/>
      <c r="R7" s="767" t="s">
        <v>17</v>
      </c>
      <c r="S7" s="768">
        <f t="shared" ref="S7:S14" si="0">F7</f>
        <v>0</v>
      </c>
      <c r="T7" s="767" t="s">
        <v>17</v>
      </c>
      <c r="U7" s="768">
        <f t="shared" ref="U7:U14" si="1">H7</f>
        <v>0</v>
      </c>
      <c r="V7" s="767" t="s">
        <v>17</v>
      </c>
      <c r="W7" s="768">
        <f t="shared" ref="W7:W14" si="2">J7</f>
        <v>0</v>
      </c>
      <c r="X7" s="769"/>
      <c r="Y7" s="3316" t="s">
        <v>2541</v>
      </c>
      <c r="Z7" s="3317"/>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348" t="s">
        <v>2547</v>
      </c>
      <c r="Q9" s="1793" t="str">
        <f t="shared" ref="Q9:Q14" si="6">B9</f>
        <v>用途</v>
      </c>
      <c r="R9" s="767" t="s">
        <v>17</v>
      </c>
      <c r="S9" s="768">
        <f t="shared" si="0"/>
        <v>100</v>
      </c>
      <c r="T9" s="767" t="s">
        <v>17</v>
      </c>
      <c r="U9" s="768">
        <f t="shared" si="1"/>
        <v>100</v>
      </c>
      <c r="V9" s="767" t="s">
        <v>17</v>
      </c>
      <c r="W9" s="768">
        <f t="shared" si="2"/>
        <v>100</v>
      </c>
      <c r="X9" s="769"/>
      <c r="Y9" s="3163"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348"/>
      <c r="Q11" s="1793">
        <f t="shared" si="6"/>
        <v>111</v>
      </c>
      <c r="R11" s="767" t="s">
        <v>17</v>
      </c>
      <c r="S11" s="768">
        <f t="shared" si="0"/>
        <v>100</v>
      </c>
      <c r="T11" s="767" t="s">
        <v>17</v>
      </c>
      <c r="U11" s="768">
        <f t="shared" si="1"/>
        <v>100</v>
      </c>
      <c r="V11" s="767" t="s">
        <v>17</v>
      </c>
      <c r="W11" s="768">
        <f t="shared" si="2"/>
        <v>100</v>
      </c>
      <c r="X11" s="769"/>
      <c r="Y11" s="316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350" t="s">
        <v>2552</v>
      </c>
      <c r="Q14" s="1808" t="str">
        <f t="shared" si="6"/>
        <v>交通便捷度</v>
      </c>
      <c r="R14" s="771" t="s">
        <v>17</v>
      </c>
      <c r="S14" s="772">
        <f t="shared" si="0"/>
        <v>100</v>
      </c>
      <c r="T14" s="771" t="s">
        <v>17</v>
      </c>
      <c r="U14" s="772">
        <f t="shared" si="1"/>
        <v>100</v>
      </c>
      <c r="V14" s="771" t="s">
        <v>17</v>
      </c>
      <c r="W14" s="772">
        <f t="shared" si="2"/>
        <v>100</v>
      </c>
      <c r="X14" s="1811"/>
      <c r="Y14" s="3350"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351"/>
      <c r="Q15" s="1808"/>
      <c r="R15" s="771"/>
      <c r="S15" s="772"/>
      <c r="T15" s="771"/>
      <c r="U15" s="772"/>
      <c r="V15" s="771"/>
      <c r="W15" s="772"/>
      <c r="X15" s="1811"/>
      <c r="Y15" s="3351"/>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351"/>
      <c r="Q16" s="1808" t="str">
        <f>B16</f>
        <v>公共配套设施</v>
      </c>
      <c r="R16" s="771" t="s">
        <v>17</v>
      </c>
      <c r="S16" s="772">
        <f>F16</f>
        <v>100</v>
      </c>
      <c r="T16" s="771" t="s">
        <v>17</v>
      </c>
      <c r="U16" s="772">
        <f>H16</f>
        <v>100</v>
      </c>
      <c r="V16" s="771" t="s">
        <v>17</v>
      </c>
      <c r="W16" s="772">
        <f>J16</f>
        <v>100</v>
      </c>
      <c r="X16" s="1811"/>
      <c r="Y16" s="3351"/>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351"/>
      <c r="Q17" s="1808"/>
      <c r="R17" s="771"/>
      <c r="S17" s="772"/>
      <c r="T17" s="771"/>
      <c r="U17" s="772"/>
      <c r="V17" s="771"/>
      <c r="W17" s="772"/>
      <c r="X17" s="1811"/>
      <c r="Y17" s="3351"/>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351"/>
      <c r="Q18" s="1808" t="str">
        <f>B18</f>
        <v>基础设施水平</v>
      </c>
      <c r="R18" s="771" t="s">
        <v>17</v>
      </c>
      <c r="S18" s="772">
        <f>F18</f>
        <v>100</v>
      </c>
      <c r="T18" s="771" t="s">
        <v>17</v>
      </c>
      <c r="U18" s="772">
        <f>H18</f>
        <v>100</v>
      </c>
      <c r="V18" s="771" t="s">
        <v>17</v>
      </c>
      <c r="W18" s="772">
        <f>J18</f>
        <v>100</v>
      </c>
      <c r="X18" s="1811"/>
      <c r="Y18" s="3351"/>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351"/>
      <c r="Q19" s="1808"/>
      <c r="R19" s="771"/>
      <c r="S19" s="772"/>
      <c r="T19" s="771"/>
      <c r="U19" s="772"/>
      <c r="V19" s="771"/>
      <c r="W19" s="772"/>
      <c r="X19" s="1811"/>
      <c r="Y19" s="3351"/>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351"/>
      <c r="Q20" s="1808" t="str">
        <f>B20</f>
        <v>自然及人文环境</v>
      </c>
      <c r="R20" s="771" t="s">
        <v>17</v>
      </c>
      <c r="S20" s="772">
        <f>F20</f>
        <v>100</v>
      </c>
      <c r="T20" s="771" t="s">
        <v>17</v>
      </c>
      <c r="U20" s="772">
        <f>H20</f>
        <v>100</v>
      </c>
      <c r="V20" s="771" t="s">
        <v>17</v>
      </c>
      <c r="W20" s="772">
        <f>J20</f>
        <v>100</v>
      </c>
      <c r="X20" s="1811"/>
      <c r="Y20" s="335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351"/>
      <c r="Q21" s="1808"/>
      <c r="R21" s="771"/>
      <c r="S21" s="772"/>
      <c r="T21" s="771"/>
      <c r="U21" s="772"/>
      <c r="V21" s="771"/>
      <c r="W21" s="772"/>
      <c r="X21" s="1811"/>
      <c r="Y21" s="3351"/>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351"/>
      <c r="Q22" s="1808" t="str">
        <f>B22</f>
        <v>楼层</v>
      </c>
      <c r="R22" s="771" t="s">
        <v>17</v>
      </c>
      <c r="S22" s="772">
        <f>F22</f>
        <v>100</v>
      </c>
      <c r="T22" s="771" t="s">
        <v>17</v>
      </c>
      <c r="U22" s="772">
        <f>H22</f>
        <v>100</v>
      </c>
      <c r="V22" s="771" t="s">
        <v>17</v>
      </c>
      <c r="W22" s="772">
        <f>J22</f>
        <v>100</v>
      </c>
      <c r="X22" s="1811"/>
      <c r="Y22" s="335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351"/>
      <c r="Q23" s="1808">
        <f>B23</f>
        <v>111</v>
      </c>
      <c r="R23" s="771" t="s">
        <v>17</v>
      </c>
      <c r="S23" s="772">
        <f>F23</f>
        <v>100</v>
      </c>
      <c r="T23" s="771" t="s">
        <v>17</v>
      </c>
      <c r="U23" s="772">
        <f>H23</f>
        <v>100</v>
      </c>
      <c r="V23" s="771" t="s">
        <v>17</v>
      </c>
      <c r="W23" s="772">
        <f>J23</f>
        <v>100</v>
      </c>
      <c r="X23" s="1811"/>
      <c r="Y23" s="335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351"/>
      <c r="Q24" s="1808">
        <f t="shared" ref="Q24:Q36" si="11">B24</f>
        <v>111</v>
      </c>
      <c r="R24" s="771" t="s">
        <v>17</v>
      </c>
      <c r="S24" s="772">
        <f>F24</f>
        <v>100</v>
      </c>
      <c r="T24" s="771" t="s">
        <v>17</v>
      </c>
      <c r="U24" s="772">
        <f>H24</f>
        <v>100</v>
      </c>
      <c r="V24" s="771" t="s">
        <v>17</v>
      </c>
      <c r="W24" s="772">
        <f>J24</f>
        <v>100</v>
      </c>
      <c r="X24" s="1811"/>
      <c r="Y24" s="335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351"/>
      <c r="Q25" s="1793">
        <f t="shared" si="11"/>
        <v>111</v>
      </c>
      <c r="R25" s="767" t="s">
        <v>17</v>
      </c>
      <c r="S25" s="768">
        <f>F25</f>
        <v>100</v>
      </c>
      <c r="T25" s="767" t="s">
        <v>17</v>
      </c>
      <c r="U25" s="768">
        <f>H25</f>
        <v>100</v>
      </c>
      <c r="V25" s="767" t="s">
        <v>17</v>
      </c>
      <c r="W25" s="768">
        <f>J25</f>
        <v>100</v>
      </c>
      <c r="X25" s="769"/>
      <c r="Y25" s="3351"/>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80"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355"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355"/>
      <c r="Q27" s="773" t="str">
        <f t="shared" si="11"/>
        <v>项目停车位配比</v>
      </c>
      <c r="R27" s="774" t="s">
        <v>17</v>
      </c>
      <c r="S27" s="775">
        <f t="shared" si="12"/>
        <v>100</v>
      </c>
      <c r="T27" s="774" t="s">
        <v>17</v>
      </c>
      <c r="U27" s="775">
        <f t="shared" si="13"/>
        <v>100</v>
      </c>
      <c r="V27" s="774" t="s">
        <v>17</v>
      </c>
      <c r="W27" s="775">
        <f t="shared" si="14"/>
        <v>100</v>
      </c>
      <c r="X27" s="776"/>
      <c r="Y27" s="3355"/>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355"/>
      <c r="Q28" s="1808" t="str">
        <f t="shared" si="11"/>
        <v>公共部分装修</v>
      </c>
      <c r="R28" s="771" t="s">
        <v>17</v>
      </c>
      <c r="S28" s="772">
        <f t="shared" si="12"/>
        <v>100</v>
      </c>
      <c r="T28" s="771" t="s">
        <v>17</v>
      </c>
      <c r="U28" s="772">
        <f t="shared" si="13"/>
        <v>100</v>
      </c>
      <c r="V28" s="771" t="s">
        <v>17</v>
      </c>
      <c r="W28" s="772">
        <f t="shared" si="14"/>
        <v>100</v>
      </c>
      <c r="X28" s="1811"/>
      <c r="Y28" s="3355"/>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355"/>
      <c r="Q29" s="1808" t="str">
        <f t="shared" si="11"/>
        <v>成新率</v>
      </c>
      <c r="R29" s="771" t="s">
        <v>17</v>
      </c>
      <c r="S29" s="772" t="e">
        <f t="shared" si="12"/>
        <v>#N/A</v>
      </c>
      <c r="T29" s="771" t="s">
        <v>17</v>
      </c>
      <c r="U29" s="772" t="e">
        <f t="shared" si="13"/>
        <v>#N/A</v>
      </c>
      <c r="V29" s="771" t="s">
        <v>17</v>
      </c>
      <c r="W29" s="772" t="e">
        <f t="shared" si="14"/>
        <v>#N/A</v>
      </c>
      <c r="X29" s="1811"/>
      <c r="Y29" s="3355"/>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355"/>
      <c r="Q30" s="1808" t="str">
        <f t="shared" si="11"/>
        <v>物业等级</v>
      </c>
      <c r="R30" s="771" t="s">
        <v>17</v>
      </c>
      <c r="S30" s="772">
        <f t="shared" si="12"/>
        <v>100</v>
      </c>
      <c r="T30" s="771" t="s">
        <v>17</v>
      </c>
      <c r="U30" s="772">
        <f t="shared" si="13"/>
        <v>100</v>
      </c>
      <c r="V30" s="771" t="s">
        <v>17</v>
      </c>
      <c r="W30" s="772">
        <f t="shared" si="14"/>
        <v>100</v>
      </c>
      <c r="X30" s="1811"/>
      <c r="Y30" s="3355"/>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355"/>
      <c r="Q31" s="1793" t="str">
        <f t="shared" si="11"/>
        <v>停车位面积</v>
      </c>
      <c r="R31" s="767" t="s">
        <v>17</v>
      </c>
      <c r="S31" s="768" t="e">
        <f t="shared" si="12"/>
        <v>#N/A</v>
      </c>
      <c r="T31" s="767" t="s">
        <v>17</v>
      </c>
      <c r="U31" s="768" t="e">
        <f t="shared" si="13"/>
        <v>#N/A</v>
      </c>
      <c r="V31" s="767" t="s">
        <v>17</v>
      </c>
      <c r="W31" s="768" t="e">
        <f t="shared" si="14"/>
        <v>#N/A</v>
      </c>
      <c r="X31" s="769"/>
      <c r="Y31" s="3355"/>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355" t="s">
        <v>2557</v>
      </c>
      <c r="Q32" s="1808" t="str">
        <f t="shared" si="11"/>
        <v>车位类型</v>
      </c>
      <c r="R32" s="771" t="s">
        <v>17</v>
      </c>
      <c r="S32" s="772">
        <f t="shared" si="12"/>
        <v>100</v>
      </c>
      <c r="T32" s="771" t="s">
        <v>17</v>
      </c>
      <c r="U32" s="772">
        <f t="shared" si="13"/>
        <v>100</v>
      </c>
      <c r="V32" s="771" t="s">
        <v>17</v>
      </c>
      <c r="W32" s="772">
        <f t="shared" si="14"/>
        <v>100</v>
      </c>
      <c r="X32" s="1811"/>
      <c r="Y32" s="3355"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355"/>
      <c r="Q33" s="1808" t="str">
        <f t="shared" si="11"/>
        <v>是否直接入户</v>
      </c>
      <c r="R33" s="771" t="s">
        <v>17</v>
      </c>
      <c r="S33" s="772">
        <f t="shared" si="12"/>
        <v>100</v>
      </c>
      <c r="T33" s="771" t="s">
        <v>17</v>
      </c>
      <c r="U33" s="772">
        <f t="shared" si="13"/>
        <v>100</v>
      </c>
      <c r="V33" s="771" t="s">
        <v>17</v>
      </c>
      <c r="W33" s="772">
        <f t="shared" si="14"/>
        <v>100</v>
      </c>
      <c r="X33" s="1811"/>
      <c r="Y33" s="3355"/>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355"/>
      <c r="Q34" s="1808">
        <f t="shared" si="11"/>
        <v>111</v>
      </c>
      <c r="R34" s="771" t="s">
        <v>17</v>
      </c>
      <c r="S34" s="772">
        <f t="shared" si="12"/>
        <v>100</v>
      </c>
      <c r="T34" s="771" t="s">
        <v>17</v>
      </c>
      <c r="U34" s="772">
        <f t="shared" si="13"/>
        <v>100</v>
      </c>
      <c r="V34" s="771" t="s">
        <v>17</v>
      </c>
      <c r="W34" s="772">
        <f t="shared" si="14"/>
        <v>100</v>
      </c>
      <c r="X34" s="1811"/>
      <c r="Y34" s="3355"/>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355"/>
      <c r="Q35" s="773">
        <f t="shared" si="11"/>
        <v>111</v>
      </c>
      <c r="R35" s="774" t="s">
        <v>17</v>
      </c>
      <c r="S35" s="775">
        <f t="shared" si="12"/>
        <v>100</v>
      </c>
      <c r="T35" s="774" t="s">
        <v>17</v>
      </c>
      <c r="U35" s="775">
        <f t="shared" si="13"/>
        <v>100</v>
      </c>
      <c r="V35" s="774" t="s">
        <v>17</v>
      </c>
      <c r="W35" s="775">
        <f t="shared" si="14"/>
        <v>100</v>
      </c>
      <c r="X35" s="776"/>
      <c r="Y35" s="3355"/>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355"/>
      <c r="Q36" s="1808">
        <f t="shared" si="11"/>
        <v>111</v>
      </c>
      <c r="R36" s="771" t="s">
        <v>17</v>
      </c>
      <c r="S36" s="772">
        <f t="shared" si="12"/>
        <v>100</v>
      </c>
      <c r="T36" s="771" t="s">
        <v>17</v>
      </c>
      <c r="U36" s="772">
        <f t="shared" si="13"/>
        <v>100</v>
      </c>
      <c r="V36" s="771" t="s">
        <v>17</v>
      </c>
      <c r="W36" s="772">
        <f t="shared" si="14"/>
        <v>100</v>
      </c>
      <c r="X36" s="1811"/>
      <c r="Y36" s="3355"/>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348" t="str">
        <f>A37</f>
        <v>成交单价</v>
      </c>
      <c r="Q37" s="3348"/>
      <c r="R37" s="3349">
        <f>E37</f>
        <v>0</v>
      </c>
      <c r="S37" s="3349"/>
      <c r="T37" s="3349">
        <f>G37</f>
        <v>0</v>
      </c>
      <c r="U37" s="3349"/>
      <c r="V37" s="3349">
        <f>I37</f>
        <v>0</v>
      </c>
      <c r="W37" s="3349"/>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345" t="str">
        <f>A39</f>
        <v>估价对象XX用房的比较价值（楼面单价，元/平方米）</v>
      </c>
      <c r="Q39" s="3346"/>
      <c r="R39" s="3347" t="e">
        <f>IF(F1="售价",ROUND(AVERAGE(R38:V38),0),ROUND(AVERAGE(R38:V38),1))</f>
        <v>#DIV/0!</v>
      </c>
      <c r="S39" s="3347"/>
      <c r="T39" s="3347"/>
      <c r="U39" s="3347"/>
      <c r="V39" s="3347"/>
      <c r="W39" s="3347"/>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316" t="s">
        <v>2541</v>
      </c>
      <c r="Q7" s="3344"/>
      <c r="R7" s="767" t="s">
        <v>17</v>
      </c>
      <c r="S7" s="768">
        <f t="shared" ref="S7:S14" si="0">F7</f>
        <v>0</v>
      </c>
      <c r="T7" s="767" t="s">
        <v>17</v>
      </c>
      <c r="U7" s="768">
        <f t="shared" ref="U7:U14" si="1">H7</f>
        <v>0</v>
      </c>
      <c r="V7" s="767" t="s">
        <v>17</v>
      </c>
      <c r="W7" s="768">
        <f t="shared" ref="W7:W14" si="2">J7</f>
        <v>0</v>
      </c>
      <c r="X7" s="769"/>
      <c r="Y7" s="3316" t="s">
        <v>2541</v>
      </c>
      <c r="Z7" s="3317"/>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348" t="s">
        <v>2547</v>
      </c>
      <c r="Q9" s="1793" t="str">
        <f t="shared" ref="Q9:Q14" si="6">B9</f>
        <v>用途</v>
      </c>
      <c r="R9" s="767" t="s">
        <v>17</v>
      </c>
      <c r="S9" s="768">
        <f t="shared" si="0"/>
        <v>100</v>
      </c>
      <c r="T9" s="767" t="s">
        <v>17</v>
      </c>
      <c r="U9" s="768">
        <f t="shared" si="1"/>
        <v>100</v>
      </c>
      <c r="V9" s="767" t="s">
        <v>17</v>
      </c>
      <c r="W9" s="768">
        <f t="shared" si="2"/>
        <v>100</v>
      </c>
      <c r="X9" s="769"/>
      <c r="Y9" s="3163"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348"/>
      <c r="Q10" s="1793" t="str">
        <f t="shared" si="6"/>
        <v>土地使用年限（年）</v>
      </c>
      <c r="R10" s="767" t="s">
        <v>17</v>
      </c>
      <c r="S10" s="768">
        <f t="shared" si="0"/>
        <v>100</v>
      </c>
      <c r="T10" s="767" t="s">
        <v>17</v>
      </c>
      <c r="U10" s="768">
        <f t="shared" si="1"/>
        <v>100</v>
      </c>
      <c r="V10" s="767" t="s">
        <v>17</v>
      </c>
      <c r="W10" s="768">
        <f t="shared" si="2"/>
        <v>100</v>
      </c>
      <c r="X10" s="769"/>
      <c r="Y10" s="3163"/>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348"/>
      <c r="Q11" s="1793">
        <f t="shared" si="6"/>
        <v>111</v>
      </c>
      <c r="R11" s="767" t="s">
        <v>17</v>
      </c>
      <c r="S11" s="768">
        <f t="shared" si="0"/>
        <v>100</v>
      </c>
      <c r="T11" s="767" t="s">
        <v>17</v>
      </c>
      <c r="U11" s="768">
        <f t="shared" si="1"/>
        <v>100</v>
      </c>
      <c r="V11" s="767" t="s">
        <v>17</v>
      </c>
      <c r="W11" s="768">
        <f t="shared" si="2"/>
        <v>100</v>
      </c>
      <c r="X11" s="769"/>
      <c r="Y11" s="3163"/>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350" t="s">
        <v>2552</v>
      </c>
      <c r="Q14" s="1808" t="str">
        <f t="shared" si="6"/>
        <v>交通便捷度</v>
      </c>
      <c r="R14" s="771" t="s">
        <v>17</v>
      </c>
      <c r="S14" s="772">
        <f t="shared" si="0"/>
        <v>100</v>
      </c>
      <c r="T14" s="771" t="s">
        <v>17</v>
      </c>
      <c r="U14" s="772">
        <f t="shared" si="1"/>
        <v>100</v>
      </c>
      <c r="V14" s="771" t="s">
        <v>17</v>
      </c>
      <c r="W14" s="772">
        <f t="shared" si="2"/>
        <v>100</v>
      </c>
      <c r="X14" s="1811"/>
      <c r="Y14" s="3350"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351"/>
      <c r="Q15" s="1808"/>
      <c r="R15" s="771"/>
      <c r="S15" s="772"/>
      <c r="T15" s="771"/>
      <c r="U15" s="772"/>
      <c r="V15" s="771"/>
      <c r="W15" s="772"/>
      <c r="X15" s="1811"/>
      <c r="Y15" s="3351"/>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351"/>
      <c r="Q16" s="1808" t="str">
        <f>B16</f>
        <v>公共配套设施</v>
      </c>
      <c r="R16" s="771" t="s">
        <v>17</v>
      </c>
      <c r="S16" s="772">
        <f>F16</f>
        <v>100</v>
      </c>
      <c r="T16" s="771" t="s">
        <v>17</v>
      </c>
      <c r="U16" s="772">
        <f>H16</f>
        <v>100</v>
      </c>
      <c r="V16" s="771" t="s">
        <v>17</v>
      </c>
      <c r="W16" s="772">
        <f>J16</f>
        <v>100</v>
      </c>
      <c r="X16" s="1811"/>
      <c r="Y16" s="335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351"/>
      <c r="Q17" s="1808"/>
      <c r="R17" s="771"/>
      <c r="S17" s="772"/>
      <c r="T17" s="771"/>
      <c r="U17" s="772"/>
      <c r="V17" s="771"/>
      <c r="W17" s="772"/>
      <c r="X17" s="1811"/>
      <c r="Y17" s="3351"/>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351"/>
      <c r="Q18" s="1808" t="str">
        <f>B18</f>
        <v>基础设施水平</v>
      </c>
      <c r="R18" s="771" t="s">
        <v>17</v>
      </c>
      <c r="S18" s="772">
        <f>F18</f>
        <v>100</v>
      </c>
      <c r="T18" s="771" t="s">
        <v>17</v>
      </c>
      <c r="U18" s="772">
        <f>H18</f>
        <v>100</v>
      </c>
      <c r="V18" s="771" t="s">
        <v>17</v>
      </c>
      <c r="W18" s="772">
        <f>J18</f>
        <v>100</v>
      </c>
      <c r="X18" s="1811"/>
      <c r="Y18" s="335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351"/>
      <c r="Q19" s="1808"/>
      <c r="R19" s="771"/>
      <c r="S19" s="772"/>
      <c r="T19" s="771"/>
      <c r="U19" s="772"/>
      <c r="V19" s="771"/>
      <c r="W19" s="772"/>
      <c r="X19" s="1811"/>
      <c r="Y19" s="3351"/>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351"/>
      <c r="Q20" s="1808" t="str">
        <f>B20</f>
        <v>自然及人文环境</v>
      </c>
      <c r="R20" s="771" t="s">
        <v>17</v>
      </c>
      <c r="S20" s="772">
        <f>F20</f>
        <v>100</v>
      </c>
      <c r="T20" s="771" t="s">
        <v>17</v>
      </c>
      <c r="U20" s="772">
        <f>H20</f>
        <v>100</v>
      </c>
      <c r="V20" s="771" t="s">
        <v>17</v>
      </c>
      <c r="W20" s="772">
        <f>J20</f>
        <v>100</v>
      </c>
      <c r="X20" s="1811"/>
      <c r="Y20" s="335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351"/>
      <c r="Q21" s="1808"/>
      <c r="R21" s="771"/>
      <c r="S21" s="772"/>
      <c r="T21" s="771"/>
      <c r="U21" s="772"/>
      <c r="V21" s="771"/>
      <c r="W21" s="772"/>
      <c r="X21" s="1811"/>
      <c r="Y21" s="3351"/>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351"/>
      <c r="Q22" s="1808" t="str">
        <f>B22</f>
        <v>楼层</v>
      </c>
      <c r="R22" s="771" t="s">
        <v>17</v>
      </c>
      <c r="S22" s="772">
        <f>F22</f>
        <v>100</v>
      </c>
      <c r="T22" s="771" t="s">
        <v>17</v>
      </c>
      <c r="U22" s="772">
        <f>H22</f>
        <v>100</v>
      </c>
      <c r="V22" s="771" t="s">
        <v>17</v>
      </c>
      <c r="W22" s="772">
        <f>J22</f>
        <v>100</v>
      </c>
      <c r="X22" s="1811"/>
      <c r="Y22" s="335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351"/>
      <c r="Q23" s="1808">
        <f>B23</f>
        <v>111</v>
      </c>
      <c r="R23" s="771" t="s">
        <v>17</v>
      </c>
      <c r="S23" s="772">
        <f>F23</f>
        <v>100</v>
      </c>
      <c r="T23" s="771" t="s">
        <v>17</v>
      </c>
      <c r="U23" s="772">
        <f>H23</f>
        <v>100</v>
      </c>
      <c r="V23" s="771" t="s">
        <v>17</v>
      </c>
      <c r="W23" s="772">
        <f>J23</f>
        <v>100</v>
      </c>
      <c r="X23" s="1811"/>
      <c r="Y23" s="335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351"/>
      <c r="Q24" s="1808">
        <f t="shared" ref="Q24:Q34" si="11">B24</f>
        <v>111</v>
      </c>
      <c r="R24" s="771" t="s">
        <v>17</v>
      </c>
      <c r="S24" s="772">
        <f>F24</f>
        <v>100</v>
      </c>
      <c r="T24" s="771" t="s">
        <v>17</v>
      </c>
      <c r="U24" s="772">
        <f>H24</f>
        <v>100</v>
      </c>
      <c r="V24" s="771" t="s">
        <v>17</v>
      </c>
      <c r="W24" s="772">
        <f>J24</f>
        <v>100</v>
      </c>
      <c r="X24" s="1811"/>
      <c r="Y24" s="3351"/>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351"/>
      <c r="Q25" s="1793">
        <f t="shared" si="11"/>
        <v>111</v>
      </c>
      <c r="R25" s="767" t="s">
        <v>17</v>
      </c>
      <c r="S25" s="768">
        <f>F25</f>
        <v>100</v>
      </c>
      <c r="T25" s="767" t="s">
        <v>17</v>
      </c>
      <c r="U25" s="768">
        <f>H25</f>
        <v>100</v>
      </c>
      <c r="V25" s="767" t="s">
        <v>17</v>
      </c>
      <c r="W25" s="768">
        <f>J25</f>
        <v>100</v>
      </c>
      <c r="X25" s="769"/>
      <c r="Y25" s="3351"/>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80"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355"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355"/>
      <c r="Q27" s="773" t="str">
        <f t="shared" si="11"/>
        <v>成新率</v>
      </c>
      <c r="R27" s="774" t="s">
        <v>17</v>
      </c>
      <c r="S27" s="775" t="e">
        <f t="shared" si="12"/>
        <v>#N/A</v>
      </c>
      <c r="T27" s="774" t="s">
        <v>17</v>
      </c>
      <c r="U27" s="775" t="e">
        <f t="shared" si="13"/>
        <v>#N/A</v>
      </c>
      <c r="V27" s="774" t="s">
        <v>17</v>
      </c>
      <c r="W27" s="775" t="e">
        <f t="shared" si="14"/>
        <v>#N/A</v>
      </c>
      <c r="X27" s="776"/>
      <c r="Y27" s="3355"/>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355"/>
      <c r="Q28" s="1808" t="str">
        <f t="shared" si="11"/>
        <v>物业等级</v>
      </c>
      <c r="R28" s="771" t="s">
        <v>17</v>
      </c>
      <c r="S28" s="772">
        <f t="shared" si="12"/>
        <v>100</v>
      </c>
      <c r="T28" s="771" t="s">
        <v>17</v>
      </c>
      <c r="U28" s="772">
        <f t="shared" si="13"/>
        <v>100</v>
      </c>
      <c r="V28" s="771" t="s">
        <v>17</v>
      </c>
      <c r="W28" s="772">
        <f t="shared" si="14"/>
        <v>100</v>
      </c>
      <c r="X28" s="1811"/>
      <c r="Y28" s="3355"/>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355"/>
      <c r="Q29" s="1808" t="str">
        <f t="shared" si="11"/>
        <v>有无电梯</v>
      </c>
      <c r="R29" s="771" t="s">
        <v>17</v>
      </c>
      <c r="S29" s="772">
        <f t="shared" si="12"/>
        <v>100</v>
      </c>
      <c r="T29" s="771" t="s">
        <v>17</v>
      </c>
      <c r="U29" s="772">
        <f t="shared" si="13"/>
        <v>100</v>
      </c>
      <c r="V29" s="771" t="s">
        <v>17</v>
      </c>
      <c r="W29" s="772">
        <f t="shared" si="14"/>
        <v>100</v>
      </c>
      <c r="X29" s="1811"/>
      <c r="Y29" s="3355"/>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355"/>
      <c r="Q30" s="1808" t="str">
        <f t="shared" si="11"/>
        <v>建筑面积</v>
      </c>
      <c r="R30" s="771" t="s">
        <v>17</v>
      </c>
      <c r="S30" s="772" t="e">
        <f t="shared" si="12"/>
        <v>#N/A</v>
      </c>
      <c r="T30" s="771" t="s">
        <v>17</v>
      </c>
      <c r="U30" s="772" t="e">
        <f t="shared" si="13"/>
        <v>#N/A</v>
      </c>
      <c r="V30" s="771" t="s">
        <v>17</v>
      </c>
      <c r="W30" s="772" t="e">
        <f t="shared" si="14"/>
        <v>#N/A</v>
      </c>
      <c r="X30" s="1811"/>
      <c r="Y30" s="3355"/>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355"/>
      <c r="Q31" s="1793" t="str">
        <f t="shared" si="11"/>
        <v>是否封闭</v>
      </c>
      <c r="R31" s="767" t="s">
        <v>17</v>
      </c>
      <c r="S31" s="768">
        <f t="shared" si="12"/>
        <v>100</v>
      </c>
      <c r="T31" s="767" t="s">
        <v>17</v>
      </c>
      <c r="U31" s="768">
        <f t="shared" si="13"/>
        <v>100</v>
      </c>
      <c r="V31" s="767" t="s">
        <v>17</v>
      </c>
      <c r="W31" s="768">
        <f t="shared" si="14"/>
        <v>100</v>
      </c>
      <c r="X31" s="769"/>
      <c r="Y31" s="3355"/>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355" t="s">
        <v>2557</v>
      </c>
      <c r="Q32" s="1808">
        <f t="shared" si="11"/>
        <v>111</v>
      </c>
      <c r="R32" s="771" t="s">
        <v>17</v>
      </c>
      <c r="S32" s="772">
        <f t="shared" si="12"/>
        <v>100</v>
      </c>
      <c r="T32" s="771" t="s">
        <v>17</v>
      </c>
      <c r="U32" s="772">
        <f t="shared" si="13"/>
        <v>100</v>
      </c>
      <c r="V32" s="771" t="s">
        <v>17</v>
      </c>
      <c r="W32" s="772">
        <f t="shared" si="14"/>
        <v>100</v>
      </c>
      <c r="X32" s="1811"/>
      <c r="Y32" s="3355"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355"/>
      <c r="Q33" s="1808">
        <f t="shared" si="11"/>
        <v>111</v>
      </c>
      <c r="R33" s="771" t="s">
        <v>17</v>
      </c>
      <c r="S33" s="772">
        <f t="shared" si="12"/>
        <v>100</v>
      </c>
      <c r="T33" s="771" t="s">
        <v>17</v>
      </c>
      <c r="U33" s="772">
        <f t="shared" si="13"/>
        <v>100</v>
      </c>
      <c r="V33" s="771" t="s">
        <v>17</v>
      </c>
      <c r="W33" s="772">
        <f t="shared" si="14"/>
        <v>100</v>
      </c>
      <c r="X33" s="1811"/>
      <c r="Y33" s="3355"/>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355"/>
      <c r="Q34" s="1808">
        <f t="shared" si="11"/>
        <v>111</v>
      </c>
      <c r="R34" s="771" t="s">
        <v>17</v>
      </c>
      <c r="S34" s="772">
        <f t="shared" si="12"/>
        <v>100</v>
      </c>
      <c r="T34" s="771" t="s">
        <v>17</v>
      </c>
      <c r="U34" s="772">
        <f t="shared" si="13"/>
        <v>100</v>
      </c>
      <c r="V34" s="771" t="s">
        <v>17</v>
      </c>
      <c r="W34" s="772">
        <f t="shared" si="14"/>
        <v>100</v>
      </c>
      <c r="X34" s="1811"/>
      <c r="Y34" s="3355"/>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348" t="str">
        <f>A35</f>
        <v>成交单价（元/平方米）</v>
      </c>
      <c r="Q35" s="3348"/>
      <c r="R35" s="3349">
        <f>E35</f>
        <v>0</v>
      </c>
      <c r="S35" s="3349"/>
      <c r="T35" s="3349">
        <f>G35</f>
        <v>0</v>
      </c>
      <c r="U35" s="3349"/>
      <c r="V35" s="3349">
        <f>I35</f>
        <v>0</v>
      </c>
      <c r="W35" s="3349"/>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345" t="str">
        <f>A37</f>
        <v>估价对象XX用房的比较价值（楼面单价，元/平方米）</v>
      </c>
      <c r="Q37" s="3346"/>
      <c r="R37" s="3347" t="e">
        <f>IF(F1="售价",ROUND(AVERAGE(R36:V36),0),ROUND(AVERAGE(R36:V36),1))</f>
        <v>#DIV/0!</v>
      </c>
      <c r="S37" s="3347"/>
      <c r="T37" s="3347"/>
      <c r="U37" s="3347"/>
      <c r="V37" s="3347"/>
      <c r="W37" s="3347"/>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30"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30" ht="15.75" thickBot="1">
      <c r="A6" s="406"/>
      <c r="B6" s="407"/>
      <c r="C6" s="3326" t="s">
        <v>2538</v>
      </c>
      <c r="D6" s="3327"/>
      <c r="E6" s="3328" t="s">
        <v>2538</v>
      </c>
      <c r="F6" s="3329"/>
      <c r="G6" s="3326" t="s">
        <v>2538</v>
      </c>
      <c r="H6" s="3327"/>
      <c r="I6" s="3326" t="s">
        <v>2538</v>
      </c>
      <c r="J6" s="3327"/>
      <c r="K6" s="610" t="s">
        <v>2539</v>
      </c>
      <c r="L6" s="1129"/>
      <c r="M6" s="1130"/>
      <c r="N6" s="1130"/>
      <c r="O6" s="1130"/>
      <c r="P6" s="3339"/>
      <c r="Q6" s="3340"/>
      <c r="R6" s="3320"/>
      <c r="S6" s="3321"/>
      <c r="T6" s="3341"/>
      <c r="U6" s="3342"/>
      <c r="V6" s="3343"/>
      <c r="W6" s="3343"/>
      <c r="X6" s="1811"/>
      <c r="Y6" s="3341"/>
      <c r="Z6" s="3342"/>
      <c r="AA6" s="3315"/>
      <c r="AB6" s="3315"/>
      <c r="AC6" s="3315"/>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348"/>
      <c r="Q10" s="1793" t="str">
        <f t="shared" si="6"/>
        <v>土地使用年限（年）</v>
      </c>
      <c r="R10" s="767" t="s">
        <v>17</v>
      </c>
      <c r="S10" s="768">
        <f t="shared" si="0"/>
        <v>109</v>
      </c>
      <c r="T10" s="767" t="s">
        <v>17</v>
      </c>
      <c r="U10" s="768">
        <f t="shared" si="1"/>
        <v>109</v>
      </c>
      <c r="V10" s="767" t="s">
        <v>17</v>
      </c>
      <c r="W10" s="768">
        <f t="shared" si="2"/>
        <v>109</v>
      </c>
      <c r="X10" s="769"/>
      <c r="Y10" s="3163"/>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348"/>
      <c r="Q12" s="1793" t="str">
        <f t="shared" si="6"/>
        <v>配建</v>
      </c>
      <c r="R12" s="767" t="s">
        <v>17</v>
      </c>
      <c r="S12" s="768">
        <f t="shared" si="0"/>
        <v>100</v>
      </c>
      <c r="T12" s="767" t="s">
        <v>17</v>
      </c>
      <c r="U12" s="768">
        <f t="shared" si="1"/>
        <v>100</v>
      </c>
      <c r="V12" s="767" t="s">
        <v>17</v>
      </c>
      <c r="W12" s="768">
        <f t="shared" si="2"/>
        <v>100</v>
      </c>
      <c r="X12" s="769"/>
      <c r="Y12" s="3163"/>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350" t="s">
        <v>2552</v>
      </c>
      <c r="Q15" s="1808" t="str">
        <f t="shared" si="6"/>
        <v>居住社区成熟度</v>
      </c>
      <c r="R15" s="771" t="s">
        <v>17</v>
      </c>
      <c r="S15" s="772">
        <f t="shared" si="0"/>
        <v>100</v>
      </c>
      <c r="T15" s="771" t="s">
        <v>17</v>
      </c>
      <c r="U15" s="772">
        <f t="shared" si="1"/>
        <v>100</v>
      </c>
      <c r="V15" s="771" t="s">
        <v>17</v>
      </c>
      <c r="W15" s="772">
        <f t="shared" si="2"/>
        <v>100</v>
      </c>
      <c r="X15" s="1811"/>
      <c r="Y15" s="3350"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351"/>
      <c r="Q16" s="1808"/>
      <c r="R16" s="771"/>
      <c r="S16" s="772"/>
      <c r="T16" s="771"/>
      <c r="U16" s="772"/>
      <c r="V16" s="771"/>
      <c r="W16" s="772"/>
      <c r="X16" s="1811"/>
      <c r="Y16" s="3351"/>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351"/>
      <c r="Q17" s="1808" t="str">
        <f>B17</f>
        <v>商业繁华度</v>
      </c>
      <c r="R17" s="771" t="s">
        <v>17</v>
      </c>
      <c r="S17" s="772">
        <f>F17</f>
        <v>100</v>
      </c>
      <c r="T17" s="771" t="s">
        <v>17</v>
      </c>
      <c r="U17" s="772">
        <f>H17</f>
        <v>100</v>
      </c>
      <c r="V17" s="771" t="s">
        <v>17</v>
      </c>
      <c r="W17" s="772">
        <f>J17</f>
        <v>100</v>
      </c>
      <c r="X17" s="1811"/>
      <c r="Y17" s="3351"/>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351"/>
      <c r="Q18" s="1808"/>
      <c r="R18" s="771"/>
      <c r="S18" s="772"/>
      <c r="T18" s="771"/>
      <c r="U18" s="772"/>
      <c r="V18" s="771"/>
      <c r="W18" s="772"/>
      <c r="X18" s="1811"/>
      <c r="Y18" s="3351"/>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351"/>
      <c r="Q19" s="1808" t="str">
        <f>B19</f>
        <v>办公集聚程度</v>
      </c>
      <c r="R19" s="771" t="s">
        <v>17</v>
      </c>
      <c r="S19" s="772">
        <f>F19</f>
        <v>100</v>
      </c>
      <c r="T19" s="771" t="s">
        <v>17</v>
      </c>
      <c r="U19" s="772">
        <f>H19</f>
        <v>100</v>
      </c>
      <c r="V19" s="771" t="s">
        <v>17</v>
      </c>
      <c r="W19" s="772">
        <f>J19</f>
        <v>100</v>
      </c>
      <c r="X19" s="1811"/>
      <c r="Y19" s="3351"/>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351"/>
      <c r="Q20" s="1808"/>
      <c r="R20" s="771"/>
      <c r="S20" s="772"/>
      <c r="T20" s="771"/>
      <c r="U20" s="772"/>
      <c r="V20" s="771"/>
      <c r="W20" s="772"/>
      <c r="X20" s="1811"/>
      <c r="Y20" s="3351"/>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351"/>
      <c r="Q21" s="1808" t="str">
        <f>B21</f>
        <v>交通便捷度</v>
      </c>
      <c r="R21" s="771" t="s">
        <v>17</v>
      </c>
      <c r="S21" s="772">
        <f>F21</f>
        <v>100</v>
      </c>
      <c r="T21" s="771" t="s">
        <v>17</v>
      </c>
      <c r="U21" s="772">
        <f>H21</f>
        <v>100</v>
      </c>
      <c r="V21" s="771" t="s">
        <v>17</v>
      </c>
      <c r="W21" s="772">
        <f>J21</f>
        <v>100</v>
      </c>
      <c r="X21" s="1811"/>
      <c r="Y21" s="3351"/>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351"/>
      <c r="Q22" s="1808"/>
      <c r="R22" s="771"/>
      <c r="S22" s="772"/>
      <c r="T22" s="771"/>
      <c r="U22" s="772"/>
      <c r="V22" s="771"/>
      <c r="W22" s="772"/>
      <c r="X22" s="1811"/>
      <c r="Y22" s="3351"/>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351"/>
      <c r="Q23" s="1808" t="str">
        <f t="shared" ref="Q23:Q37" si="8">B23</f>
        <v>区域土地利用方向</v>
      </c>
      <c r="R23" s="771" t="s">
        <v>17</v>
      </c>
      <c r="S23" s="772">
        <f>F23</f>
        <v>100</v>
      </c>
      <c r="T23" s="771" t="s">
        <v>17</v>
      </c>
      <c r="U23" s="772">
        <f>H23</f>
        <v>100</v>
      </c>
      <c r="V23" s="771" t="s">
        <v>17</v>
      </c>
      <c r="W23" s="772">
        <f>J23</f>
        <v>100</v>
      </c>
      <c r="X23" s="1811"/>
      <c r="Y23" s="3351"/>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351"/>
      <c r="Q24" s="1808"/>
      <c r="R24" s="771"/>
      <c r="S24" s="772"/>
      <c r="T24" s="771"/>
      <c r="U24" s="772"/>
      <c r="V24" s="771"/>
      <c r="W24" s="772"/>
      <c r="X24" s="1811"/>
      <c r="Y24" s="3351"/>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351"/>
      <c r="Q25" s="1808" t="str">
        <f t="shared" si="8"/>
        <v>自然及人文环境状况</v>
      </c>
      <c r="R25" s="771" t="s">
        <v>17</v>
      </c>
      <c r="S25" s="772">
        <f>F25</f>
        <v>100</v>
      </c>
      <c r="T25" s="771" t="s">
        <v>17</v>
      </c>
      <c r="U25" s="772">
        <f>H25</f>
        <v>100</v>
      </c>
      <c r="V25" s="771" t="s">
        <v>17</v>
      </c>
      <c r="W25" s="772">
        <f>J25</f>
        <v>100</v>
      </c>
      <c r="X25" s="1811"/>
      <c r="Y25" s="3351"/>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351"/>
      <c r="Q26" s="1808"/>
      <c r="R26" s="771"/>
      <c r="S26" s="772"/>
      <c r="T26" s="771"/>
      <c r="U26" s="772"/>
      <c r="V26" s="771"/>
      <c r="W26" s="772"/>
      <c r="X26" s="1811"/>
      <c r="Y26" s="3351"/>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351"/>
      <c r="Q27" s="1793" t="str">
        <f t="shared" si="8"/>
        <v>公共配套设施</v>
      </c>
      <c r="R27" s="767" t="s">
        <v>17</v>
      </c>
      <c r="S27" s="768">
        <f>F27</f>
        <v>100</v>
      </c>
      <c r="T27" s="767" t="s">
        <v>17</v>
      </c>
      <c r="U27" s="768">
        <f>H27</f>
        <v>100</v>
      </c>
      <c r="V27" s="767" t="s">
        <v>17</v>
      </c>
      <c r="W27" s="768">
        <f>J27</f>
        <v>100</v>
      </c>
      <c r="X27" s="769"/>
      <c r="Y27" s="3351"/>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351"/>
      <c r="Q28" s="1793"/>
      <c r="R28" s="767"/>
      <c r="S28" s="768"/>
      <c r="T28" s="767"/>
      <c r="U28" s="768"/>
      <c r="V28" s="767"/>
      <c r="W28" s="768"/>
      <c r="X28" s="769"/>
      <c r="Y28" s="3351"/>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351"/>
      <c r="Q29" s="1793" t="str">
        <f t="shared" ref="Q29" si="9">B29</f>
        <v>基础设施水平</v>
      </c>
      <c r="R29" s="767" t="s">
        <v>17</v>
      </c>
      <c r="S29" s="768">
        <f>F29</f>
        <v>100</v>
      </c>
      <c r="T29" s="767" t="s">
        <v>17</v>
      </c>
      <c r="U29" s="768">
        <f>H29</f>
        <v>100</v>
      </c>
      <c r="V29" s="767" t="s">
        <v>17</v>
      </c>
      <c r="W29" s="768">
        <f>J29</f>
        <v>100</v>
      </c>
      <c r="X29" s="769"/>
      <c r="Y29" s="3351"/>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351"/>
      <c r="Q30" s="1793"/>
      <c r="R30" s="767"/>
      <c r="S30" s="768"/>
      <c r="T30" s="767"/>
      <c r="U30" s="768"/>
      <c r="V30" s="767"/>
      <c r="W30" s="768"/>
      <c r="X30" s="769"/>
      <c r="Y30" s="3351"/>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351"/>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351"/>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351"/>
      <c r="Q32" s="1808" t="str">
        <f t="shared" si="8"/>
        <v>毗邻道路的类型与等级</v>
      </c>
      <c r="R32" s="771" t="s">
        <v>17</v>
      </c>
      <c r="S32" s="772">
        <f t="shared" si="10"/>
        <v>100</v>
      </c>
      <c r="T32" s="771" t="s">
        <v>17</v>
      </c>
      <c r="U32" s="772">
        <f t="shared" si="11"/>
        <v>100</v>
      </c>
      <c r="V32" s="771" t="s">
        <v>17</v>
      </c>
      <c r="W32" s="772">
        <f t="shared" si="12"/>
        <v>100</v>
      </c>
      <c r="X32" s="1811"/>
      <c r="Y32" s="3351"/>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351"/>
      <c r="Q33" s="1808"/>
      <c r="R33" s="771"/>
      <c r="S33" s="772"/>
      <c r="T33" s="771"/>
      <c r="U33" s="772"/>
      <c r="V33" s="771"/>
      <c r="W33" s="772"/>
      <c r="X33" s="1811"/>
      <c r="Y33" s="3351"/>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351"/>
      <c r="Q34" s="1808" t="str">
        <f t="shared" si="8"/>
        <v>土地级别</v>
      </c>
      <c r="R34" s="771" t="s">
        <v>17</v>
      </c>
      <c r="S34" s="772">
        <f t="shared" si="10"/>
        <v>100</v>
      </c>
      <c r="T34" s="771" t="s">
        <v>17</v>
      </c>
      <c r="U34" s="772">
        <f t="shared" si="11"/>
        <v>100</v>
      </c>
      <c r="V34" s="771" t="s">
        <v>17</v>
      </c>
      <c r="W34" s="772">
        <f t="shared" si="12"/>
        <v>100</v>
      </c>
      <c r="X34" s="1811"/>
      <c r="Y34" s="3351"/>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351"/>
      <c r="Q35" s="1808">
        <f t="shared" si="8"/>
        <v>111</v>
      </c>
      <c r="R35" s="771" t="s">
        <v>17</v>
      </c>
      <c r="S35" s="772">
        <f t="shared" si="10"/>
        <v>100</v>
      </c>
      <c r="T35" s="771" t="s">
        <v>17</v>
      </c>
      <c r="U35" s="772">
        <f t="shared" si="11"/>
        <v>100</v>
      </c>
      <c r="V35" s="771" t="s">
        <v>17</v>
      </c>
      <c r="W35" s="772">
        <f t="shared" si="12"/>
        <v>100</v>
      </c>
      <c r="X35" s="1811"/>
      <c r="Y35" s="3351"/>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80" t="s">
        <v>2557</v>
      </c>
      <c r="Q36" s="1808">
        <f t="shared" si="8"/>
        <v>111</v>
      </c>
      <c r="R36" s="771" t="s">
        <v>17</v>
      </c>
      <c r="S36" s="772">
        <f t="shared" si="10"/>
        <v>100</v>
      </c>
      <c r="T36" s="771" t="s">
        <v>17</v>
      </c>
      <c r="U36" s="772">
        <f t="shared" si="11"/>
        <v>100</v>
      </c>
      <c r="V36" s="771" t="s">
        <v>17</v>
      </c>
      <c r="W36" s="772">
        <f t="shared" si="12"/>
        <v>100</v>
      </c>
      <c r="X36" s="1811"/>
      <c r="Y36" s="3355"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355"/>
      <c r="Q37" s="1808">
        <f t="shared" si="8"/>
        <v>111</v>
      </c>
      <c r="R37" s="774" t="s">
        <v>17</v>
      </c>
      <c r="S37" s="775">
        <f t="shared" si="10"/>
        <v>100</v>
      </c>
      <c r="T37" s="774" t="s">
        <v>17</v>
      </c>
      <c r="U37" s="775">
        <f t="shared" si="11"/>
        <v>100</v>
      </c>
      <c r="V37" s="774" t="s">
        <v>17</v>
      </c>
      <c r="W37" s="775">
        <f t="shared" si="12"/>
        <v>100</v>
      </c>
      <c r="X37" s="776"/>
      <c r="Y37" s="3355"/>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355"/>
      <c r="Q38" s="1808" t="str">
        <f>B38</f>
        <v>宗地面积</v>
      </c>
      <c r="R38" s="771" t="s">
        <v>17</v>
      </c>
      <c r="S38" s="772" t="e">
        <f t="shared" si="10"/>
        <v>#N/A</v>
      </c>
      <c r="T38" s="771" t="s">
        <v>17</v>
      </c>
      <c r="U38" s="772" t="e">
        <f t="shared" si="11"/>
        <v>#N/A</v>
      </c>
      <c r="V38" s="771" t="s">
        <v>17</v>
      </c>
      <c r="W38" s="772" t="e">
        <f t="shared" si="12"/>
        <v>#N/A</v>
      </c>
      <c r="X38" s="1811"/>
      <c r="Y38" s="3355"/>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355"/>
      <c r="Q39" s="1808" t="str">
        <f t="shared" ref="Q39:Q45" si="14">B39</f>
        <v>宗地形状</v>
      </c>
      <c r="R39" s="771" t="s">
        <v>17</v>
      </c>
      <c r="S39" s="772">
        <f t="shared" si="10"/>
        <v>100</v>
      </c>
      <c r="T39" s="771" t="s">
        <v>17</v>
      </c>
      <c r="U39" s="772">
        <f t="shared" si="11"/>
        <v>100</v>
      </c>
      <c r="V39" s="771" t="s">
        <v>17</v>
      </c>
      <c r="W39" s="772">
        <f t="shared" si="12"/>
        <v>100</v>
      </c>
      <c r="X39" s="1811"/>
      <c r="Y39" s="3355"/>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355"/>
      <c r="Q40" s="1808" t="str">
        <f t="shared" si="14"/>
        <v>临街宽度及深度</v>
      </c>
      <c r="R40" s="771" t="s">
        <v>17</v>
      </c>
      <c r="S40" s="772">
        <f t="shared" si="10"/>
        <v>100</v>
      </c>
      <c r="T40" s="771" t="s">
        <v>17</v>
      </c>
      <c r="U40" s="772">
        <f t="shared" si="11"/>
        <v>100</v>
      </c>
      <c r="V40" s="771" t="s">
        <v>17</v>
      </c>
      <c r="W40" s="772">
        <f t="shared" si="12"/>
        <v>100</v>
      </c>
      <c r="X40" s="1811"/>
      <c r="Y40" s="3355"/>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355"/>
      <c r="Q41" s="1808" t="str">
        <f t="shared" si="14"/>
        <v>宗地开发程度</v>
      </c>
      <c r="R41" s="767" t="s">
        <v>17</v>
      </c>
      <c r="S41" s="768">
        <f t="shared" si="10"/>
        <v>100</v>
      </c>
      <c r="T41" s="767" t="s">
        <v>17</v>
      </c>
      <c r="U41" s="768">
        <f t="shared" si="11"/>
        <v>100</v>
      </c>
      <c r="V41" s="767" t="s">
        <v>17</v>
      </c>
      <c r="W41" s="768">
        <f t="shared" si="12"/>
        <v>100</v>
      </c>
      <c r="X41" s="769"/>
      <c r="Y41" s="3355"/>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355" t="s">
        <v>2557</v>
      </c>
      <c r="Q42" s="1808" t="str">
        <f t="shared" si="14"/>
        <v>工程地质条件</v>
      </c>
      <c r="R42" s="771" t="s">
        <v>17</v>
      </c>
      <c r="S42" s="772">
        <f t="shared" si="10"/>
        <v>100</v>
      </c>
      <c r="T42" s="771" t="s">
        <v>17</v>
      </c>
      <c r="U42" s="772">
        <f t="shared" si="11"/>
        <v>100</v>
      </c>
      <c r="V42" s="771" t="s">
        <v>17</v>
      </c>
      <c r="W42" s="772">
        <f t="shared" si="12"/>
        <v>100</v>
      </c>
      <c r="X42" s="1811"/>
      <c r="Y42" s="3355"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355"/>
      <c r="Q43" s="1808">
        <f t="shared" si="14"/>
        <v>111</v>
      </c>
      <c r="R43" s="771" t="s">
        <v>17</v>
      </c>
      <c r="S43" s="772">
        <f t="shared" si="10"/>
        <v>100</v>
      </c>
      <c r="T43" s="771" t="s">
        <v>17</v>
      </c>
      <c r="U43" s="772">
        <f t="shared" si="11"/>
        <v>100</v>
      </c>
      <c r="V43" s="771" t="s">
        <v>17</v>
      </c>
      <c r="W43" s="772">
        <f t="shared" si="12"/>
        <v>100</v>
      </c>
      <c r="X43" s="1811"/>
      <c r="Y43" s="3355"/>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355"/>
      <c r="Q44" s="1808">
        <f t="shared" si="14"/>
        <v>111</v>
      </c>
      <c r="R44" s="771" t="s">
        <v>17</v>
      </c>
      <c r="S44" s="772">
        <f t="shared" si="10"/>
        <v>100</v>
      </c>
      <c r="T44" s="771" t="s">
        <v>17</v>
      </c>
      <c r="U44" s="772">
        <f t="shared" si="11"/>
        <v>100</v>
      </c>
      <c r="V44" s="771" t="s">
        <v>17</v>
      </c>
      <c r="W44" s="772">
        <f t="shared" si="12"/>
        <v>100</v>
      </c>
      <c r="X44" s="1811"/>
      <c r="Y44" s="3355"/>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355"/>
      <c r="Q45" s="1808">
        <f t="shared" si="14"/>
        <v>111</v>
      </c>
      <c r="R45" s="774" t="s">
        <v>17</v>
      </c>
      <c r="S45" s="775">
        <f t="shared" si="10"/>
        <v>100</v>
      </c>
      <c r="T45" s="774" t="s">
        <v>17</v>
      </c>
      <c r="U45" s="775">
        <f t="shared" si="11"/>
        <v>100</v>
      </c>
      <c r="V45" s="774" t="s">
        <v>17</v>
      </c>
      <c r="W45" s="775">
        <f t="shared" si="12"/>
        <v>100</v>
      </c>
      <c r="X45" s="776"/>
      <c r="Y45" s="3355"/>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348" t="str">
        <f>A46</f>
        <v>成交单价</v>
      </c>
      <c r="Q46" s="3348"/>
      <c r="R46" s="3343">
        <f>E46</f>
        <v>0</v>
      </c>
      <c r="S46" s="3343"/>
      <c r="T46" s="3343">
        <f>G46</f>
        <v>0</v>
      </c>
      <c r="U46" s="3343"/>
      <c r="V46" s="3343">
        <f>I46</f>
        <v>0</v>
      </c>
      <c r="W46" s="3343"/>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348" t="str">
        <f>A47</f>
        <v>比较价值（元/平方米）</v>
      </c>
      <c r="Q47" s="3348"/>
      <c r="R47" s="3381" t="e">
        <f>ROUND(PRODUCT(R46,AA7:AA45),0)</f>
        <v>#DIV/0!</v>
      </c>
      <c r="S47" s="3381"/>
      <c r="T47" s="3381" t="e">
        <f>ROUND(PRODUCT(T46,AB7:AB45),0)</f>
        <v>#DIV/0!</v>
      </c>
      <c r="U47" s="3381"/>
      <c r="V47" s="3381" t="e">
        <f>ROUND(PRODUCT(V46,AC7:AC45),0)</f>
        <v>#DIV/0!</v>
      </c>
      <c r="W47" s="3381"/>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345" t="str">
        <f>A48</f>
        <v>估价对象XX用房的比较价值（楼面单价，元/平方米）</v>
      </c>
      <c r="Q48" s="3346"/>
      <c r="R48" s="3382" t="e">
        <f>ROUND(AVERAGE(R47:V47),0)</f>
        <v>#DIV/0!</v>
      </c>
      <c r="S48" s="3382"/>
      <c r="T48" s="3382"/>
      <c r="U48" s="3382"/>
      <c r="V48" s="3382"/>
      <c r="W48" s="3382"/>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331" t="s">
        <v>2756</v>
      </c>
      <c r="H55" s="3383"/>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330"/>
      <c r="H56" s="3348"/>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84"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84"/>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84"/>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84"/>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31" t="s">
        <v>2638</v>
      </c>
      <c r="D4" s="3332"/>
      <c r="E4" s="3333" t="s">
        <v>2639</v>
      </c>
      <c r="F4" s="3334"/>
      <c r="G4" s="3331" t="s">
        <v>2640</v>
      </c>
      <c r="H4" s="3332"/>
      <c r="I4" s="3331" t="s">
        <v>2641</v>
      </c>
      <c r="J4" s="3332"/>
      <c r="K4" s="610" t="s">
        <v>2642</v>
      </c>
      <c r="L4" s="1129"/>
      <c r="M4" s="1130"/>
      <c r="N4" s="1130"/>
      <c r="O4" s="1130"/>
      <c r="P4" s="3335" t="s">
        <v>2643</v>
      </c>
      <c r="Q4" s="3336"/>
      <c r="R4" s="3318" t="s">
        <v>2639</v>
      </c>
      <c r="S4" s="3319"/>
      <c r="T4" s="3318" t="s">
        <v>2640</v>
      </c>
      <c r="U4" s="3319"/>
      <c r="V4" s="3343" t="s">
        <v>2641</v>
      </c>
      <c r="W4" s="3343"/>
      <c r="X4" s="1811"/>
      <c r="Y4" s="3318" t="s">
        <v>2643</v>
      </c>
      <c r="Z4" s="3319"/>
      <c r="AA4" s="3313" t="s">
        <v>2639</v>
      </c>
      <c r="AB4" s="3314" t="s">
        <v>2640</v>
      </c>
      <c r="AC4" s="3313" t="s">
        <v>2641</v>
      </c>
    </row>
    <row r="5" spans="1:29" ht="15">
      <c r="A5" s="404"/>
      <c r="B5" s="405"/>
      <c r="C5" s="3324" t="s">
        <v>2534</v>
      </c>
      <c r="D5" s="3325"/>
      <c r="E5" s="3322" t="s">
        <v>2535</v>
      </c>
      <c r="F5" s="3323"/>
      <c r="G5" s="3324" t="s">
        <v>2536</v>
      </c>
      <c r="H5" s="3325"/>
      <c r="I5" s="3324" t="s">
        <v>2537</v>
      </c>
      <c r="J5" s="3325"/>
      <c r="K5" s="610"/>
      <c r="L5" s="1129"/>
      <c r="M5" s="1130"/>
      <c r="N5" s="1130"/>
      <c r="O5" s="1130"/>
      <c r="P5" s="3337"/>
      <c r="Q5" s="3338"/>
      <c r="R5" s="3320"/>
      <c r="S5" s="3321"/>
      <c r="T5" s="3320"/>
      <c r="U5" s="3321"/>
      <c r="V5" s="3343"/>
      <c r="W5" s="3343"/>
      <c r="X5" s="1811"/>
      <c r="Y5" s="3320"/>
      <c r="Z5" s="3321"/>
      <c r="AA5" s="3314"/>
      <c r="AB5" s="3314"/>
      <c r="AC5" s="3314"/>
    </row>
    <row r="6" spans="1:29" ht="15.75" thickBot="1">
      <c r="A6" s="406"/>
      <c r="B6" s="407"/>
      <c r="C6" s="3385" t="s">
        <v>2789</v>
      </c>
      <c r="D6" s="3386"/>
      <c r="E6" s="3387" t="s">
        <v>2789</v>
      </c>
      <c r="F6" s="3388"/>
      <c r="G6" s="3385" t="s">
        <v>2789</v>
      </c>
      <c r="H6" s="3386"/>
      <c r="I6" s="3385" t="s">
        <v>2789</v>
      </c>
      <c r="J6" s="3386"/>
      <c r="K6" s="610" t="s">
        <v>2539</v>
      </c>
      <c r="L6" s="1129"/>
      <c r="M6" s="1130"/>
      <c r="N6" s="1130"/>
      <c r="O6" s="1130"/>
      <c r="P6" s="3339"/>
      <c r="Q6" s="3340"/>
      <c r="R6" s="3320"/>
      <c r="S6" s="3321"/>
      <c r="T6" s="3341"/>
      <c r="U6" s="3342"/>
      <c r="V6" s="3343"/>
      <c r="W6" s="3343"/>
      <c r="X6" s="1811"/>
      <c r="Y6" s="3341"/>
      <c r="Z6" s="3342"/>
      <c r="AA6" s="3315"/>
      <c r="AB6" s="3315"/>
      <c r="AC6" s="3315"/>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316" t="s">
        <v>2541</v>
      </c>
      <c r="Q7" s="3344"/>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348" t="s">
        <v>2547</v>
      </c>
      <c r="Q9" s="1793" t="str">
        <f t="shared" ref="Q9:Q15" si="6">B9</f>
        <v>用途</v>
      </c>
      <c r="R9" s="767" t="s">
        <v>17</v>
      </c>
      <c r="S9" s="768">
        <f t="shared" si="0"/>
        <v>100</v>
      </c>
      <c r="T9" s="767" t="s">
        <v>17</v>
      </c>
      <c r="U9" s="768">
        <f t="shared" si="1"/>
        <v>100</v>
      </c>
      <c r="V9" s="767" t="s">
        <v>17</v>
      </c>
      <c r="W9" s="768">
        <f t="shared" si="2"/>
        <v>100</v>
      </c>
      <c r="X9" s="769"/>
      <c r="Y9" s="3163"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348"/>
      <c r="Q10" s="1793" t="str">
        <f t="shared" si="6"/>
        <v>土地使用年限（年）</v>
      </c>
      <c r="R10" s="767" t="s">
        <v>17</v>
      </c>
      <c r="S10" s="768">
        <f t="shared" si="0"/>
        <v>109</v>
      </c>
      <c r="T10" s="767" t="s">
        <v>17</v>
      </c>
      <c r="U10" s="768">
        <f t="shared" si="1"/>
        <v>109</v>
      </c>
      <c r="V10" s="767" t="s">
        <v>17</v>
      </c>
      <c r="W10" s="768">
        <f t="shared" si="2"/>
        <v>109</v>
      </c>
      <c r="X10" s="769"/>
      <c r="Y10" s="3163"/>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348"/>
      <c r="Q11" s="1793" t="str">
        <f t="shared" si="6"/>
        <v>容积率</v>
      </c>
      <c r="R11" s="767" t="s">
        <v>17</v>
      </c>
      <c r="S11" s="768" t="e">
        <f t="shared" si="0"/>
        <v>#N/A</v>
      </c>
      <c r="T11" s="767" t="s">
        <v>17</v>
      </c>
      <c r="U11" s="768" t="e">
        <f t="shared" si="1"/>
        <v>#N/A</v>
      </c>
      <c r="V11" s="767" t="s">
        <v>17</v>
      </c>
      <c r="W11" s="768" t="e">
        <f t="shared" si="2"/>
        <v>#N/A</v>
      </c>
      <c r="X11" s="769"/>
      <c r="Y11" s="3163"/>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348"/>
      <c r="Q12" s="1793">
        <f t="shared" si="6"/>
        <v>111</v>
      </c>
      <c r="R12" s="767" t="s">
        <v>17</v>
      </c>
      <c r="S12" s="768">
        <f t="shared" si="0"/>
        <v>100</v>
      </c>
      <c r="T12" s="767" t="s">
        <v>17</v>
      </c>
      <c r="U12" s="768">
        <f t="shared" si="1"/>
        <v>100</v>
      </c>
      <c r="V12" s="767" t="s">
        <v>17</v>
      </c>
      <c r="W12" s="768">
        <f t="shared" si="2"/>
        <v>100</v>
      </c>
      <c r="X12" s="769"/>
      <c r="Y12" s="3163"/>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348"/>
      <c r="Q13" s="1793">
        <f t="shared" si="6"/>
        <v>111</v>
      </c>
      <c r="R13" s="767" t="s">
        <v>17</v>
      </c>
      <c r="S13" s="768">
        <f t="shared" si="0"/>
        <v>100</v>
      </c>
      <c r="T13" s="767" t="s">
        <v>17</v>
      </c>
      <c r="U13" s="768">
        <f t="shared" si="1"/>
        <v>100</v>
      </c>
      <c r="V13" s="767" t="s">
        <v>17</v>
      </c>
      <c r="W13" s="768">
        <f t="shared" si="2"/>
        <v>100</v>
      </c>
      <c r="X13" s="769"/>
      <c r="Y13" s="3163"/>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348"/>
      <c r="Q14" s="1793">
        <f t="shared" si="6"/>
        <v>111</v>
      </c>
      <c r="R14" s="767" t="s">
        <v>17</v>
      </c>
      <c r="S14" s="768">
        <f t="shared" si="0"/>
        <v>100</v>
      </c>
      <c r="T14" s="767" t="s">
        <v>17</v>
      </c>
      <c r="U14" s="768">
        <f t="shared" si="1"/>
        <v>100</v>
      </c>
      <c r="V14" s="767" t="s">
        <v>17</v>
      </c>
      <c r="W14" s="768">
        <f t="shared" si="2"/>
        <v>100</v>
      </c>
      <c r="X14" s="769"/>
      <c r="Y14" s="3163"/>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350" t="s">
        <v>2552</v>
      </c>
      <c r="Q15" s="1808" t="str">
        <f t="shared" si="6"/>
        <v>产业集聚程度</v>
      </c>
      <c r="R15" s="771" t="s">
        <v>17</v>
      </c>
      <c r="S15" s="772">
        <f t="shared" si="0"/>
        <v>100</v>
      </c>
      <c r="T15" s="771" t="s">
        <v>17</v>
      </c>
      <c r="U15" s="772">
        <f t="shared" si="1"/>
        <v>100</v>
      </c>
      <c r="V15" s="771" t="s">
        <v>17</v>
      </c>
      <c r="W15" s="772">
        <f t="shared" si="2"/>
        <v>100</v>
      </c>
      <c r="X15" s="1811"/>
      <c r="Y15" s="3350"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351"/>
      <c r="Q16" s="1808"/>
      <c r="R16" s="771"/>
      <c r="S16" s="772"/>
      <c r="T16" s="771"/>
      <c r="U16" s="772"/>
      <c r="V16" s="771"/>
      <c r="W16" s="772"/>
      <c r="X16" s="1811"/>
      <c r="Y16" s="3351"/>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351"/>
      <c r="Q17" s="1808" t="str">
        <f>B17</f>
        <v>交通便捷度</v>
      </c>
      <c r="R17" s="771" t="s">
        <v>17</v>
      </c>
      <c r="S17" s="772">
        <f>F17</f>
        <v>100</v>
      </c>
      <c r="T17" s="771" t="s">
        <v>17</v>
      </c>
      <c r="U17" s="772">
        <f>H17</f>
        <v>100</v>
      </c>
      <c r="V17" s="771" t="s">
        <v>17</v>
      </c>
      <c r="W17" s="772">
        <f>J17</f>
        <v>100</v>
      </c>
      <c r="X17" s="1811"/>
      <c r="Y17" s="3351"/>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351"/>
      <c r="Q18" s="1808"/>
      <c r="R18" s="771"/>
      <c r="S18" s="772"/>
      <c r="T18" s="771"/>
      <c r="U18" s="772"/>
      <c r="V18" s="771"/>
      <c r="W18" s="772"/>
      <c r="X18" s="1811"/>
      <c r="Y18" s="3351"/>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351"/>
      <c r="Q19" s="1808" t="str">
        <f t="shared" ref="Q19:Q33" si="8">B19</f>
        <v>区域土地利用方向</v>
      </c>
      <c r="R19" s="771" t="s">
        <v>17</v>
      </c>
      <c r="S19" s="772">
        <f>F19</f>
        <v>100</v>
      </c>
      <c r="T19" s="771" t="s">
        <v>17</v>
      </c>
      <c r="U19" s="772">
        <f>H19</f>
        <v>100</v>
      </c>
      <c r="V19" s="771" t="s">
        <v>17</v>
      </c>
      <c r="W19" s="772">
        <f>J19</f>
        <v>100</v>
      </c>
      <c r="X19" s="1811"/>
      <c r="Y19" s="3351"/>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351"/>
      <c r="Q20" s="1808"/>
      <c r="R20" s="771"/>
      <c r="S20" s="772"/>
      <c r="T20" s="771"/>
      <c r="U20" s="772"/>
      <c r="V20" s="771"/>
      <c r="W20" s="772"/>
      <c r="X20" s="1811"/>
      <c r="Y20" s="3351"/>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351"/>
      <c r="Q21" s="1808" t="str">
        <f t="shared" si="8"/>
        <v>环境状况</v>
      </c>
      <c r="R21" s="771" t="s">
        <v>17</v>
      </c>
      <c r="S21" s="772">
        <f>F21</f>
        <v>100</v>
      </c>
      <c r="T21" s="771" t="s">
        <v>17</v>
      </c>
      <c r="U21" s="772">
        <f>H21</f>
        <v>100</v>
      </c>
      <c r="V21" s="771" t="s">
        <v>17</v>
      </c>
      <c r="W21" s="772">
        <f>J21</f>
        <v>100</v>
      </c>
      <c r="X21" s="1811"/>
      <c r="Y21" s="3351"/>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351"/>
      <c r="Q22" s="1808"/>
      <c r="R22" s="771"/>
      <c r="S22" s="772"/>
      <c r="T22" s="771"/>
      <c r="U22" s="772"/>
      <c r="V22" s="771"/>
      <c r="W22" s="772"/>
      <c r="X22" s="1811"/>
      <c r="Y22" s="3351"/>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351"/>
      <c r="Q23" s="1793" t="str">
        <f t="shared" si="8"/>
        <v>公共配套设施</v>
      </c>
      <c r="R23" s="767" t="s">
        <v>17</v>
      </c>
      <c r="S23" s="768">
        <f>F23</f>
        <v>100</v>
      </c>
      <c r="T23" s="767" t="s">
        <v>17</v>
      </c>
      <c r="U23" s="768">
        <f>H23</f>
        <v>100</v>
      </c>
      <c r="V23" s="767" t="s">
        <v>17</v>
      </c>
      <c r="W23" s="768">
        <f>J23</f>
        <v>100</v>
      </c>
      <c r="X23" s="769"/>
      <c r="Y23" s="3351"/>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351"/>
      <c r="Q24" s="1793"/>
      <c r="R24" s="767"/>
      <c r="S24" s="768"/>
      <c r="T24" s="767"/>
      <c r="U24" s="768"/>
      <c r="V24" s="767"/>
      <c r="W24" s="768"/>
      <c r="X24" s="769"/>
      <c r="Y24" s="3351"/>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351"/>
      <c r="Q25" s="1793" t="str">
        <f t="shared" ref="Q25" si="9">B25</f>
        <v>基础设施水平</v>
      </c>
      <c r="R25" s="767" t="s">
        <v>17</v>
      </c>
      <c r="S25" s="768">
        <f>F25</f>
        <v>100</v>
      </c>
      <c r="T25" s="767" t="s">
        <v>17</v>
      </c>
      <c r="U25" s="768">
        <f>H25</f>
        <v>100</v>
      </c>
      <c r="V25" s="767" t="s">
        <v>17</v>
      </c>
      <c r="W25" s="768">
        <f>J25</f>
        <v>100</v>
      </c>
      <c r="X25" s="769"/>
      <c r="Y25" s="3351"/>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351"/>
      <c r="Q26" s="1793"/>
      <c r="R26" s="767"/>
      <c r="S26" s="768"/>
      <c r="T26" s="767"/>
      <c r="U26" s="768"/>
      <c r="V26" s="767"/>
      <c r="W26" s="768"/>
      <c r="X26" s="769"/>
      <c r="Y26" s="3351"/>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351"/>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351"/>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351"/>
      <c r="Q28" s="1808" t="str">
        <f t="shared" si="8"/>
        <v>毗邻道路的类型与等级</v>
      </c>
      <c r="R28" s="771" t="s">
        <v>17</v>
      </c>
      <c r="S28" s="772">
        <f t="shared" si="10"/>
        <v>100</v>
      </c>
      <c r="T28" s="771" t="s">
        <v>17</v>
      </c>
      <c r="U28" s="772">
        <f t="shared" si="11"/>
        <v>100</v>
      </c>
      <c r="V28" s="771" t="s">
        <v>17</v>
      </c>
      <c r="W28" s="772">
        <f t="shared" si="12"/>
        <v>100</v>
      </c>
      <c r="X28" s="1811"/>
      <c r="Y28" s="3351"/>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351"/>
      <c r="Q29" s="1808"/>
      <c r="R29" s="771"/>
      <c r="S29" s="772"/>
      <c r="T29" s="771"/>
      <c r="U29" s="772"/>
      <c r="V29" s="771"/>
      <c r="W29" s="772"/>
      <c r="X29" s="1811"/>
      <c r="Y29" s="3351"/>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351"/>
      <c r="Q30" s="1808" t="str">
        <f t="shared" si="8"/>
        <v>土地级别</v>
      </c>
      <c r="R30" s="771" t="s">
        <v>17</v>
      </c>
      <c r="S30" s="772">
        <f t="shared" si="10"/>
        <v>100</v>
      </c>
      <c r="T30" s="771" t="s">
        <v>17</v>
      </c>
      <c r="U30" s="772">
        <f t="shared" si="11"/>
        <v>100</v>
      </c>
      <c r="V30" s="771" t="s">
        <v>17</v>
      </c>
      <c r="W30" s="772">
        <f t="shared" si="12"/>
        <v>100</v>
      </c>
      <c r="X30" s="1811"/>
      <c r="Y30" s="3351"/>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351"/>
      <c r="Q31" s="1808">
        <f t="shared" si="8"/>
        <v>111</v>
      </c>
      <c r="R31" s="771" t="s">
        <v>17</v>
      </c>
      <c r="S31" s="772">
        <f t="shared" si="10"/>
        <v>100</v>
      </c>
      <c r="T31" s="771" t="s">
        <v>17</v>
      </c>
      <c r="U31" s="772">
        <f t="shared" si="11"/>
        <v>100</v>
      </c>
      <c r="V31" s="771" t="s">
        <v>17</v>
      </c>
      <c r="W31" s="772">
        <f t="shared" si="12"/>
        <v>100</v>
      </c>
      <c r="X31" s="1811"/>
      <c r="Y31" s="3351"/>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80" t="s">
        <v>2557</v>
      </c>
      <c r="Q32" s="1808">
        <f t="shared" si="8"/>
        <v>111</v>
      </c>
      <c r="R32" s="771" t="s">
        <v>17</v>
      </c>
      <c r="S32" s="772">
        <f t="shared" si="10"/>
        <v>100</v>
      </c>
      <c r="T32" s="771" t="s">
        <v>17</v>
      </c>
      <c r="U32" s="772">
        <f t="shared" si="11"/>
        <v>100</v>
      </c>
      <c r="V32" s="771" t="s">
        <v>17</v>
      </c>
      <c r="W32" s="772">
        <f t="shared" si="12"/>
        <v>100</v>
      </c>
      <c r="X32" s="1811"/>
      <c r="Y32" s="3355"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355"/>
      <c r="Q33" s="1808">
        <f t="shared" si="8"/>
        <v>111</v>
      </c>
      <c r="R33" s="774" t="s">
        <v>17</v>
      </c>
      <c r="S33" s="775">
        <f t="shared" si="10"/>
        <v>100</v>
      </c>
      <c r="T33" s="774" t="s">
        <v>17</v>
      </c>
      <c r="U33" s="775">
        <f t="shared" si="11"/>
        <v>100</v>
      </c>
      <c r="V33" s="774" t="s">
        <v>17</v>
      </c>
      <c r="W33" s="775">
        <f t="shared" si="12"/>
        <v>100</v>
      </c>
      <c r="X33" s="776"/>
      <c r="Y33" s="3355"/>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355"/>
      <c r="Q34" s="1808" t="str">
        <f>B34</f>
        <v>宗地面积</v>
      </c>
      <c r="R34" s="771" t="s">
        <v>17</v>
      </c>
      <c r="S34" s="772" t="e">
        <f t="shared" si="10"/>
        <v>#N/A</v>
      </c>
      <c r="T34" s="771" t="s">
        <v>17</v>
      </c>
      <c r="U34" s="772" t="e">
        <f t="shared" si="11"/>
        <v>#N/A</v>
      </c>
      <c r="V34" s="771" t="s">
        <v>17</v>
      </c>
      <c r="W34" s="772" t="e">
        <f t="shared" si="12"/>
        <v>#N/A</v>
      </c>
      <c r="X34" s="1811"/>
      <c r="Y34" s="3355"/>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355"/>
      <c r="Q35" s="1808" t="str">
        <f t="shared" ref="Q35:Q40" si="14">B35</f>
        <v>宗地形状</v>
      </c>
      <c r="R35" s="771" t="s">
        <v>17</v>
      </c>
      <c r="S35" s="772">
        <f t="shared" si="10"/>
        <v>100</v>
      </c>
      <c r="T35" s="771" t="s">
        <v>17</v>
      </c>
      <c r="U35" s="772">
        <f t="shared" si="11"/>
        <v>100</v>
      </c>
      <c r="V35" s="771" t="s">
        <v>17</v>
      </c>
      <c r="W35" s="772">
        <f t="shared" si="12"/>
        <v>100</v>
      </c>
      <c r="X35" s="1811"/>
      <c r="Y35" s="3355"/>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355"/>
      <c r="Q36" s="1808" t="str">
        <f t="shared" si="14"/>
        <v>宗地开发程度</v>
      </c>
      <c r="R36" s="767" t="s">
        <v>17</v>
      </c>
      <c r="S36" s="768">
        <f t="shared" si="10"/>
        <v>100</v>
      </c>
      <c r="T36" s="767" t="s">
        <v>17</v>
      </c>
      <c r="U36" s="768">
        <f t="shared" si="11"/>
        <v>100</v>
      </c>
      <c r="V36" s="767" t="s">
        <v>17</v>
      </c>
      <c r="W36" s="768">
        <f t="shared" si="12"/>
        <v>100</v>
      </c>
      <c r="X36" s="769"/>
      <c r="Y36" s="3355"/>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355" t="s">
        <v>2557</v>
      </c>
      <c r="Q37" s="1808" t="str">
        <f t="shared" si="14"/>
        <v>工程地质条件</v>
      </c>
      <c r="R37" s="771" t="s">
        <v>17</v>
      </c>
      <c r="S37" s="772">
        <f t="shared" si="10"/>
        <v>100</v>
      </c>
      <c r="T37" s="771" t="s">
        <v>17</v>
      </c>
      <c r="U37" s="772">
        <f t="shared" si="11"/>
        <v>100</v>
      </c>
      <c r="V37" s="771" t="s">
        <v>17</v>
      </c>
      <c r="W37" s="772">
        <f t="shared" si="12"/>
        <v>100</v>
      </c>
      <c r="X37" s="1811"/>
      <c r="Y37" s="3355"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355"/>
      <c r="Q38" s="1808">
        <f t="shared" si="14"/>
        <v>111</v>
      </c>
      <c r="R38" s="771" t="s">
        <v>17</v>
      </c>
      <c r="S38" s="772">
        <f t="shared" si="10"/>
        <v>100</v>
      </c>
      <c r="T38" s="771" t="s">
        <v>17</v>
      </c>
      <c r="U38" s="772">
        <f t="shared" si="11"/>
        <v>100</v>
      </c>
      <c r="V38" s="771" t="s">
        <v>17</v>
      </c>
      <c r="W38" s="772">
        <f t="shared" si="12"/>
        <v>100</v>
      </c>
      <c r="X38" s="1811"/>
      <c r="Y38" s="3355"/>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355"/>
      <c r="Q39" s="1808">
        <f t="shared" si="14"/>
        <v>111</v>
      </c>
      <c r="R39" s="771" t="s">
        <v>17</v>
      </c>
      <c r="S39" s="772">
        <f t="shared" si="10"/>
        <v>100</v>
      </c>
      <c r="T39" s="771" t="s">
        <v>17</v>
      </c>
      <c r="U39" s="772">
        <f t="shared" si="11"/>
        <v>100</v>
      </c>
      <c r="V39" s="771" t="s">
        <v>17</v>
      </c>
      <c r="W39" s="772">
        <f t="shared" si="12"/>
        <v>100</v>
      </c>
      <c r="X39" s="1811"/>
      <c r="Y39" s="3355"/>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355"/>
      <c r="Q40" s="1808">
        <f t="shared" si="14"/>
        <v>111</v>
      </c>
      <c r="R40" s="774" t="s">
        <v>17</v>
      </c>
      <c r="S40" s="775">
        <f t="shared" si="10"/>
        <v>100</v>
      </c>
      <c r="T40" s="774" t="s">
        <v>17</v>
      </c>
      <c r="U40" s="775">
        <f t="shared" si="11"/>
        <v>100</v>
      </c>
      <c r="V40" s="774" t="s">
        <v>17</v>
      </c>
      <c r="W40" s="775">
        <f t="shared" si="12"/>
        <v>100</v>
      </c>
      <c r="X40" s="776"/>
      <c r="Y40" s="3355"/>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348" t="str">
        <f>A41</f>
        <v>成交单价</v>
      </c>
      <c r="Q41" s="3348"/>
      <c r="R41" s="3343">
        <f>E41</f>
        <v>0</v>
      </c>
      <c r="S41" s="3343"/>
      <c r="T41" s="3343">
        <f>G41</f>
        <v>0</v>
      </c>
      <c r="U41" s="3343"/>
      <c r="V41" s="3343">
        <f>I41</f>
        <v>0</v>
      </c>
      <c r="W41" s="3343"/>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348" t="str">
        <f>A42</f>
        <v>比较价值（元/平方米）</v>
      </c>
      <c r="Q42" s="3348"/>
      <c r="R42" s="3381" t="e">
        <f>ROUND(PRODUCT(R41,AA7:AA40),0)</f>
        <v>#DIV/0!</v>
      </c>
      <c r="S42" s="3381"/>
      <c r="T42" s="3381" t="e">
        <f>ROUND(PRODUCT(T41,AB7:AB40),0)</f>
        <v>#DIV/0!</v>
      </c>
      <c r="U42" s="3381"/>
      <c r="V42" s="3381" t="e">
        <f>ROUND(PRODUCT(V41,AC7:AC40),0)</f>
        <v>#DIV/0!</v>
      </c>
      <c r="W42" s="3381"/>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345" t="str">
        <f>A43</f>
        <v>估价对象XX用房的比较价值（楼面单价，元/平方米）</v>
      </c>
      <c r="Q43" s="3346"/>
      <c r="R43" s="3382" t="e">
        <f>ROUND(AVERAGE(R42:V42),0)</f>
        <v>#DIV/0!</v>
      </c>
      <c r="S43" s="3382"/>
      <c r="T43" s="3382"/>
      <c r="U43" s="3382"/>
      <c r="V43" s="3382"/>
      <c r="W43" s="3382"/>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331" t="s">
        <v>2756</v>
      </c>
      <c r="H50" s="3383"/>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330"/>
      <c r="H51" s="3348"/>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84"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84"/>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84"/>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84"/>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0" zoomScale="85" zoomScaleNormal="85" workbookViewId="0">
      <selection activeCell="C100" sqref="C100:G10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v>106</v>
      </c>
      <c r="E1" s="1629"/>
      <c r="F1" s="2581" t="s">
        <v>3072</v>
      </c>
      <c r="G1" s="1630" t="s">
        <v>2524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1390</v>
      </c>
      <c r="B2" s="1417">
        <f>IF(C2="——",ROUND(C50*D3/10000,0),ROUND(C50*D3/10000,0)-D2)</f>
        <v>385</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1391</v>
      </c>
      <c r="B3" s="609">
        <f>IF(C2="——",C50,ROUND(B2*10000/D3,0))</f>
        <v>33169</v>
      </c>
      <c r="C3" s="400" t="s">
        <v>2526</v>
      </c>
      <c r="D3" s="399">
        <f>IF(D1="",'数据-汇总表'!E3,SUMIF('数据-汇总表'!$C19:$C33,D1,'数据-汇总表'!$E19:$E33))</f>
        <v>116.2</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2527</v>
      </c>
      <c r="B4" s="402"/>
      <c r="C4" s="3331" t="s">
        <v>2528</v>
      </c>
      <c r="D4" s="3332"/>
      <c r="E4" s="3333" t="s">
        <v>2529</v>
      </c>
      <c r="F4" s="3334"/>
      <c r="G4" s="3331" t="s">
        <v>2530</v>
      </c>
      <c r="H4" s="3332"/>
      <c r="I4" s="3331" t="s">
        <v>2531</v>
      </c>
      <c r="J4" s="3332"/>
      <c r="K4" s="610" t="s">
        <v>2532</v>
      </c>
      <c r="L4" s="1129"/>
      <c r="M4" s="1130"/>
      <c r="N4" s="1130"/>
      <c r="O4" s="1130"/>
      <c r="P4" s="3371" t="s">
        <v>2533</v>
      </c>
      <c r="Q4" s="3372"/>
      <c r="R4" s="3364" t="s">
        <v>2529</v>
      </c>
      <c r="S4" s="3365"/>
      <c r="T4" s="3364" t="s">
        <v>2530</v>
      </c>
      <c r="U4" s="3365"/>
      <c r="V4" s="3375" t="s">
        <v>2531</v>
      </c>
      <c r="W4" s="3375"/>
      <c r="X4" s="3096"/>
      <c r="Y4" s="3364" t="s">
        <v>2533</v>
      </c>
      <c r="Z4" s="3365"/>
      <c r="AA4" s="3363" t="s">
        <v>2529</v>
      </c>
      <c r="AB4" s="3363" t="s">
        <v>2530</v>
      </c>
      <c r="AC4" s="3368" t="s">
        <v>2531</v>
      </c>
    </row>
    <row r="5" spans="1:29" ht="15">
      <c r="A5" s="404"/>
      <c r="B5" s="405"/>
      <c r="C5" s="3367" t="str">
        <f>项目基本情况!F10</f>
        <v>顺义区天竺地区小天竺路一号院1号楼101-112号办公用房</v>
      </c>
      <c r="D5" s="3325"/>
      <c r="E5" s="3366" t="s">
        <v>3065</v>
      </c>
      <c r="F5" s="3323"/>
      <c r="G5" s="3361" t="s">
        <v>3066</v>
      </c>
      <c r="H5" s="3325"/>
      <c r="I5" s="3361" t="s">
        <v>3067</v>
      </c>
      <c r="J5" s="3325"/>
      <c r="K5" s="610"/>
      <c r="L5" s="1129"/>
      <c r="M5" s="1130"/>
      <c r="N5" s="1130"/>
      <c r="O5" s="1130"/>
      <c r="P5" s="3373"/>
      <c r="Q5" s="3338"/>
      <c r="R5" s="3320"/>
      <c r="S5" s="3321"/>
      <c r="T5" s="3320"/>
      <c r="U5" s="3321"/>
      <c r="V5" s="3343"/>
      <c r="W5" s="3343"/>
      <c r="X5" s="3092"/>
      <c r="Y5" s="3320"/>
      <c r="Z5" s="3321"/>
      <c r="AA5" s="3314"/>
      <c r="AB5" s="3314"/>
      <c r="AC5" s="3369"/>
    </row>
    <row r="6" spans="1:29" ht="30.75" customHeight="1" thickBot="1">
      <c r="A6" s="406"/>
      <c r="B6" s="407"/>
      <c r="C6" s="3326" t="s">
        <v>2538</v>
      </c>
      <c r="D6" s="3327"/>
      <c r="E6" s="3359" t="s">
        <v>3068</v>
      </c>
      <c r="F6" s="3329"/>
      <c r="G6" s="3362" t="s">
        <v>3069</v>
      </c>
      <c r="H6" s="3327"/>
      <c r="I6" s="3362" t="s">
        <v>3070</v>
      </c>
      <c r="J6" s="3327"/>
      <c r="K6" s="610" t="s">
        <v>2539</v>
      </c>
      <c r="L6" s="1129"/>
      <c r="M6" s="1130"/>
      <c r="N6" s="1130"/>
      <c r="O6" s="1130"/>
      <c r="P6" s="3374"/>
      <c r="Q6" s="3340"/>
      <c r="R6" s="3320"/>
      <c r="S6" s="3321"/>
      <c r="T6" s="3341"/>
      <c r="U6" s="3342"/>
      <c r="V6" s="3343"/>
      <c r="W6" s="3343"/>
      <c r="X6" s="3092"/>
      <c r="Y6" s="3341"/>
      <c r="Z6" s="3342"/>
      <c r="AA6" s="3315"/>
      <c r="AB6" s="3315"/>
      <c r="AC6" s="3370"/>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76" t="s">
        <v>2541</v>
      </c>
      <c r="Q7" s="3344"/>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2668">
        <f>D7/J7</f>
        <v>1</v>
      </c>
    </row>
    <row r="8" spans="1:29" s="117" customFormat="1" ht="15.75" thickBot="1">
      <c r="A8" s="408" t="s">
        <v>2542</v>
      </c>
      <c r="B8" s="409"/>
      <c r="C8" s="414" t="s">
        <v>2579</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76" t="s">
        <v>2544</v>
      </c>
      <c r="Q8" s="3317"/>
      <c r="R8" s="767" t="s">
        <v>17</v>
      </c>
      <c r="S8" s="768">
        <f t="shared" si="0"/>
        <v>100</v>
      </c>
      <c r="T8" s="767" t="s">
        <v>17</v>
      </c>
      <c r="U8" s="768">
        <f t="shared" si="1"/>
        <v>100</v>
      </c>
      <c r="V8" s="767" t="s">
        <v>17</v>
      </c>
      <c r="W8" s="768">
        <f t="shared" si="2"/>
        <v>100</v>
      </c>
      <c r="X8" s="769"/>
      <c r="Y8" s="3316" t="s">
        <v>2544</v>
      </c>
      <c r="Z8" s="3317"/>
      <c r="AA8" s="770">
        <f t="shared" ref="AA8:AA47" si="3">D8/F8</f>
        <v>1</v>
      </c>
      <c r="AB8" s="770">
        <f t="shared" ref="AB8:AB47" si="4">D8/H8</f>
        <v>1</v>
      </c>
      <c r="AC8" s="2668">
        <f t="shared" ref="AC8:AC47" si="5">D8/J8</f>
        <v>1</v>
      </c>
    </row>
    <row r="9" spans="1:29" s="117" customFormat="1">
      <c r="A9" s="415" t="s">
        <v>2545</v>
      </c>
      <c r="B9" s="71" t="s">
        <v>2546</v>
      </c>
      <c r="C9" s="2944" t="s">
        <v>3309</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0" t="s">
        <v>2547</v>
      </c>
      <c r="Q9" s="3080" t="str">
        <f t="shared" ref="Q9:Q15" si="6">B9</f>
        <v>用途</v>
      </c>
      <c r="R9" s="767" t="s">
        <v>17</v>
      </c>
      <c r="S9" s="768">
        <f t="shared" si="0"/>
        <v>100</v>
      </c>
      <c r="T9" s="767" t="s">
        <v>17</v>
      </c>
      <c r="U9" s="768">
        <f t="shared" si="1"/>
        <v>100</v>
      </c>
      <c r="V9" s="767" t="s">
        <v>17</v>
      </c>
      <c r="W9" s="768">
        <f t="shared" si="2"/>
        <v>100</v>
      </c>
      <c r="X9" s="769"/>
      <c r="Y9" s="3163" t="s">
        <v>2548</v>
      </c>
      <c r="Z9" s="3081" t="str">
        <f t="shared" ref="Z9:Z15" si="7">Q9</f>
        <v>用途</v>
      </c>
      <c r="AA9" s="770">
        <f t="shared" si="3"/>
        <v>1</v>
      </c>
      <c r="AB9" s="770">
        <f t="shared" si="4"/>
        <v>1</v>
      </c>
      <c r="AC9" s="2668">
        <f t="shared" si="5"/>
        <v>1</v>
      </c>
    </row>
    <row r="10" spans="1:29" s="427" customFormat="1" ht="27.75" thickBot="1">
      <c r="A10" s="421"/>
      <c r="B10" s="3083"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0"/>
      <c r="Q10" s="3080" t="str">
        <f t="shared" si="6"/>
        <v>土地使用年限（年）</v>
      </c>
      <c r="R10" s="767" t="s">
        <v>17</v>
      </c>
      <c r="S10" s="768">
        <f t="shared" si="0"/>
        <v>100</v>
      </c>
      <c r="T10" s="767" t="s">
        <v>17</v>
      </c>
      <c r="U10" s="768">
        <f t="shared" si="1"/>
        <v>100</v>
      </c>
      <c r="V10" s="767" t="s">
        <v>17</v>
      </c>
      <c r="W10" s="768">
        <f t="shared" si="2"/>
        <v>100</v>
      </c>
      <c r="X10" s="769"/>
      <c r="Y10" s="3163"/>
      <c r="Z10" s="3081" t="str">
        <f t="shared" si="7"/>
        <v>土地使用年限（年）</v>
      </c>
      <c r="AA10" s="770">
        <f t="shared" si="3"/>
        <v>1</v>
      </c>
      <c r="AB10" s="770">
        <f t="shared" si="4"/>
        <v>1</v>
      </c>
      <c r="AC10" s="2668">
        <f t="shared" si="5"/>
        <v>1</v>
      </c>
    </row>
    <row r="11" spans="1:29" ht="15.75" hidden="1" thickBot="1">
      <c r="A11" s="428"/>
      <c r="B11" s="3083"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0"/>
      <c r="Q11" s="3080" t="str">
        <f t="shared" si="6"/>
        <v>容积率</v>
      </c>
      <c r="R11" s="767" t="s">
        <v>17</v>
      </c>
      <c r="S11" s="768">
        <f t="shared" si="0"/>
        <v>100</v>
      </c>
      <c r="T11" s="767" t="s">
        <v>17</v>
      </c>
      <c r="U11" s="768">
        <f t="shared" si="1"/>
        <v>100</v>
      </c>
      <c r="V11" s="767" t="s">
        <v>17</v>
      </c>
      <c r="W11" s="768">
        <f t="shared" si="2"/>
        <v>100</v>
      </c>
      <c r="X11" s="769"/>
      <c r="Y11" s="3163"/>
      <c r="Z11" s="3081" t="str">
        <f t="shared" si="7"/>
        <v>容积率</v>
      </c>
      <c r="AA11" s="770">
        <f t="shared" si="3"/>
        <v>1</v>
      </c>
      <c r="AB11" s="770">
        <f t="shared" si="4"/>
        <v>1</v>
      </c>
      <c r="AC11" s="2668">
        <f t="shared" si="5"/>
        <v>1</v>
      </c>
    </row>
    <row r="12" spans="1:29" s="117" customFormat="1" ht="15.75" hidden="1" thickBot="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0"/>
      <c r="Q12" s="3080">
        <f t="shared" si="6"/>
        <v>111</v>
      </c>
      <c r="R12" s="767" t="s">
        <v>17</v>
      </c>
      <c r="S12" s="768">
        <f t="shared" si="0"/>
        <v>100</v>
      </c>
      <c r="T12" s="767" t="s">
        <v>17</v>
      </c>
      <c r="U12" s="768">
        <f t="shared" si="1"/>
        <v>100</v>
      </c>
      <c r="V12" s="767" t="s">
        <v>17</v>
      </c>
      <c r="W12" s="768">
        <f t="shared" si="2"/>
        <v>100</v>
      </c>
      <c r="X12" s="769"/>
      <c r="Y12" s="3163"/>
      <c r="Z12" s="3081">
        <f t="shared" si="7"/>
        <v>111</v>
      </c>
      <c r="AA12" s="770">
        <f>D12/F12</f>
        <v>1</v>
      </c>
      <c r="AB12" s="770">
        <f>D12/H12</f>
        <v>1</v>
      </c>
      <c r="AC12" s="2668">
        <f>D12/J12</f>
        <v>1</v>
      </c>
    </row>
    <row r="13" spans="1:29" ht="15.75" hidden="1" thickBot="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0"/>
      <c r="Q13" s="3080">
        <f t="shared" si="6"/>
        <v>111</v>
      </c>
      <c r="R13" s="767" t="s">
        <v>17</v>
      </c>
      <c r="S13" s="768">
        <f t="shared" si="0"/>
        <v>100</v>
      </c>
      <c r="T13" s="767" t="s">
        <v>17</v>
      </c>
      <c r="U13" s="768">
        <f t="shared" si="1"/>
        <v>100</v>
      </c>
      <c r="V13" s="767" t="s">
        <v>17</v>
      </c>
      <c r="W13" s="768">
        <f t="shared" si="2"/>
        <v>100</v>
      </c>
      <c r="X13" s="769"/>
      <c r="Y13" s="3163"/>
      <c r="Z13" s="3081">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0"/>
      <c r="Q14" s="3080">
        <f t="shared" si="6"/>
        <v>111</v>
      </c>
      <c r="R14" s="767" t="s">
        <v>17</v>
      </c>
      <c r="S14" s="768">
        <f t="shared" si="0"/>
        <v>100</v>
      </c>
      <c r="T14" s="767" t="s">
        <v>17</v>
      </c>
      <c r="U14" s="768">
        <f t="shared" si="1"/>
        <v>100</v>
      </c>
      <c r="V14" s="767" t="s">
        <v>17</v>
      </c>
      <c r="W14" s="768">
        <f t="shared" si="2"/>
        <v>100</v>
      </c>
      <c r="X14" s="769"/>
      <c r="Y14" s="3163"/>
      <c r="Z14" s="3081">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57" t="s">
        <v>2552</v>
      </c>
      <c r="Q15" s="3094" t="str">
        <f t="shared" si="6"/>
        <v>办公集聚程度</v>
      </c>
      <c r="R15" s="771" t="s">
        <v>17</v>
      </c>
      <c r="S15" s="772">
        <f t="shared" si="0"/>
        <v>102</v>
      </c>
      <c r="T15" s="771" t="s">
        <v>17</v>
      </c>
      <c r="U15" s="772">
        <f t="shared" si="1"/>
        <v>102</v>
      </c>
      <c r="V15" s="771" t="s">
        <v>17</v>
      </c>
      <c r="W15" s="772">
        <f t="shared" si="2"/>
        <v>100</v>
      </c>
      <c r="X15" s="3092"/>
      <c r="Y15" s="3350" t="s">
        <v>2552</v>
      </c>
      <c r="Z15" s="3093" t="str">
        <f t="shared" si="7"/>
        <v>办公集聚程度</v>
      </c>
      <c r="AA15" s="3095">
        <f t="shared" si="3"/>
        <v>0.98039215686274506</v>
      </c>
      <c r="AB15" s="3095">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58"/>
      <c r="Q16" s="3094"/>
      <c r="R16" s="771"/>
      <c r="S16" s="772"/>
      <c r="T16" s="771"/>
      <c r="U16" s="772"/>
      <c r="V16" s="771"/>
      <c r="W16" s="772"/>
      <c r="X16" s="3092"/>
      <c r="Y16" s="3351"/>
      <c r="Z16" s="3093"/>
      <c r="AA16" s="3095">
        <v>1</v>
      </c>
      <c r="AB16" s="3095">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58"/>
      <c r="Q17" s="3094" t="str">
        <f>B17</f>
        <v>交通便捷度</v>
      </c>
      <c r="R17" s="771" t="s">
        <v>17</v>
      </c>
      <c r="S17" s="772">
        <f>F17</f>
        <v>100</v>
      </c>
      <c r="T17" s="771" t="s">
        <v>17</v>
      </c>
      <c r="U17" s="772">
        <f>H17</f>
        <v>100</v>
      </c>
      <c r="V17" s="771" t="s">
        <v>17</v>
      </c>
      <c r="W17" s="772">
        <f>J17</f>
        <v>100</v>
      </c>
      <c r="X17" s="3092"/>
      <c r="Y17" s="3351"/>
      <c r="Z17" s="3093" t="str">
        <f>Q17</f>
        <v>交通便捷度</v>
      </c>
      <c r="AA17" s="3095">
        <f t="shared" si="3"/>
        <v>1</v>
      </c>
      <c r="AB17" s="3095">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58"/>
      <c r="Q18" s="3094"/>
      <c r="R18" s="771"/>
      <c r="S18" s="772"/>
      <c r="T18" s="771"/>
      <c r="U18" s="772"/>
      <c r="V18" s="771"/>
      <c r="W18" s="772"/>
      <c r="X18" s="3092"/>
      <c r="Y18" s="3351"/>
      <c r="Z18" s="3093"/>
      <c r="AA18" s="3095">
        <v>1</v>
      </c>
      <c r="AB18" s="3095">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58"/>
      <c r="Q19" s="3094" t="str">
        <f>B19</f>
        <v>公共配套设施</v>
      </c>
      <c r="R19" s="771" t="s">
        <v>17</v>
      </c>
      <c r="S19" s="772">
        <f>F19</f>
        <v>100</v>
      </c>
      <c r="T19" s="771" t="s">
        <v>17</v>
      </c>
      <c r="U19" s="772">
        <f>H19</f>
        <v>100</v>
      </c>
      <c r="V19" s="771" t="s">
        <v>17</v>
      </c>
      <c r="W19" s="772">
        <f>J19</f>
        <v>100</v>
      </c>
      <c r="X19" s="3092"/>
      <c r="Y19" s="3351"/>
      <c r="Z19" s="3093" t="str">
        <f>Q19</f>
        <v>公共配套设施</v>
      </c>
      <c r="AA19" s="3095">
        <f t="shared" si="3"/>
        <v>1</v>
      </c>
      <c r="AB19" s="3095">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58"/>
      <c r="Q20" s="3094"/>
      <c r="R20" s="771"/>
      <c r="S20" s="772"/>
      <c r="T20" s="771"/>
      <c r="U20" s="772"/>
      <c r="V20" s="771"/>
      <c r="W20" s="772"/>
      <c r="X20" s="3092"/>
      <c r="Y20" s="3351"/>
      <c r="Z20" s="3093"/>
      <c r="AA20" s="3095">
        <v>1</v>
      </c>
      <c r="AB20" s="3095">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58"/>
      <c r="Q21" s="3094" t="str">
        <f>B21</f>
        <v>基础设施水平</v>
      </c>
      <c r="R21" s="771" t="s">
        <v>17</v>
      </c>
      <c r="S21" s="772">
        <f>F21</f>
        <v>100</v>
      </c>
      <c r="T21" s="771" t="s">
        <v>17</v>
      </c>
      <c r="U21" s="772">
        <f>H21</f>
        <v>100</v>
      </c>
      <c r="V21" s="771" t="s">
        <v>17</v>
      </c>
      <c r="W21" s="772">
        <f>J21</f>
        <v>100</v>
      </c>
      <c r="X21" s="3092"/>
      <c r="Y21" s="3351"/>
      <c r="Z21" s="3093" t="str">
        <f>Q21</f>
        <v>基础设施水平</v>
      </c>
      <c r="AA21" s="3095">
        <f t="shared" ref="AA21" si="8">D21/F21</f>
        <v>1</v>
      </c>
      <c r="AB21" s="3095">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58"/>
      <c r="Q22" s="3094"/>
      <c r="R22" s="771"/>
      <c r="S22" s="772"/>
      <c r="T22" s="771"/>
      <c r="U22" s="772"/>
      <c r="V22" s="771"/>
      <c r="W22" s="772"/>
      <c r="X22" s="3092"/>
      <c r="Y22" s="3351"/>
      <c r="Z22" s="3093"/>
      <c r="AA22" s="3095">
        <v>1</v>
      </c>
      <c r="AB22" s="3095">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58"/>
      <c r="Q23" s="3094" t="str">
        <f>B23</f>
        <v>环境质量</v>
      </c>
      <c r="R23" s="771" t="s">
        <v>17</v>
      </c>
      <c r="S23" s="772">
        <f>F23</f>
        <v>100</v>
      </c>
      <c r="T23" s="771" t="s">
        <v>17</v>
      </c>
      <c r="U23" s="772">
        <f>H23</f>
        <v>100</v>
      </c>
      <c r="V23" s="771" t="s">
        <v>17</v>
      </c>
      <c r="W23" s="772">
        <f>J23</f>
        <v>100</v>
      </c>
      <c r="X23" s="3092"/>
      <c r="Y23" s="3351"/>
      <c r="Z23" s="3093" t="str">
        <f>Q23</f>
        <v>环境质量</v>
      </c>
      <c r="AA23" s="3095">
        <f t="shared" si="3"/>
        <v>1</v>
      </c>
      <c r="AB23" s="3095">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58"/>
      <c r="Q24" s="3094"/>
      <c r="R24" s="771"/>
      <c r="S24" s="772"/>
      <c r="T24" s="771"/>
      <c r="U24" s="772"/>
      <c r="V24" s="771"/>
      <c r="W24" s="772"/>
      <c r="X24" s="3092"/>
      <c r="Y24" s="3351"/>
      <c r="Z24" s="3093"/>
      <c r="AA24" s="3095">
        <v>1</v>
      </c>
      <c r="AB24" s="3095">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58"/>
      <c r="Q25" s="3094" t="str">
        <f>B25</f>
        <v>毗邻道路的类型与等级</v>
      </c>
      <c r="R25" s="771" t="s">
        <v>17</v>
      </c>
      <c r="S25" s="772">
        <f>F25</f>
        <v>100</v>
      </c>
      <c r="T25" s="771" t="s">
        <v>17</v>
      </c>
      <c r="U25" s="772">
        <f>H25</f>
        <v>100</v>
      </c>
      <c r="V25" s="771" t="s">
        <v>17</v>
      </c>
      <c r="W25" s="772">
        <f>J25</f>
        <v>100</v>
      </c>
      <c r="X25" s="3092"/>
      <c r="Y25" s="3351"/>
      <c r="Z25" s="3093" t="str">
        <f>Q25</f>
        <v>毗邻道路的类型与等级</v>
      </c>
      <c r="AA25" s="3095">
        <f t="shared" si="3"/>
        <v>1</v>
      </c>
      <c r="AB25" s="3095">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58"/>
      <c r="Q26" s="3094"/>
      <c r="R26" s="771"/>
      <c r="S26" s="772"/>
      <c r="T26" s="771"/>
      <c r="U26" s="772"/>
      <c r="V26" s="771"/>
      <c r="W26" s="772"/>
      <c r="X26" s="3092"/>
      <c r="Y26" s="3351"/>
      <c r="Z26" s="3093"/>
      <c r="AA26" s="3095">
        <v>1</v>
      </c>
      <c r="AB26" s="3095">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58"/>
      <c r="Q27" s="3094" t="str">
        <f t="shared" ref="Q27:Q47" si="11">B27</f>
        <v>楼层</v>
      </c>
      <c r="R27" s="771" t="s">
        <v>17</v>
      </c>
      <c r="S27" s="772">
        <f>F27</f>
        <v>100</v>
      </c>
      <c r="T27" s="771" t="s">
        <v>17</v>
      </c>
      <c r="U27" s="772">
        <f>H27</f>
        <v>100</v>
      </c>
      <c r="V27" s="771" t="s">
        <v>17</v>
      </c>
      <c r="W27" s="772">
        <f>J27</f>
        <v>100</v>
      </c>
      <c r="X27" s="3092"/>
      <c r="Y27" s="3351"/>
      <c r="Z27" s="3093" t="str">
        <f>Q27</f>
        <v>楼层</v>
      </c>
      <c r="AA27" s="3095">
        <f t="shared" si="3"/>
        <v>1</v>
      </c>
      <c r="AB27" s="3095">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58"/>
      <c r="Q28" s="3080" t="str">
        <f t="shared" si="11"/>
        <v>朝向</v>
      </c>
      <c r="R28" s="767" t="s">
        <v>17</v>
      </c>
      <c r="S28" s="768">
        <f>F28</f>
        <v>100</v>
      </c>
      <c r="T28" s="767" t="s">
        <v>17</v>
      </c>
      <c r="U28" s="768">
        <f>H28</f>
        <v>100</v>
      </c>
      <c r="V28" s="767" t="s">
        <v>17</v>
      </c>
      <c r="W28" s="768">
        <f>J28</f>
        <v>100</v>
      </c>
      <c r="X28" s="769"/>
      <c r="Y28" s="3351"/>
      <c r="Z28" s="3081" t="str">
        <f>Q28</f>
        <v>朝向</v>
      </c>
      <c r="AA28" s="3095">
        <f>D28/F28</f>
        <v>1</v>
      </c>
      <c r="AB28" s="3095">
        <f>D28/H28</f>
        <v>1</v>
      </c>
      <c r="AC28" s="2671">
        <f>D28/J28</f>
        <v>1</v>
      </c>
    </row>
    <row r="29" spans="1:29" ht="15">
      <c r="A29" s="428"/>
      <c r="B29" s="3039" t="s">
        <v>3260</v>
      </c>
      <c r="C29" s="3040" t="s">
        <v>3098</v>
      </c>
      <c r="D29" s="3041">
        <v>100</v>
      </c>
      <c r="E29" s="3042" t="s">
        <v>3098</v>
      </c>
      <c r="F29" s="3041">
        <f>SUMIF(93:93,E29,94:94)-SUMIF(93:93,C29,94:94)+100</f>
        <v>100</v>
      </c>
      <c r="G29" s="3043" t="s">
        <v>3098</v>
      </c>
      <c r="H29" s="3041">
        <f>SUMIF(93:93,G29,94:94)-SUMIF(93:93,C29,94:94)+100</f>
        <v>100</v>
      </c>
      <c r="I29" s="3042" t="s">
        <v>3103</v>
      </c>
      <c r="J29" s="3041">
        <f>SUMIF(93:93,I29,94:94)-SUMIF(93:93,C29,94:94)+100</f>
        <v>95</v>
      </c>
      <c r="K29" s="3044"/>
      <c r="L29" s="1139"/>
      <c r="M29" s="1130"/>
      <c r="N29" s="1130"/>
      <c r="O29" s="1130"/>
      <c r="P29" s="3358"/>
      <c r="Q29" s="3094" t="str">
        <f t="shared" si="11"/>
        <v>可视性</v>
      </c>
      <c r="R29" s="771" t="s">
        <v>17</v>
      </c>
      <c r="S29" s="772">
        <f t="shared" ref="S29:S47" si="12">F29</f>
        <v>100</v>
      </c>
      <c r="T29" s="771" t="s">
        <v>17</v>
      </c>
      <c r="U29" s="772">
        <f t="shared" ref="U29:U47" si="13">H29</f>
        <v>100</v>
      </c>
      <c r="V29" s="771" t="s">
        <v>17</v>
      </c>
      <c r="W29" s="772">
        <f t="shared" ref="W29:W47" si="14">J29</f>
        <v>95</v>
      </c>
      <c r="X29" s="3092"/>
      <c r="Y29" s="3351"/>
      <c r="Z29" s="3093" t="str">
        <f t="shared" ref="Z29:Z47" si="15">Q29</f>
        <v>可视性</v>
      </c>
      <c r="AA29" s="3095">
        <f t="shared" si="3"/>
        <v>1</v>
      </c>
      <c r="AB29" s="3095">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58"/>
      <c r="Q30" s="3094" t="str">
        <f t="shared" si="11"/>
        <v>商业繁华度</v>
      </c>
      <c r="R30" s="771" t="s">
        <v>17</v>
      </c>
      <c r="S30" s="772">
        <f t="shared" si="12"/>
        <v>100</v>
      </c>
      <c r="T30" s="771" t="s">
        <v>17</v>
      </c>
      <c r="U30" s="772">
        <f t="shared" si="13"/>
        <v>100</v>
      </c>
      <c r="V30" s="771" t="s">
        <v>17</v>
      </c>
      <c r="W30" s="772">
        <f t="shared" si="14"/>
        <v>100</v>
      </c>
      <c r="X30" s="3092"/>
      <c r="Y30" s="3351"/>
      <c r="Z30" s="3093" t="str">
        <f t="shared" si="15"/>
        <v>商业繁华度</v>
      </c>
      <c r="AA30" s="3095">
        <f t="shared" si="3"/>
        <v>1</v>
      </c>
      <c r="AB30" s="3095">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58"/>
      <c r="Q31" s="3094" t="str">
        <f t="shared" si="11"/>
        <v>临街状况</v>
      </c>
      <c r="R31" s="771" t="s">
        <v>17</v>
      </c>
      <c r="S31" s="772">
        <f t="shared" si="12"/>
        <v>100</v>
      </c>
      <c r="T31" s="771" t="s">
        <v>17</v>
      </c>
      <c r="U31" s="772">
        <f t="shared" si="13"/>
        <v>100</v>
      </c>
      <c r="V31" s="771" t="s">
        <v>17</v>
      </c>
      <c r="W31" s="772">
        <f t="shared" si="14"/>
        <v>100</v>
      </c>
      <c r="X31" s="3092"/>
      <c r="Y31" s="3351"/>
      <c r="Z31" s="3093" t="str">
        <f t="shared" si="15"/>
        <v>临街状况</v>
      </c>
      <c r="AA31" s="3095">
        <f t="shared" si="3"/>
        <v>1</v>
      </c>
      <c r="AB31" s="3095">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58"/>
      <c r="Q32" s="3094" t="str">
        <f t="shared" si="11"/>
        <v>人流量</v>
      </c>
      <c r="R32" s="771" t="s">
        <v>17</v>
      </c>
      <c r="S32" s="772">
        <f t="shared" si="12"/>
        <v>100</v>
      </c>
      <c r="T32" s="771" t="s">
        <v>17</v>
      </c>
      <c r="U32" s="772">
        <f t="shared" si="13"/>
        <v>100</v>
      </c>
      <c r="V32" s="771" t="s">
        <v>17</v>
      </c>
      <c r="W32" s="772">
        <f t="shared" si="14"/>
        <v>100</v>
      </c>
      <c r="X32" s="3092"/>
      <c r="Y32" s="3351"/>
      <c r="Z32" s="3093" t="str">
        <f t="shared" si="15"/>
        <v>人流量</v>
      </c>
      <c r="AA32" s="3095">
        <f t="shared" si="3"/>
        <v>1</v>
      </c>
      <c r="AB32" s="3095">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52" t="s">
        <v>2557</v>
      </c>
      <c r="Q33" s="3094" t="str">
        <f t="shared" si="11"/>
        <v>建筑类型</v>
      </c>
      <c r="R33" s="771" t="s">
        <v>17</v>
      </c>
      <c r="S33" s="772">
        <f t="shared" si="12"/>
        <v>102</v>
      </c>
      <c r="T33" s="771" t="s">
        <v>17</v>
      </c>
      <c r="U33" s="772">
        <f t="shared" si="13"/>
        <v>100</v>
      </c>
      <c r="V33" s="771" t="s">
        <v>17</v>
      </c>
      <c r="W33" s="772">
        <f t="shared" si="14"/>
        <v>100</v>
      </c>
      <c r="X33" s="3092"/>
      <c r="Y33" s="3355" t="s">
        <v>2557</v>
      </c>
      <c r="Z33" s="3093" t="str">
        <f t="shared" si="15"/>
        <v>建筑类型</v>
      </c>
      <c r="AA33" s="3095">
        <f t="shared" si="3"/>
        <v>0.98039215686274506</v>
      </c>
      <c r="AB33" s="3095">
        <f t="shared" si="4"/>
        <v>1</v>
      </c>
      <c r="AC33" s="2671">
        <f t="shared" si="5"/>
        <v>1</v>
      </c>
    </row>
    <row r="34" spans="1:29" s="471" customFormat="1" ht="15" hidden="1">
      <c r="A34" s="468"/>
      <c r="B34" s="3083"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53"/>
      <c r="Q34" s="773" t="str">
        <f t="shared" si="11"/>
        <v>项目建筑规模</v>
      </c>
      <c r="R34" s="774" t="s">
        <v>17</v>
      </c>
      <c r="S34" s="775">
        <f t="shared" si="12"/>
        <v>100</v>
      </c>
      <c r="T34" s="774" t="s">
        <v>17</v>
      </c>
      <c r="U34" s="775">
        <f t="shared" si="13"/>
        <v>100</v>
      </c>
      <c r="V34" s="774" t="s">
        <v>17</v>
      </c>
      <c r="W34" s="775">
        <f t="shared" si="14"/>
        <v>100</v>
      </c>
      <c r="X34" s="776"/>
      <c r="Y34" s="3355"/>
      <c r="Z34" s="777" t="str">
        <f t="shared" si="15"/>
        <v>项目建筑规模</v>
      </c>
      <c r="AA34" s="3095">
        <f t="shared" si="3"/>
        <v>1</v>
      </c>
      <c r="AB34" s="3095">
        <f t="shared" si="4"/>
        <v>1</v>
      </c>
      <c r="AC34" s="2671">
        <f t="shared" si="5"/>
        <v>1</v>
      </c>
    </row>
    <row r="35" spans="1:29" ht="15">
      <c r="A35" s="472"/>
      <c r="B35" s="3083"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53"/>
      <c r="Q35" s="3094" t="str">
        <f t="shared" si="11"/>
        <v>建筑结构</v>
      </c>
      <c r="R35" s="771" t="s">
        <v>17</v>
      </c>
      <c r="S35" s="772">
        <f t="shared" si="12"/>
        <v>100</v>
      </c>
      <c r="T35" s="771" t="s">
        <v>17</v>
      </c>
      <c r="U35" s="772">
        <f t="shared" si="13"/>
        <v>100</v>
      </c>
      <c r="V35" s="771" t="s">
        <v>17</v>
      </c>
      <c r="W35" s="772">
        <f t="shared" si="14"/>
        <v>100</v>
      </c>
      <c r="X35" s="3092"/>
      <c r="Y35" s="3355"/>
      <c r="Z35" s="3093" t="str">
        <f t="shared" si="15"/>
        <v>建筑结构</v>
      </c>
      <c r="AA35" s="3095">
        <f t="shared" si="3"/>
        <v>1</v>
      </c>
      <c r="AB35" s="3095">
        <f t="shared" si="4"/>
        <v>1</v>
      </c>
      <c r="AC35" s="2671">
        <f t="shared" si="5"/>
        <v>1</v>
      </c>
    </row>
    <row r="36" spans="1:29" ht="15">
      <c r="A36" s="472"/>
      <c r="B36" s="3083"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53"/>
      <c r="Q36" s="3094" t="str">
        <f t="shared" si="11"/>
        <v>公共部分装修</v>
      </c>
      <c r="R36" s="771" t="s">
        <v>17</v>
      </c>
      <c r="S36" s="772">
        <f t="shared" si="12"/>
        <v>100</v>
      </c>
      <c r="T36" s="771" t="s">
        <v>17</v>
      </c>
      <c r="U36" s="772">
        <f t="shared" si="13"/>
        <v>100</v>
      </c>
      <c r="V36" s="771" t="s">
        <v>17</v>
      </c>
      <c r="W36" s="772">
        <f t="shared" si="14"/>
        <v>100</v>
      </c>
      <c r="X36" s="3092"/>
      <c r="Y36" s="3355"/>
      <c r="Z36" s="3093" t="str">
        <f t="shared" si="15"/>
        <v>公共部分装修</v>
      </c>
      <c r="AA36" s="3095">
        <f t="shared" si="3"/>
        <v>1</v>
      </c>
      <c r="AB36" s="3095">
        <f t="shared" si="4"/>
        <v>1</v>
      </c>
      <c r="AC36" s="2671">
        <f t="shared" si="5"/>
        <v>1</v>
      </c>
    </row>
    <row r="37" spans="1:29" ht="15">
      <c r="A37" s="472"/>
      <c r="B37" s="3083"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53"/>
      <c r="Q37" s="3094" t="str">
        <f t="shared" si="11"/>
        <v>成新度</v>
      </c>
      <c r="R37" s="771" t="s">
        <v>17</v>
      </c>
      <c r="S37" s="772">
        <f t="shared" si="12"/>
        <v>101</v>
      </c>
      <c r="T37" s="771" t="s">
        <v>17</v>
      </c>
      <c r="U37" s="772">
        <f t="shared" si="13"/>
        <v>101</v>
      </c>
      <c r="V37" s="771" t="s">
        <v>17</v>
      </c>
      <c r="W37" s="772">
        <f t="shared" si="14"/>
        <v>100</v>
      </c>
      <c r="X37" s="3092"/>
      <c r="Y37" s="3355"/>
      <c r="Z37" s="3093" t="str">
        <f t="shared" si="15"/>
        <v>成新度</v>
      </c>
      <c r="AA37" s="3095">
        <f t="shared" si="3"/>
        <v>0.99009900990099009</v>
      </c>
      <c r="AB37" s="3095">
        <f t="shared" si="4"/>
        <v>0.99009900990099009</v>
      </c>
      <c r="AC37" s="2671">
        <f t="shared" si="5"/>
        <v>1</v>
      </c>
    </row>
    <row r="38" spans="1:29" s="117" customFormat="1" ht="15" hidden="1">
      <c r="A38" s="473"/>
      <c r="B38" s="3083"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53"/>
      <c r="Q38" s="3080" t="str">
        <f t="shared" si="11"/>
        <v>写字楼等级</v>
      </c>
      <c r="R38" s="767" t="s">
        <v>17</v>
      </c>
      <c r="S38" s="768">
        <f t="shared" si="12"/>
        <v>100</v>
      </c>
      <c r="T38" s="767" t="s">
        <v>17</v>
      </c>
      <c r="U38" s="768">
        <f t="shared" si="13"/>
        <v>100</v>
      </c>
      <c r="V38" s="767" t="s">
        <v>17</v>
      </c>
      <c r="W38" s="768">
        <f t="shared" si="14"/>
        <v>100</v>
      </c>
      <c r="X38" s="769"/>
      <c r="Y38" s="3355"/>
      <c r="Z38" s="3081" t="str">
        <f t="shared" si="15"/>
        <v>写字楼等级</v>
      </c>
      <c r="AA38" s="770">
        <f t="shared" si="3"/>
        <v>1</v>
      </c>
      <c r="AB38" s="770">
        <f t="shared" si="4"/>
        <v>1</v>
      </c>
      <c r="AC38" s="2668">
        <f t="shared" si="5"/>
        <v>1</v>
      </c>
    </row>
    <row r="39" spans="1:29" ht="15">
      <c r="A39" s="472"/>
      <c r="B39" s="3083"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53" t="s">
        <v>2557</v>
      </c>
      <c r="Q39" s="3094" t="str">
        <f t="shared" si="11"/>
        <v>物业管理</v>
      </c>
      <c r="R39" s="771" t="s">
        <v>17</v>
      </c>
      <c r="S39" s="772">
        <f t="shared" si="12"/>
        <v>100</v>
      </c>
      <c r="T39" s="771" t="s">
        <v>17</v>
      </c>
      <c r="U39" s="772">
        <f t="shared" si="13"/>
        <v>100</v>
      </c>
      <c r="V39" s="771" t="s">
        <v>17</v>
      </c>
      <c r="W39" s="772">
        <f t="shared" si="14"/>
        <v>100</v>
      </c>
      <c r="X39" s="3092"/>
      <c r="Y39" s="3355" t="s">
        <v>2557</v>
      </c>
      <c r="Z39" s="3093" t="str">
        <f t="shared" si="15"/>
        <v>物业管理</v>
      </c>
      <c r="AA39" s="3095">
        <f t="shared" si="3"/>
        <v>1</v>
      </c>
      <c r="AB39" s="3095">
        <f t="shared" si="4"/>
        <v>1</v>
      </c>
      <c r="AC39" s="2671">
        <f t="shared" si="5"/>
        <v>1</v>
      </c>
    </row>
    <row r="40" spans="1:29" ht="15">
      <c r="A40" s="472"/>
      <c r="B40" s="3083"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53"/>
      <c r="Q40" s="3094" t="str">
        <f t="shared" si="11"/>
        <v>市政基础设施</v>
      </c>
      <c r="R40" s="771" t="s">
        <v>17</v>
      </c>
      <c r="S40" s="772">
        <f t="shared" si="12"/>
        <v>100</v>
      </c>
      <c r="T40" s="771" t="s">
        <v>17</v>
      </c>
      <c r="U40" s="772">
        <f t="shared" si="13"/>
        <v>100</v>
      </c>
      <c r="V40" s="771" t="s">
        <v>17</v>
      </c>
      <c r="W40" s="772">
        <f t="shared" si="14"/>
        <v>100</v>
      </c>
      <c r="X40" s="3092"/>
      <c r="Y40" s="3355"/>
      <c r="Z40" s="3093" t="str">
        <f t="shared" si="15"/>
        <v>市政基础设施</v>
      </c>
      <c r="AA40" s="3095">
        <f t="shared" si="3"/>
        <v>1</v>
      </c>
      <c r="AB40" s="3095">
        <f t="shared" si="4"/>
        <v>1</v>
      </c>
      <c r="AC40" s="2671">
        <f t="shared" si="5"/>
        <v>1</v>
      </c>
    </row>
    <row r="41" spans="1:29" ht="15">
      <c r="A41" s="472"/>
      <c r="B41" s="3083"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53"/>
      <c r="Q41" s="3094" t="str">
        <f t="shared" si="11"/>
        <v>层高</v>
      </c>
      <c r="R41" s="771" t="s">
        <v>17</v>
      </c>
      <c r="S41" s="772">
        <f t="shared" si="12"/>
        <v>100</v>
      </c>
      <c r="T41" s="771" t="s">
        <v>17</v>
      </c>
      <c r="U41" s="772">
        <f t="shared" si="13"/>
        <v>100</v>
      </c>
      <c r="V41" s="771" t="s">
        <v>17</v>
      </c>
      <c r="W41" s="772">
        <f t="shared" si="14"/>
        <v>110</v>
      </c>
      <c r="X41" s="3092"/>
      <c r="Y41" s="3355"/>
      <c r="Z41" s="3093" t="str">
        <f t="shared" si="15"/>
        <v>层高</v>
      </c>
      <c r="AA41" s="3095">
        <f t="shared" si="3"/>
        <v>1</v>
      </c>
      <c r="AB41" s="3095">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53"/>
      <c r="Q42" s="773" t="str">
        <f t="shared" si="11"/>
        <v>单套建筑面积</v>
      </c>
      <c r="R42" s="774" t="s">
        <v>17</v>
      </c>
      <c r="S42" s="775">
        <f t="shared" si="12"/>
        <v>100</v>
      </c>
      <c r="T42" s="774" t="s">
        <v>17</v>
      </c>
      <c r="U42" s="775">
        <f t="shared" si="13"/>
        <v>105</v>
      </c>
      <c r="V42" s="774" t="s">
        <v>17</v>
      </c>
      <c r="W42" s="775">
        <f t="shared" si="14"/>
        <v>100</v>
      </c>
      <c r="X42" s="776"/>
      <c r="Y42" s="3355"/>
      <c r="Z42" s="777" t="str">
        <f t="shared" si="15"/>
        <v>单套建筑面积</v>
      </c>
      <c r="AA42" s="3095">
        <f t="shared" si="3"/>
        <v>1</v>
      </c>
      <c r="AB42" s="3095">
        <f t="shared" si="4"/>
        <v>0.95238095238095233</v>
      </c>
      <c r="AC42" s="2671">
        <f t="shared" si="5"/>
        <v>1</v>
      </c>
    </row>
    <row r="43" spans="1:29" ht="15">
      <c r="A43" s="472"/>
      <c r="B43" s="3083"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53"/>
      <c r="Q43" s="3094" t="str">
        <f t="shared" si="11"/>
        <v>内部装修</v>
      </c>
      <c r="R43" s="771" t="s">
        <v>17</v>
      </c>
      <c r="S43" s="772">
        <f t="shared" si="12"/>
        <v>100</v>
      </c>
      <c r="T43" s="771" t="s">
        <v>17</v>
      </c>
      <c r="U43" s="772">
        <f t="shared" si="13"/>
        <v>100</v>
      </c>
      <c r="V43" s="771" t="s">
        <v>17</v>
      </c>
      <c r="W43" s="772">
        <f t="shared" si="14"/>
        <v>100</v>
      </c>
      <c r="X43" s="3092"/>
      <c r="Y43" s="3355"/>
      <c r="Z43" s="3093" t="str">
        <f t="shared" si="15"/>
        <v>内部装修</v>
      </c>
      <c r="AA43" s="3095">
        <f t="shared" si="3"/>
        <v>1</v>
      </c>
      <c r="AB43" s="3095">
        <f t="shared" si="4"/>
        <v>1</v>
      </c>
      <c r="AC43" s="2671">
        <f t="shared" si="5"/>
        <v>1</v>
      </c>
    </row>
    <row r="44" spans="1:29" ht="15">
      <c r="A44" s="472"/>
      <c r="B44" s="3083"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53"/>
      <c r="Q44" s="3094" t="str">
        <f t="shared" si="11"/>
        <v>内部装修维护情况</v>
      </c>
      <c r="R44" s="771" t="s">
        <v>17</v>
      </c>
      <c r="S44" s="772">
        <f t="shared" si="12"/>
        <v>100</v>
      </c>
      <c r="T44" s="771" t="s">
        <v>17</v>
      </c>
      <c r="U44" s="772">
        <f t="shared" si="13"/>
        <v>100</v>
      </c>
      <c r="V44" s="771" t="s">
        <v>17</v>
      </c>
      <c r="W44" s="772">
        <f t="shared" si="14"/>
        <v>100</v>
      </c>
      <c r="X44" s="3092"/>
      <c r="Y44" s="3355"/>
      <c r="Z44" s="3093" t="str">
        <f t="shared" si="15"/>
        <v>内部装修维护情况</v>
      </c>
      <c r="AA44" s="3095">
        <f t="shared" si="3"/>
        <v>1</v>
      </c>
      <c r="AB44" s="3095">
        <f t="shared" si="4"/>
        <v>1</v>
      </c>
      <c r="AC44" s="2671">
        <f t="shared" si="5"/>
        <v>1</v>
      </c>
    </row>
    <row r="45" spans="1:29" s="117" customFormat="1" ht="15.75" thickBot="1">
      <c r="A45" s="473"/>
      <c r="B45" s="2960" t="s">
        <v>3143</v>
      </c>
      <c r="C45" s="2961" t="s">
        <v>3144</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53"/>
      <c r="Q45" s="3080" t="str">
        <f t="shared" si="11"/>
        <v>是否含地下室</v>
      </c>
      <c r="R45" s="767" t="s">
        <v>17</v>
      </c>
      <c r="S45" s="768">
        <f t="shared" si="12"/>
        <v>105</v>
      </c>
      <c r="T45" s="767" t="s">
        <v>17</v>
      </c>
      <c r="U45" s="768">
        <f t="shared" si="13"/>
        <v>105</v>
      </c>
      <c r="V45" s="767" t="s">
        <v>17</v>
      </c>
      <c r="W45" s="768">
        <f t="shared" si="14"/>
        <v>105</v>
      </c>
      <c r="X45" s="769"/>
      <c r="Y45" s="3355"/>
      <c r="Z45" s="3081" t="str">
        <f t="shared" si="15"/>
        <v>是否含地下室</v>
      </c>
      <c r="AA45" s="770">
        <f t="shared" si="3"/>
        <v>0.95238095238095233</v>
      </c>
      <c r="AB45" s="770">
        <f t="shared" si="4"/>
        <v>0.95238095238095233</v>
      </c>
      <c r="AC45" s="2668">
        <f t="shared" si="5"/>
        <v>0.95238095238095233</v>
      </c>
    </row>
    <row r="46" spans="1:29" ht="15.75" hidden="1" thickBot="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53"/>
      <c r="Q46" s="3094">
        <f t="shared" si="11"/>
        <v>111</v>
      </c>
      <c r="R46" s="771" t="s">
        <v>17</v>
      </c>
      <c r="S46" s="772">
        <f t="shared" si="12"/>
        <v>100</v>
      </c>
      <c r="T46" s="771" t="s">
        <v>17</v>
      </c>
      <c r="U46" s="772">
        <f t="shared" si="13"/>
        <v>100</v>
      </c>
      <c r="V46" s="771" t="s">
        <v>17</v>
      </c>
      <c r="W46" s="772">
        <f t="shared" si="14"/>
        <v>100</v>
      </c>
      <c r="X46" s="3092"/>
      <c r="Y46" s="3355"/>
      <c r="Z46" s="3093">
        <f t="shared" si="15"/>
        <v>111</v>
      </c>
      <c r="AA46" s="3095">
        <f t="shared" si="3"/>
        <v>1</v>
      </c>
      <c r="AB46" s="3095">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54"/>
      <c r="Q47" s="3094">
        <f t="shared" si="11"/>
        <v>111</v>
      </c>
      <c r="R47" s="771" t="s">
        <v>17</v>
      </c>
      <c r="S47" s="772">
        <f t="shared" si="12"/>
        <v>100</v>
      </c>
      <c r="T47" s="771" t="s">
        <v>17</v>
      </c>
      <c r="U47" s="772">
        <f t="shared" si="13"/>
        <v>100</v>
      </c>
      <c r="V47" s="771" t="s">
        <v>17</v>
      </c>
      <c r="W47" s="772">
        <f t="shared" si="14"/>
        <v>100</v>
      </c>
      <c r="X47" s="3092"/>
      <c r="Y47" s="3356"/>
      <c r="Z47" s="3093">
        <f t="shared" si="15"/>
        <v>111</v>
      </c>
      <c r="AA47" s="3095">
        <f t="shared" si="3"/>
        <v>1</v>
      </c>
      <c r="AB47" s="3095">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0" t="str">
        <f>A48</f>
        <v>成交单价（元/平方米）</v>
      </c>
      <c r="Q48" s="3348"/>
      <c r="R48" s="3349">
        <f>E48</f>
        <v>36885</v>
      </c>
      <c r="S48" s="3349"/>
      <c r="T48" s="3349">
        <f>G48</f>
        <v>36889</v>
      </c>
      <c r="U48" s="3349"/>
      <c r="V48" s="3349">
        <f>I48</f>
        <v>36866</v>
      </c>
      <c r="W48" s="3349"/>
      <c r="X48" s="446"/>
      <c r="Y48" s="778"/>
      <c r="Z48" s="446"/>
      <c r="AA48" s="446"/>
      <c r="AB48" s="446"/>
      <c r="AC48" s="630"/>
    </row>
    <row r="49" spans="1:29" ht="15.75" thickBot="1">
      <c r="A49" s="486" t="s">
        <v>2570</v>
      </c>
      <c r="B49" s="487"/>
      <c r="C49" s="1412">
        <f>R50</f>
        <v>33169</v>
      </c>
      <c r="D49" s="1413"/>
      <c r="E49" s="1414">
        <f>R49</f>
        <v>33430</v>
      </c>
      <c r="F49" s="1414"/>
      <c r="G49" s="1412">
        <f>T49</f>
        <v>32479</v>
      </c>
      <c r="H49" s="1413"/>
      <c r="I49" s="1414">
        <f>V49</f>
        <v>33599</v>
      </c>
      <c r="J49" s="489"/>
      <c r="K49" s="781"/>
      <c r="L49" s="1142"/>
      <c r="M49" s="1130"/>
      <c r="N49" s="1130"/>
      <c r="O49" s="1130"/>
      <c r="P49" s="3330" t="str">
        <f>A49</f>
        <v>比较价值（元/平方米）</v>
      </c>
      <c r="Q49" s="3348"/>
      <c r="R49" s="3349">
        <f>IF(F1="售价",ROUND(PRODUCT(R48,AA7:AA47),0),ROUND(PRODUCT(R48,AA7:AA47),1))</f>
        <v>33430</v>
      </c>
      <c r="S49" s="3349"/>
      <c r="T49" s="3349">
        <f>IF(F1="售价",ROUND(PRODUCT(T48,AB7:AB47),0),ROUND(PRODUCT(T48,AB7:AB47),1))</f>
        <v>32479</v>
      </c>
      <c r="U49" s="3349"/>
      <c r="V49" s="3349">
        <f>IF(F1="售价",ROUND(PRODUCT(V48,AC7:AC47),0),ROUND(PRODUCT(V48,AC7:AC47),1))</f>
        <v>33599</v>
      </c>
      <c r="W49" s="3349"/>
      <c r="X49" s="446"/>
      <c r="Y49" s="446"/>
      <c r="Z49" s="446"/>
      <c r="AA49" s="446"/>
      <c r="AB49" s="446"/>
      <c r="AC49" s="630"/>
    </row>
    <row r="50" spans="1:29" ht="15.75" thickBot="1">
      <c r="A50" s="492" t="s">
        <v>2571</v>
      </c>
      <c r="B50" s="493"/>
      <c r="C50" s="1416">
        <f>R50</f>
        <v>33169</v>
      </c>
      <c r="D50" s="1416"/>
      <c r="E50" s="1416"/>
      <c r="F50" s="1416"/>
      <c r="G50" s="1416"/>
      <c r="H50" s="1416"/>
      <c r="I50" s="1416"/>
      <c r="J50" s="494"/>
      <c r="K50" s="782"/>
      <c r="L50" s="1142"/>
      <c r="M50" s="1130"/>
      <c r="N50" s="1130"/>
      <c r="O50" s="1130"/>
      <c r="P50" s="3377" t="str">
        <f>A50</f>
        <v>估价对象XX用房的比较价值（楼面单价，元/平方米）</v>
      </c>
      <c r="Q50" s="3378"/>
      <c r="R50" s="3379">
        <f>IF(F1="售价",ROUND(AVERAGE(R49:V49),0),ROUND(AVERAGE(R49:V49),1))</f>
        <v>33169</v>
      </c>
      <c r="S50" s="3379"/>
      <c r="T50" s="3379"/>
      <c r="U50" s="3379"/>
      <c r="V50" s="3379"/>
      <c r="W50" s="3379"/>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2572</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2573</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2574</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2575</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2579</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3309</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24</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3098</v>
      </c>
      <c r="D93" s="2949" t="s">
        <v>3103</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3098</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3099</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3098</v>
      </c>
      <c r="F99" s="2957" t="s">
        <v>3111</v>
      </c>
      <c r="G99" s="2958" t="s">
        <v>3112</v>
      </c>
      <c r="H99" s="587"/>
      <c r="I99" s="587"/>
      <c r="J99" s="587"/>
      <c r="K99" s="588"/>
      <c r="L99" s="589"/>
      <c r="M99" s="590"/>
      <c r="N99" s="1151"/>
      <c r="O99" s="1151"/>
      <c r="P99" s="2681"/>
      <c r="Q99" s="504"/>
    </row>
    <row r="100" spans="1:17" ht="15.75" thickBot="1">
      <c r="A100" s="2633"/>
      <c r="B100" s="569"/>
      <c r="C100" s="570">
        <v>100</v>
      </c>
      <c r="D100" s="570">
        <v>97</v>
      </c>
      <c r="E100" s="570">
        <v>94</v>
      </c>
      <c r="F100" s="570">
        <v>91</v>
      </c>
      <c r="G100" s="570">
        <v>88</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3124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3167</v>
      </c>
      <c r="F3" s="2725" t="s">
        <v>3168</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403"/>
      <c r="B4" s="3404"/>
      <c r="C4" s="3404"/>
      <c r="D4" s="3405"/>
      <c r="E4" s="3405"/>
      <c r="F4" s="3405"/>
      <c r="G4" s="3405"/>
      <c r="H4" s="3405"/>
      <c r="I4" s="3405"/>
      <c r="J4" s="3406"/>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389"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390"/>
      <c r="B8" s="198" t="s">
        <v>2828</v>
      </c>
      <c r="C8" s="2747" t="s">
        <v>3184</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400" t="s">
        <v>2831</v>
      </c>
      <c r="X8" s="3401"/>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390"/>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402"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90"/>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4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90"/>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402"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389"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402"/>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07"/>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402"/>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407"/>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408"/>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89" t="s">
        <v>2874</v>
      </c>
      <c r="B16" s="2742" t="s">
        <v>2875</v>
      </c>
      <c r="C16" s="1799">
        <f>ROUND(SUM(G17:J17)/C17,0)</f>
        <v>16</v>
      </c>
      <c r="D16" s="2776" t="s">
        <v>2876</v>
      </c>
      <c r="E16" s="2777" t="s">
        <v>3169</v>
      </c>
      <c r="F16" s="2778" t="s">
        <v>3170</v>
      </c>
      <c r="G16" s="2779" t="s">
        <v>3171</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90"/>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3172</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3173</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97"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98"/>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98"/>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399"/>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3074</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3074</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3075</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3075</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3074</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3075</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3075</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3075</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3074</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391" t="s">
        <v>2963</v>
      </c>
      <c r="B90" s="3391"/>
      <c r="C90" s="3391"/>
      <c r="D90" s="3391"/>
      <c r="E90" s="3391"/>
      <c r="F90" s="3391"/>
      <c r="G90" s="3391"/>
      <c r="H90" s="3391"/>
      <c r="I90" s="3391"/>
      <c r="J90" s="3391"/>
      <c r="K90" s="2889"/>
      <c r="L90" s="2889"/>
      <c r="M90" s="2889"/>
      <c r="N90" s="2889"/>
    </row>
    <row r="91" spans="1:37">
      <c r="A91" s="3393" t="s">
        <v>2964</v>
      </c>
      <c r="B91" s="3393" t="s">
        <v>2965</v>
      </c>
      <c r="C91" s="2843" t="s">
        <v>2966</v>
      </c>
      <c r="D91" s="2844"/>
      <c r="E91" s="2844"/>
      <c r="F91" s="2844"/>
      <c r="G91" s="2844"/>
      <c r="H91" s="2844"/>
      <c r="I91" s="2844"/>
      <c r="J91" s="2890"/>
      <c r="K91" s="2891"/>
      <c r="L91" s="2891"/>
      <c r="M91" s="2891"/>
      <c r="N91" s="2891"/>
    </row>
    <row r="92" spans="1:37">
      <c r="A92" s="3393"/>
      <c r="B92" s="3393"/>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394"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9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9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9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9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9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95"/>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396"/>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394"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395"/>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395"/>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395"/>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395"/>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395"/>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395"/>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395"/>
      <c r="B108" s="3247"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396"/>
      <c r="B109" s="3248"/>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392" t="s">
        <v>2971</v>
      </c>
      <c r="B110" s="3392"/>
      <c r="C110" s="3392"/>
      <c r="D110" s="3392"/>
      <c r="E110" s="3392"/>
      <c r="F110" s="3392"/>
      <c r="G110" s="3392"/>
      <c r="H110" s="3392"/>
      <c r="I110" s="3392"/>
      <c r="J110" s="3392"/>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09" t="s">
        <v>183</v>
      </c>
      <c r="B18" s="879" t="s">
        <v>560</v>
      </c>
      <c r="C18" s="880" t="s">
        <v>561</v>
      </c>
      <c r="D18" s="881"/>
      <c r="E18" s="879">
        <v>1</v>
      </c>
      <c r="F18" s="882" t="s">
        <v>562</v>
      </c>
      <c r="G18" s="883"/>
      <c r="H18" s="875"/>
      <c r="I18" s="875"/>
    </row>
    <row r="19" spans="1:9" s="884" customFormat="1" ht="19.5" customHeight="1">
      <c r="A19" s="3409"/>
      <c r="B19" s="3409" t="s">
        <v>563</v>
      </c>
      <c r="C19" s="880" t="s">
        <v>564</v>
      </c>
      <c r="D19" s="881"/>
      <c r="E19" s="879">
        <v>0.9</v>
      </c>
      <c r="F19" s="882" t="s">
        <v>565</v>
      </c>
      <c r="G19" s="883"/>
      <c r="H19" s="875"/>
      <c r="I19" s="875"/>
    </row>
    <row r="20" spans="1:9" s="884" customFormat="1" ht="19.5" customHeight="1">
      <c r="A20" s="3409"/>
      <c r="B20" s="3409"/>
      <c r="C20" s="880" t="s">
        <v>566</v>
      </c>
      <c r="D20" s="881"/>
      <c r="E20" s="879">
        <v>1.1000000000000001</v>
      </c>
      <c r="F20" s="882" t="s">
        <v>567</v>
      </c>
      <c r="G20" s="883"/>
      <c r="H20" s="875"/>
      <c r="I20" s="875"/>
    </row>
    <row r="21" spans="1:9" s="884" customFormat="1" ht="19.5" customHeight="1">
      <c r="A21" s="3409"/>
      <c r="B21" s="3409"/>
      <c r="C21" s="880" t="s">
        <v>568</v>
      </c>
      <c r="D21" s="881"/>
      <c r="E21" s="879">
        <v>0.8</v>
      </c>
      <c r="F21" s="882" t="s">
        <v>569</v>
      </c>
      <c r="G21" s="883"/>
      <c r="H21" s="875"/>
      <c r="I21" s="875"/>
    </row>
    <row r="22" spans="1:9" s="884" customFormat="1" ht="19.5" customHeight="1">
      <c r="A22" s="3409"/>
      <c r="B22" s="3409"/>
      <c r="C22" s="880" t="s">
        <v>570</v>
      </c>
      <c r="D22" s="881"/>
      <c r="E22" s="879">
        <v>0.5</v>
      </c>
      <c r="F22" s="882"/>
      <c r="G22" s="883"/>
      <c r="H22" s="875"/>
      <c r="I22" s="875"/>
    </row>
    <row r="23" spans="1:9" s="884" customFormat="1" ht="19.5" customHeight="1">
      <c r="A23" s="3409" t="s">
        <v>184</v>
      </c>
      <c r="B23" s="879" t="s">
        <v>560</v>
      </c>
      <c r="C23" s="880" t="s">
        <v>571</v>
      </c>
      <c r="D23" s="881"/>
      <c r="E23" s="879">
        <v>1</v>
      </c>
      <c r="F23" s="882" t="s">
        <v>572</v>
      </c>
      <c r="G23" s="883"/>
      <c r="H23" s="875"/>
      <c r="I23" s="875"/>
    </row>
    <row r="24" spans="1:9" s="884" customFormat="1" ht="19.5" customHeight="1">
      <c r="A24" s="3409"/>
      <c r="B24" s="3409" t="s">
        <v>563</v>
      </c>
      <c r="C24" s="880" t="s">
        <v>573</v>
      </c>
      <c r="D24" s="881"/>
      <c r="E24" s="879">
        <v>0.5</v>
      </c>
      <c r="F24" s="882"/>
      <c r="G24" s="883"/>
      <c r="H24" s="875"/>
      <c r="I24" s="875"/>
    </row>
    <row r="25" spans="1:9" s="884" customFormat="1" ht="19.5" customHeight="1">
      <c r="A25" s="3409"/>
      <c r="B25" s="3409"/>
      <c r="C25" s="880" t="s">
        <v>574</v>
      </c>
      <c r="D25" s="881"/>
      <c r="E25" s="879">
        <v>1.1000000000000001</v>
      </c>
      <c r="F25" s="882"/>
      <c r="G25" s="883"/>
      <c r="H25" s="875"/>
      <c r="I25" s="875"/>
    </row>
    <row r="26" spans="1:9" s="884" customFormat="1" ht="19.5" customHeight="1">
      <c r="A26" s="3409"/>
      <c r="B26" s="3409"/>
      <c r="C26" s="880" t="s">
        <v>575</v>
      </c>
      <c r="D26" s="881"/>
      <c r="E26" s="879">
        <v>1.1000000000000001</v>
      </c>
      <c r="F26" s="882"/>
      <c r="G26" s="883"/>
      <c r="H26" s="875"/>
      <c r="I26" s="875"/>
    </row>
    <row r="27" spans="1:9" s="884" customFormat="1" ht="19.5" customHeight="1">
      <c r="A27" s="3409"/>
      <c r="B27" s="3409"/>
      <c r="C27" s="880" t="s">
        <v>576</v>
      </c>
      <c r="D27" s="881"/>
      <c r="E27" s="879">
        <v>0.9</v>
      </c>
      <c r="F27" s="882" t="s">
        <v>577</v>
      </c>
      <c r="G27" s="883"/>
      <c r="H27" s="875"/>
      <c r="I27" s="875"/>
    </row>
    <row r="28" spans="1:9" s="884" customFormat="1" ht="19.5" customHeight="1">
      <c r="A28" s="3409"/>
      <c r="B28" s="3409"/>
      <c r="C28" s="880" t="s">
        <v>578</v>
      </c>
      <c r="D28" s="881"/>
      <c r="E28" s="879">
        <v>0.9</v>
      </c>
      <c r="F28" s="882" t="s">
        <v>579</v>
      </c>
      <c r="G28" s="883"/>
      <c r="H28" s="875"/>
      <c r="I28" s="875"/>
    </row>
    <row r="29" spans="1:9" s="884" customFormat="1" ht="19.5" customHeight="1">
      <c r="A29" s="3409"/>
      <c r="B29" s="3409"/>
      <c r="C29" s="880" t="s">
        <v>580</v>
      </c>
      <c r="D29" s="881"/>
      <c r="E29" s="879">
        <v>0.9</v>
      </c>
      <c r="F29" s="882" t="s">
        <v>581</v>
      </c>
      <c r="G29" s="883"/>
      <c r="H29" s="875"/>
      <c r="I29" s="875"/>
    </row>
    <row r="30" spans="1:9" s="884" customFormat="1" ht="19.5" customHeight="1">
      <c r="A30" s="3409"/>
      <c r="B30" s="3409"/>
      <c r="C30" s="880" t="s">
        <v>582</v>
      </c>
      <c r="D30" s="881"/>
      <c r="E30" s="879">
        <v>0.9</v>
      </c>
      <c r="F30" s="882" t="s">
        <v>583</v>
      </c>
      <c r="G30" s="883"/>
      <c r="H30" s="875"/>
      <c r="I30" s="875"/>
    </row>
    <row r="31" spans="1:9" s="884" customFormat="1" ht="19.5" customHeight="1">
      <c r="A31" s="3409"/>
      <c r="B31" s="3409"/>
      <c r="C31" s="880" t="s">
        <v>584</v>
      </c>
      <c r="D31" s="881"/>
      <c r="E31" s="879">
        <v>0.8</v>
      </c>
      <c r="F31" s="882" t="s">
        <v>585</v>
      </c>
      <c r="G31" s="883"/>
      <c r="H31" s="875"/>
      <c r="I31" s="875"/>
    </row>
    <row r="32" spans="1:9" s="884" customFormat="1" ht="19.5" customHeight="1">
      <c r="A32" s="3409"/>
      <c r="B32" s="3409"/>
      <c r="C32" s="880" t="s">
        <v>586</v>
      </c>
      <c r="D32" s="881"/>
      <c r="E32" s="879">
        <v>0.8</v>
      </c>
      <c r="F32" s="882" t="s">
        <v>587</v>
      </c>
      <c r="G32" s="883"/>
      <c r="H32" s="875"/>
      <c r="I32" s="875"/>
    </row>
    <row r="33" spans="1:9" s="884" customFormat="1" ht="19.5" customHeight="1">
      <c r="A33" s="3409" t="s">
        <v>185</v>
      </c>
      <c r="B33" s="879" t="s">
        <v>560</v>
      </c>
      <c r="C33" s="880" t="s">
        <v>588</v>
      </c>
      <c r="D33" s="881"/>
      <c r="E33" s="879">
        <v>1</v>
      </c>
      <c r="F33" s="882" t="s">
        <v>589</v>
      </c>
      <c r="G33" s="883"/>
      <c r="H33" s="875"/>
      <c r="I33" s="875"/>
    </row>
    <row r="34" spans="1:9" s="884" customFormat="1" ht="19.5" customHeight="1">
      <c r="A34" s="3409"/>
      <c r="B34" s="879" t="s">
        <v>563</v>
      </c>
      <c r="C34" s="880" t="s">
        <v>590</v>
      </c>
      <c r="D34" s="881"/>
      <c r="E34" s="879">
        <v>1.5</v>
      </c>
      <c r="F34" s="882" t="s">
        <v>591</v>
      </c>
      <c r="G34" s="883"/>
      <c r="H34" s="875"/>
      <c r="I34" s="875"/>
    </row>
    <row r="35" spans="1:9" s="884" customFormat="1" ht="19.5" customHeight="1">
      <c r="A35" s="3409" t="s">
        <v>186</v>
      </c>
      <c r="B35" s="879" t="s">
        <v>560</v>
      </c>
      <c r="C35" s="880" t="s">
        <v>592</v>
      </c>
      <c r="D35" s="881"/>
      <c r="E35" s="879">
        <v>1</v>
      </c>
      <c r="F35" s="882" t="s">
        <v>593</v>
      </c>
      <c r="G35" s="883"/>
      <c r="H35" s="875"/>
      <c r="I35" s="875"/>
    </row>
    <row r="36" spans="1:9" s="884" customFormat="1" ht="19.5" customHeight="1">
      <c r="A36" s="3409"/>
      <c r="B36" s="3409" t="s">
        <v>563</v>
      </c>
      <c r="C36" s="880" t="s">
        <v>594</v>
      </c>
      <c r="D36" s="881"/>
      <c r="E36" s="879">
        <v>1</v>
      </c>
      <c r="F36" s="882" t="s">
        <v>595</v>
      </c>
      <c r="G36" s="883"/>
      <c r="H36" s="875"/>
      <c r="I36" s="875"/>
    </row>
    <row r="37" spans="1:9" s="884" customFormat="1" ht="19.5" customHeight="1">
      <c r="A37" s="3409"/>
      <c r="B37" s="3409"/>
      <c r="C37" s="880" t="s">
        <v>596</v>
      </c>
      <c r="D37" s="881"/>
      <c r="E37" s="879">
        <v>1.5</v>
      </c>
      <c r="F37" s="882" t="s">
        <v>597</v>
      </c>
      <c r="G37" s="883"/>
      <c r="H37" s="875"/>
      <c r="I37" s="875"/>
    </row>
    <row r="38" spans="1:9" s="884" customFormat="1" ht="19.5" customHeight="1">
      <c r="A38" s="3409"/>
      <c r="B38" s="3409"/>
      <c r="C38" s="880" t="s">
        <v>598</v>
      </c>
      <c r="D38" s="881"/>
      <c r="E38" s="879">
        <v>1</v>
      </c>
      <c r="F38" s="882" t="s">
        <v>599</v>
      </c>
      <c r="G38" s="883"/>
      <c r="H38" s="875"/>
      <c r="I38" s="875"/>
    </row>
    <row r="39" spans="1:9" s="884" customFormat="1" ht="19.5" customHeight="1">
      <c r="A39" s="3409"/>
      <c r="B39" s="340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09" t="s">
        <v>614</v>
      </c>
      <c r="C61" s="815" t="s">
        <v>615</v>
      </c>
      <c r="D61" s="815" t="s">
        <v>616</v>
      </c>
      <c r="E61" s="892">
        <v>0.5</v>
      </c>
      <c r="F61" s="879">
        <v>80</v>
      </c>
    </row>
    <row r="62" spans="1:8" s="875" customFormat="1" ht="24">
      <c r="A62" s="879">
        <v>2</v>
      </c>
      <c r="B62" s="3409"/>
      <c r="C62" s="815" t="s">
        <v>617</v>
      </c>
      <c r="D62" s="815" t="s">
        <v>618</v>
      </c>
      <c r="E62" s="892">
        <v>0.5</v>
      </c>
      <c r="F62" s="879">
        <v>80</v>
      </c>
    </row>
    <row r="63" spans="1:8" s="875" customFormat="1" ht="36">
      <c r="A63" s="879">
        <v>3</v>
      </c>
      <c r="B63" s="3409"/>
      <c r="C63" s="815" t="s">
        <v>619</v>
      </c>
      <c r="D63" s="815" t="s">
        <v>620</v>
      </c>
      <c r="E63" s="892">
        <v>0.5</v>
      </c>
      <c r="F63" s="879">
        <v>80</v>
      </c>
    </row>
    <row r="64" spans="1:8" s="875" customFormat="1" ht="36">
      <c r="A64" s="879">
        <v>4</v>
      </c>
      <c r="B64" s="3409"/>
      <c r="C64" s="815" t="s">
        <v>621</v>
      </c>
      <c r="D64" s="815" t="s">
        <v>622</v>
      </c>
      <c r="E64" s="892">
        <v>0.4</v>
      </c>
      <c r="F64" s="879">
        <v>60</v>
      </c>
    </row>
    <row r="65" spans="1:6" s="875" customFormat="1" ht="36">
      <c r="A65" s="879">
        <v>5</v>
      </c>
      <c r="B65" s="3409"/>
      <c r="C65" s="815" t="s">
        <v>623</v>
      </c>
      <c r="D65" s="815" t="s">
        <v>624</v>
      </c>
      <c r="E65" s="892">
        <v>0.2</v>
      </c>
      <c r="F65" s="879">
        <v>30</v>
      </c>
    </row>
    <row r="66" spans="1:6" s="875" customFormat="1" ht="36">
      <c r="A66" s="879">
        <v>6</v>
      </c>
      <c r="B66" s="3409"/>
      <c r="C66" s="815" t="s">
        <v>625</v>
      </c>
      <c r="D66" s="815" t="s">
        <v>626</v>
      </c>
      <c r="E66" s="892">
        <v>0.3</v>
      </c>
      <c r="F66" s="879">
        <v>50</v>
      </c>
    </row>
    <row r="67" spans="1:6" s="875" customFormat="1" ht="36">
      <c r="A67" s="879">
        <v>7</v>
      </c>
      <c r="B67" s="3409"/>
      <c r="C67" s="815" t="s">
        <v>627</v>
      </c>
      <c r="D67" s="815" t="s">
        <v>628</v>
      </c>
      <c r="E67" s="892">
        <v>0.2</v>
      </c>
      <c r="F67" s="879">
        <v>30</v>
      </c>
    </row>
    <row r="68" spans="1:6" s="875" customFormat="1" ht="36">
      <c r="A68" s="879">
        <v>8</v>
      </c>
      <c r="B68" s="3409"/>
      <c r="C68" s="815" t="s">
        <v>629</v>
      </c>
      <c r="D68" s="815" t="s">
        <v>630</v>
      </c>
      <c r="E68" s="892">
        <v>0.2</v>
      </c>
      <c r="F68" s="879">
        <v>30</v>
      </c>
    </row>
    <row r="69" spans="1:6" s="875" customFormat="1" ht="36">
      <c r="A69" s="879">
        <v>9</v>
      </c>
      <c r="B69" s="3409"/>
      <c r="C69" s="815" t="s">
        <v>631</v>
      </c>
      <c r="D69" s="815" t="s">
        <v>632</v>
      </c>
      <c r="E69" s="892">
        <v>0.2</v>
      </c>
      <c r="F69" s="879">
        <v>30</v>
      </c>
    </row>
    <row r="70" spans="1:6" s="875" customFormat="1" ht="48">
      <c r="A70" s="879">
        <v>10</v>
      </c>
      <c r="B70" s="3409"/>
      <c r="C70" s="815" t="s">
        <v>633</v>
      </c>
      <c r="D70" s="815" t="s">
        <v>634</v>
      </c>
      <c r="E70" s="892">
        <v>0.2</v>
      </c>
      <c r="F70" s="879">
        <v>30</v>
      </c>
    </row>
    <row r="71" spans="1:6" s="875" customFormat="1" ht="48">
      <c r="A71" s="879">
        <v>11</v>
      </c>
      <c r="B71" s="3409"/>
      <c r="C71" s="815" t="s">
        <v>635</v>
      </c>
      <c r="D71" s="815" t="s">
        <v>636</v>
      </c>
      <c r="E71" s="892">
        <v>0.2</v>
      </c>
      <c r="F71" s="879">
        <v>30</v>
      </c>
    </row>
    <row r="72" spans="1:6" s="875" customFormat="1" ht="36">
      <c r="A72" s="879">
        <v>12</v>
      </c>
      <c r="B72" s="3409"/>
      <c r="C72" s="815" t="s">
        <v>637</v>
      </c>
      <c r="D72" s="815" t="s">
        <v>638</v>
      </c>
      <c r="E72" s="892">
        <v>0.5</v>
      </c>
      <c r="F72" s="879">
        <v>80</v>
      </c>
    </row>
    <row r="73" spans="1:6" s="875" customFormat="1" ht="24">
      <c r="A73" s="879">
        <v>13</v>
      </c>
      <c r="B73" s="3409"/>
      <c r="C73" s="815" t="s">
        <v>639</v>
      </c>
      <c r="D73" s="815" t="s">
        <v>640</v>
      </c>
      <c r="E73" s="892">
        <v>0.4</v>
      </c>
      <c r="F73" s="879">
        <v>60</v>
      </c>
    </row>
    <row r="74" spans="1:6" s="875" customFormat="1" ht="24">
      <c r="A74" s="879">
        <v>14</v>
      </c>
      <c r="B74" s="3409"/>
      <c r="C74" s="815" t="s">
        <v>641</v>
      </c>
      <c r="D74" s="815" t="s">
        <v>642</v>
      </c>
      <c r="E74" s="892">
        <v>0.2</v>
      </c>
      <c r="F74" s="879">
        <v>30</v>
      </c>
    </row>
    <row r="75" spans="1:6" s="875" customFormat="1" ht="24">
      <c r="A75" s="879">
        <v>15</v>
      </c>
      <c r="B75" s="3409"/>
      <c r="C75" s="815" t="s">
        <v>643</v>
      </c>
      <c r="D75" s="815" t="s">
        <v>644</v>
      </c>
      <c r="E75" s="892">
        <v>0.2</v>
      </c>
      <c r="F75" s="879">
        <v>30</v>
      </c>
    </row>
    <row r="76" spans="1:6" s="875" customFormat="1" ht="24">
      <c r="A76" s="879">
        <v>16</v>
      </c>
      <c r="B76" s="3409" t="s">
        <v>645</v>
      </c>
      <c r="C76" s="815" t="s">
        <v>646</v>
      </c>
      <c r="D76" s="815" t="s">
        <v>647</v>
      </c>
      <c r="E76" s="892">
        <v>0.5</v>
      </c>
      <c r="F76" s="879">
        <v>80</v>
      </c>
    </row>
    <row r="77" spans="1:6" s="875" customFormat="1" ht="24">
      <c r="A77" s="879">
        <v>17</v>
      </c>
      <c r="B77" s="3409"/>
      <c r="C77" s="815" t="s">
        <v>648</v>
      </c>
      <c r="D77" s="815" t="s">
        <v>649</v>
      </c>
      <c r="E77" s="892">
        <v>0.5</v>
      </c>
      <c r="F77" s="879">
        <v>80</v>
      </c>
    </row>
    <row r="78" spans="1:6" s="875" customFormat="1" ht="24">
      <c r="A78" s="879">
        <v>18</v>
      </c>
      <c r="B78" s="3409"/>
      <c r="C78" s="815" t="s">
        <v>650</v>
      </c>
      <c r="D78" s="815" t="s">
        <v>651</v>
      </c>
      <c r="E78" s="892">
        <v>0.2</v>
      </c>
      <c r="F78" s="879">
        <v>30</v>
      </c>
    </row>
    <row r="79" spans="1:6" s="875" customFormat="1" ht="24">
      <c r="A79" s="879">
        <v>19</v>
      </c>
      <c r="B79" s="3409"/>
      <c r="C79" s="815" t="s">
        <v>652</v>
      </c>
      <c r="D79" s="815" t="s">
        <v>653</v>
      </c>
      <c r="E79" s="892">
        <v>0.5</v>
      </c>
      <c r="F79" s="879">
        <v>80</v>
      </c>
    </row>
    <row r="80" spans="1:6" s="875" customFormat="1" ht="36">
      <c r="A80" s="879">
        <v>20</v>
      </c>
      <c r="B80" s="3409"/>
      <c r="C80" s="815" t="s">
        <v>654</v>
      </c>
      <c r="D80" s="815" t="s">
        <v>655</v>
      </c>
      <c r="E80" s="892">
        <v>0.2</v>
      </c>
      <c r="F80" s="879">
        <v>30</v>
      </c>
    </row>
    <row r="81" spans="1:6" s="875" customFormat="1" ht="36">
      <c r="A81" s="879">
        <v>21</v>
      </c>
      <c r="B81" s="3409"/>
      <c r="C81" s="815" t="s">
        <v>656</v>
      </c>
      <c r="D81" s="815" t="s">
        <v>657</v>
      </c>
      <c r="E81" s="892">
        <v>0.2</v>
      </c>
      <c r="F81" s="879">
        <v>30</v>
      </c>
    </row>
    <row r="82" spans="1:6" s="875" customFormat="1" ht="48">
      <c r="A82" s="879">
        <v>22</v>
      </c>
      <c r="B82" s="3409"/>
      <c r="C82" s="815" t="s">
        <v>658</v>
      </c>
      <c r="D82" s="815" t="s">
        <v>659</v>
      </c>
      <c r="E82" s="892">
        <v>0.2</v>
      </c>
      <c r="F82" s="879">
        <v>30</v>
      </c>
    </row>
    <row r="83" spans="1:6" s="875" customFormat="1" ht="48">
      <c r="A83" s="879">
        <v>23</v>
      </c>
      <c r="B83" s="3409"/>
      <c r="C83" s="815" t="s">
        <v>660</v>
      </c>
      <c r="D83" s="815" t="s">
        <v>661</v>
      </c>
      <c r="E83" s="892">
        <v>0.2</v>
      </c>
      <c r="F83" s="879">
        <v>30</v>
      </c>
    </row>
    <row r="84" spans="1:6" s="875" customFormat="1" ht="36">
      <c r="A84" s="879">
        <v>24</v>
      </c>
      <c r="B84" s="3409"/>
      <c r="C84" s="815" t="s">
        <v>662</v>
      </c>
      <c r="D84" s="815" t="s">
        <v>663</v>
      </c>
      <c r="E84" s="892">
        <v>0.2</v>
      </c>
      <c r="F84" s="879">
        <v>30</v>
      </c>
    </row>
    <row r="85" spans="1:6" s="875" customFormat="1" ht="36">
      <c r="A85" s="879">
        <v>25</v>
      </c>
      <c r="B85" s="3409"/>
      <c r="C85" s="815" t="s">
        <v>664</v>
      </c>
      <c r="D85" s="815" t="s">
        <v>665</v>
      </c>
      <c r="E85" s="892">
        <v>0.5</v>
      </c>
      <c r="F85" s="879">
        <v>80</v>
      </c>
    </row>
    <row r="86" spans="1:6" s="875" customFormat="1" ht="36">
      <c r="A86" s="879">
        <v>26</v>
      </c>
      <c r="B86" s="3409"/>
      <c r="C86" s="815" t="s">
        <v>666</v>
      </c>
      <c r="D86" s="815" t="s">
        <v>667</v>
      </c>
      <c r="E86" s="892">
        <v>0.2</v>
      </c>
      <c r="F86" s="879">
        <v>30</v>
      </c>
    </row>
    <row r="87" spans="1:6" s="875" customFormat="1" ht="36">
      <c r="A87" s="879">
        <v>27</v>
      </c>
      <c r="B87" s="3409"/>
      <c r="C87" s="815" t="s">
        <v>668</v>
      </c>
      <c r="D87" s="815" t="s">
        <v>669</v>
      </c>
      <c r="E87" s="892">
        <v>0.2</v>
      </c>
      <c r="F87" s="879">
        <v>30</v>
      </c>
    </row>
    <row r="88" spans="1:6" s="875" customFormat="1" ht="36">
      <c r="A88" s="879">
        <v>28</v>
      </c>
      <c r="B88" s="3409"/>
      <c r="C88" s="815" t="s">
        <v>670</v>
      </c>
      <c r="D88" s="815" t="s">
        <v>671</v>
      </c>
      <c r="E88" s="892">
        <v>0.2</v>
      </c>
      <c r="F88" s="879">
        <v>30</v>
      </c>
    </row>
    <row r="89" spans="1:6" s="875" customFormat="1" ht="24">
      <c r="A89" s="879">
        <v>29</v>
      </c>
      <c r="B89" s="3409"/>
      <c r="C89" s="815" t="s">
        <v>672</v>
      </c>
      <c r="D89" s="815" t="s">
        <v>673</v>
      </c>
      <c r="E89" s="892">
        <v>0.2</v>
      </c>
      <c r="F89" s="879">
        <v>30</v>
      </c>
    </row>
    <row r="90" spans="1:6" s="875" customFormat="1" ht="24">
      <c r="A90" s="879">
        <v>30</v>
      </c>
      <c r="B90" s="3409"/>
      <c r="C90" s="815" t="s">
        <v>674</v>
      </c>
      <c r="D90" s="815" t="s">
        <v>675</v>
      </c>
      <c r="E90" s="892">
        <v>0.2</v>
      </c>
      <c r="F90" s="879">
        <v>30</v>
      </c>
    </row>
    <row r="91" spans="1:6" s="875" customFormat="1" ht="36">
      <c r="A91" s="879">
        <v>31</v>
      </c>
      <c r="B91" s="3409"/>
      <c r="C91" s="815" t="s">
        <v>676</v>
      </c>
      <c r="D91" s="815" t="s">
        <v>677</v>
      </c>
      <c r="E91" s="892">
        <v>0.2</v>
      </c>
      <c r="F91" s="879">
        <v>30</v>
      </c>
    </row>
    <row r="92" spans="1:6" s="875" customFormat="1" ht="24">
      <c r="A92" s="879">
        <v>32</v>
      </c>
      <c r="B92" s="3409" t="s">
        <v>678</v>
      </c>
      <c r="C92" s="879" t="s">
        <v>679</v>
      </c>
      <c r="D92" s="815" t="s">
        <v>680</v>
      </c>
      <c r="E92" s="892">
        <v>0.2</v>
      </c>
      <c r="F92" s="879">
        <v>30</v>
      </c>
    </row>
    <row r="93" spans="1:6" s="875" customFormat="1" ht="36">
      <c r="A93" s="879">
        <v>33</v>
      </c>
      <c r="B93" s="3409"/>
      <c r="C93" s="879" t="s">
        <v>681</v>
      </c>
      <c r="D93" s="815" t="s">
        <v>682</v>
      </c>
      <c r="E93" s="892">
        <v>0.2</v>
      </c>
      <c r="F93" s="879">
        <v>30</v>
      </c>
    </row>
    <row r="94" spans="1:6" s="875" customFormat="1" ht="48">
      <c r="A94" s="879">
        <v>34</v>
      </c>
      <c r="B94" s="3409"/>
      <c r="C94" s="879" t="s">
        <v>683</v>
      </c>
      <c r="D94" s="815" t="s">
        <v>684</v>
      </c>
      <c r="E94" s="892">
        <v>0.2</v>
      </c>
      <c r="F94" s="879">
        <v>30</v>
      </c>
    </row>
    <row r="95" spans="1:6" s="875" customFormat="1" ht="36">
      <c r="A95" s="879">
        <v>35</v>
      </c>
      <c r="B95" s="3409"/>
      <c r="C95" s="879" t="s">
        <v>685</v>
      </c>
      <c r="D95" s="815" t="s">
        <v>686</v>
      </c>
      <c r="E95" s="892">
        <v>0.2</v>
      </c>
      <c r="F95" s="879">
        <v>30</v>
      </c>
    </row>
    <row r="96" spans="1:6" s="875" customFormat="1" ht="48">
      <c r="A96" s="879">
        <v>36</v>
      </c>
      <c r="B96" s="3409"/>
      <c r="C96" s="815" t="s">
        <v>687</v>
      </c>
      <c r="D96" s="815" t="s">
        <v>688</v>
      </c>
      <c r="E96" s="892">
        <v>0.2</v>
      </c>
      <c r="F96" s="879">
        <v>30</v>
      </c>
    </row>
    <row r="97" spans="1:6" s="875" customFormat="1" ht="36">
      <c r="A97" s="879">
        <v>37</v>
      </c>
      <c r="B97" s="3409"/>
      <c r="C97" s="879" t="s">
        <v>689</v>
      </c>
      <c r="D97" s="815" t="s">
        <v>690</v>
      </c>
      <c r="E97" s="892">
        <v>0.2</v>
      </c>
      <c r="F97" s="879">
        <v>30</v>
      </c>
    </row>
    <row r="98" spans="1:6" s="875" customFormat="1" ht="36">
      <c r="A98" s="879">
        <v>38</v>
      </c>
      <c r="B98" s="3409"/>
      <c r="C98" s="879" t="s">
        <v>691</v>
      </c>
      <c r="D98" s="815" t="s">
        <v>692</v>
      </c>
      <c r="E98" s="892">
        <v>0.2</v>
      </c>
      <c r="F98" s="879">
        <v>30</v>
      </c>
    </row>
    <row r="99" spans="1:6" s="875" customFormat="1" ht="36">
      <c r="A99" s="879">
        <v>39</v>
      </c>
      <c r="B99" s="3409" t="s">
        <v>693</v>
      </c>
      <c r="C99" s="879" t="s">
        <v>694</v>
      </c>
      <c r="D99" s="815" t="s">
        <v>695</v>
      </c>
      <c r="E99" s="892">
        <v>0.3</v>
      </c>
      <c r="F99" s="879">
        <v>50</v>
      </c>
    </row>
    <row r="100" spans="1:6" s="875" customFormat="1" ht="24">
      <c r="A100" s="879">
        <v>40</v>
      </c>
      <c r="B100" s="3409"/>
      <c r="C100" s="879" t="s">
        <v>696</v>
      </c>
      <c r="D100" s="815" t="s">
        <v>697</v>
      </c>
      <c r="E100" s="892">
        <v>0.2</v>
      </c>
      <c r="F100" s="879">
        <v>30</v>
      </c>
    </row>
    <row r="101" spans="1:6" s="875" customFormat="1" ht="36">
      <c r="A101" s="879">
        <v>41</v>
      </c>
      <c r="B101" s="340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9" t="s">
        <v>708</v>
      </c>
      <c r="C105" s="879" t="s">
        <v>709</v>
      </c>
      <c r="D105" s="815" t="s">
        <v>710</v>
      </c>
      <c r="E105" s="892">
        <v>0.2</v>
      </c>
      <c r="F105" s="879">
        <v>30</v>
      </c>
    </row>
    <row r="106" spans="1:6" s="875" customFormat="1" ht="36">
      <c r="A106" s="879">
        <v>46</v>
      </c>
      <c r="B106" s="3409"/>
      <c r="C106" s="879" t="s">
        <v>711</v>
      </c>
      <c r="D106" s="815" t="s">
        <v>712</v>
      </c>
      <c r="E106" s="892">
        <v>0.2</v>
      </c>
      <c r="F106" s="879">
        <v>30</v>
      </c>
    </row>
    <row r="107" spans="1:6" s="875" customFormat="1" ht="36">
      <c r="A107" s="879">
        <v>47</v>
      </c>
      <c r="B107" s="3409" t="s">
        <v>713</v>
      </c>
      <c r="C107" s="879" t="s">
        <v>714</v>
      </c>
      <c r="D107" s="815" t="s">
        <v>715</v>
      </c>
      <c r="E107" s="892">
        <v>0.3</v>
      </c>
      <c r="F107" s="879">
        <v>50</v>
      </c>
    </row>
    <row r="108" spans="1:6" s="875" customFormat="1" ht="36">
      <c r="A108" s="879">
        <v>48</v>
      </c>
      <c r="B108" s="340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9" t="s">
        <v>724</v>
      </c>
      <c r="C111" s="879" t="s">
        <v>725</v>
      </c>
      <c r="D111" s="815" t="s">
        <v>726</v>
      </c>
      <c r="E111" s="892">
        <v>0.2</v>
      </c>
      <c r="F111" s="879">
        <v>30</v>
      </c>
    </row>
    <row r="112" spans="1:6" s="875" customFormat="1" ht="24">
      <c r="A112" s="879">
        <v>52</v>
      </c>
      <c r="B112" s="3409"/>
      <c r="C112" s="879" t="s">
        <v>727</v>
      </c>
      <c r="D112" s="815" t="s">
        <v>728</v>
      </c>
      <c r="E112" s="892">
        <v>0.2</v>
      </c>
      <c r="F112" s="879">
        <v>30</v>
      </c>
    </row>
    <row r="113" spans="1:6" s="875" customFormat="1" ht="24">
      <c r="A113" s="879">
        <v>53</v>
      </c>
      <c r="B113" s="340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9" t="s">
        <v>737</v>
      </c>
      <c r="C116" s="879" t="s">
        <v>738</v>
      </c>
      <c r="D116" s="815" t="s">
        <v>739</v>
      </c>
      <c r="E116" s="892">
        <v>0.2</v>
      </c>
      <c r="F116" s="879">
        <v>30</v>
      </c>
    </row>
    <row r="117" spans="1:6" ht="36">
      <c r="A117" s="879">
        <v>57</v>
      </c>
      <c r="B117" s="340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959"/>
      <c r="B4" s="3101" t="s">
        <v>1626</v>
      </c>
      <c r="C4" s="3101"/>
      <c r="D4" s="3101"/>
      <c r="E4" s="1959"/>
    </row>
    <row r="5" spans="1:5" ht="16.5" thickTop="1">
      <c r="A5" s="1957"/>
      <c r="B5" s="3099" t="s">
        <v>1618</v>
      </c>
      <c r="C5" s="1960" t="s">
        <v>1619</v>
      </c>
      <c r="D5" s="1040">
        <f ca="1">'结果表（典型户型价值）'!H101</f>
        <v>385</v>
      </c>
      <c r="E5" s="1957"/>
    </row>
    <row r="6" spans="1:5" ht="15.75">
      <c r="A6" s="1957"/>
      <c r="B6" s="3099"/>
      <c r="C6" s="1960" t="s">
        <v>1620</v>
      </c>
      <c r="D6" s="1040" t="str">
        <f ca="1">NUMBERSTRING(INT(D5*10000),2)&amp;"元整"</f>
        <v>叁佰捌拾伍万元整</v>
      </c>
      <c r="E6" s="1957"/>
    </row>
    <row r="7" spans="1:5" ht="15.75">
      <c r="A7" s="1957"/>
      <c r="B7" s="3104"/>
      <c r="C7" s="1961" t="s">
        <v>1621</v>
      </c>
      <c r="D7" s="1041">
        <f ca="1">'结果表（典型户型价值）'!H102</f>
        <v>33133</v>
      </c>
      <c r="E7" s="1957"/>
    </row>
    <row r="8" spans="1:5" ht="15.75">
      <c r="A8" s="1957"/>
      <c r="B8" s="3105" t="str">
        <f>'结果表（典型户型价值）'!E103</f>
        <v>2.估价师知悉的法定优先受偿款</v>
      </c>
      <c r="C8" s="1962" t="s">
        <v>1622</v>
      </c>
      <c r="D8" s="1041">
        <f>'结果表（典型户型价值）'!H103</f>
        <v>0</v>
      </c>
      <c r="E8" s="1957"/>
    </row>
    <row r="9" spans="1:5" ht="15.75">
      <c r="A9" s="1957"/>
      <c r="B9" s="3107"/>
      <c r="C9" s="1960" t="s">
        <v>1620</v>
      </c>
      <c r="D9" s="1040" t="str">
        <f>NUMBERSTRING(INT(D8*10000),2)&amp;"元整"</f>
        <v>零元整</v>
      </c>
      <c r="E9" s="1957"/>
    </row>
    <row r="10" spans="1:5" ht="15">
      <c r="A10" s="1957"/>
      <c r="B10" s="1963" t="s">
        <v>1625</v>
      </c>
      <c r="C10" s="1964" t="s">
        <v>1623</v>
      </c>
      <c r="D10" s="1042" t="str">
        <f>'结果表（典型户型价值）'!H104</f>
        <v>1900（未扣减，详见特别提示）</v>
      </c>
      <c r="E10" s="1957"/>
    </row>
    <row r="11" spans="1:5" ht="15">
      <c r="A11" s="1957"/>
      <c r="B11" s="1963" t="s">
        <v>1627</v>
      </c>
      <c r="C11" s="1964" t="s">
        <v>1628</v>
      </c>
      <c r="D11" s="1042">
        <f>'结果表（典型户型价值）'!H105</f>
        <v>0</v>
      </c>
      <c r="E11" s="1957"/>
    </row>
    <row r="12" spans="1:5" ht="15">
      <c r="A12" s="1957"/>
      <c r="B12" s="1963" t="s">
        <v>1629</v>
      </c>
      <c r="C12" s="1964" t="s">
        <v>1628</v>
      </c>
      <c r="D12" s="1042">
        <f>'结果表（典型户型价值）'!H106</f>
        <v>0</v>
      </c>
      <c r="E12" s="1957"/>
    </row>
    <row r="13" spans="1:5" ht="15.75">
      <c r="A13" s="1957"/>
      <c r="B13" s="3098" t="str">
        <f>'结果表（典型户型价值）'!E107</f>
        <v>3.房地产抵押价值</v>
      </c>
      <c r="C13" s="1965" t="s">
        <v>1619</v>
      </c>
      <c r="D13" s="1043">
        <f ca="1">'结果表（典型户型价值）'!H107</f>
        <v>385</v>
      </c>
      <c r="E13" s="1957"/>
    </row>
    <row r="14" spans="1:5" ht="15.75">
      <c r="A14" s="1957"/>
      <c r="B14" s="3099"/>
      <c r="C14" s="1960" t="s">
        <v>1620</v>
      </c>
      <c r="D14" s="1040" t="str">
        <f ca="1">NUMBERSTRING(INT(D13*10000),2)&amp;"元整"</f>
        <v>叁佰捌拾伍万元整</v>
      </c>
      <c r="E14" s="1957"/>
    </row>
    <row r="15" spans="1:5" ht="15">
      <c r="A15" s="1957"/>
      <c r="B15" s="3104"/>
      <c r="C15" s="1961" t="s">
        <v>1630</v>
      </c>
      <c r="D15" s="1052">
        <f ca="1">'结果表（典型户型价值）'!H108</f>
        <v>3040</v>
      </c>
      <c r="E15" s="1957"/>
    </row>
    <row r="16" spans="1:5" ht="15">
      <c r="A16" s="1957"/>
      <c r="B16" s="3105" t="str">
        <f>'结果表（典型户型价值）'!E109</f>
        <v>4.抵押担保权已注销时的房地产抵押价值</v>
      </c>
      <c r="C16" s="1965" t="s">
        <v>1631</v>
      </c>
      <c r="D16" s="1966">
        <f ca="1">'结果表（典型户型价值）'!H109</f>
        <v>385</v>
      </c>
      <c r="E16" s="1957"/>
    </row>
    <row r="17" spans="1:5" ht="15.75">
      <c r="A17" s="1957"/>
      <c r="B17" s="3106"/>
      <c r="C17" s="1960" t="s">
        <v>1632</v>
      </c>
      <c r="D17" s="1040" t="str">
        <f ca="1">NUMBERSTRING(INT(D16*10000),2)&amp;"元整"</f>
        <v>叁佰捌拾伍万元整</v>
      </c>
      <c r="E17" s="1957"/>
    </row>
    <row r="18" spans="1:5" ht="15">
      <c r="A18" s="1957"/>
      <c r="B18" s="3107"/>
      <c r="C18" s="1961" t="s">
        <v>1621</v>
      </c>
      <c r="D18" s="1052">
        <f ca="1">'结果表（典型户型价值）'!H110</f>
        <v>3040</v>
      </c>
      <c r="E18" s="1957"/>
    </row>
    <row r="19" spans="1:5" ht="15.75">
      <c r="A19" s="1957"/>
      <c r="B19" s="3098" t="str">
        <f>'结果表（典型户型价值）'!E111</f>
        <v>——</v>
      </c>
      <c r="C19" s="1965" t="s">
        <v>1619</v>
      </c>
      <c r="D19" s="1041" t="str">
        <f>'结果表（典型户型价值）'!H111</f>
        <v>——</v>
      </c>
      <c r="E19" s="1957"/>
    </row>
    <row r="20" spans="1:5" ht="15.75">
      <c r="A20" s="1957"/>
      <c r="B20" s="3099"/>
      <c r="C20" s="1960" t="s">
        <v>1632</v>
      </c>
      <c r="D20" s="1040" t="e">
        <f>NUMBERSTRING(INT(D19*10000),2)&amp;"元整"</f>
        <v>#VALUE!</v>
      </c>
      <c r="E20" s="1957"/>
    </row>
    <row r="21" spans="1:5" ht="15.75" thickBot="1">
      <c r="A21" s="1957"/>
      <c r="B21" s="3100"/>
      <c r="C21" s="1967" t="s">
        <v>1630</v>
      </c>
      <c r="D21" s="1053" t="str">
        <f>'结果表（典型户型价值）'!H112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15" t="s">
        <v>1146</v>
      </c>
      <c r="C1" s="3415"/>
      <c r="D1" s="3415"/>
      <c r="E1" s="3415"/>
      <c r="F1" s="3415"/>
      <c r="G1" s="3411" t="s">
        <v>1147</v>
      </c>
      <c r="H1" s="3411"/>
      <c r="I1" s="3411"/>
      <c r="J1" s="3411"/>
      <c r="K1" s="3411"/>
      <c r="L1" s="3411"/>
      <c r="N1" s="3411" t="s">
        <v>1148</v>
      </c>
      <c r="O1" s="3411"/>
      <c r="P1" s="3411"/>
      <c r="Q1" s="3411"/>
      <c r="R1" s="1445"/>
      <c r="S1" s="3411" t="s">
        <v>1149</v>
      </c>
      <c r="T1" s="3411"/>
      <c r="U1" s="3411"/>
      <c r="V1" s="3411"/>
      <c r="X1" s="3410" t="s">
        <v>1150</v>
      </c>
      <c r="Y1" s="3411"/>
      <c r="Z1" s="3411"/>
      <c r="AA1" s="3411"/>
      <c r="AB1" s="3411"/>
      <c r="AD1" s="3410" t="s">
        <v>1151</v>
      </c>
      <c r="AE1" s="3411"/>
      <c r="AF1" s="3411"/>
      <c r="AG1" s="3411"/>
      <c r="AH1" s="341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41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413"/>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413"/>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414"/>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412">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413"/>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413"/>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414"/>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412">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413"/>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413"/>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414"/>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41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41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41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41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412">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413"/>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413"/>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414"/>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412">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413">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413">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414">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412">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413">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413">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414">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412">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413">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413">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414">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412">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413">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413">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414">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412">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413">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413">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414">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412">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413">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413">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414">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412">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413">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413">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414">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412">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413">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413">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414">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412">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413">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413">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414">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412">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413">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413">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414">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16" zoomScaleNormal="100" zoomScaleSheetLayoutView="100" workbookViewId="0">
      <selection activeCell="C36" sqref="C36"/>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427" t="s">
        <v>3188</v>
      </c>
      <c r="B1" s="3429"/>
      <c r="C1" s="3429"/>
      <c r="D1" s="3429"/>
      <c r="E1" s="3429"/>
      <c r="F1" s="3429"/>
      <c r="G1" s="3429"/>
      <c r="H1" s="3428"/>
      <c r="I1" s="2991"/>
      <c r="J1" s="2992"/>
    </row>
    <row r="2" spans="1:10" ht="24">
      <c r="A2" s="2994" t="s">
        <v>3189</v>
      </c>
      <c r="B2" s="2994">
        <f>ROUND(D2/F2,2)</f>
        <v>1266.6500000000001</v>
      </c>
      <c r="C2" s="2994" t="s">
        <v>3190</v>
      </c>
      <c r="D2" s="2992">
        <f>'数据-基础表'!B3</f>
        <v>1266.6499999999999</v>
      </c>
      <c r="E2" s="2994" t="s">
        <v>3255</v>
      </c>
      <c r="F2" s="2994">
        <v>1</v>
      </c>
      <c r="G2" s="2994" t="s">
        <v>3191</v>
      </c>
      <c r="H2" s="2994" t="s">
        <v>3256</v>
      </c>
      <c r="I2" s="2992"/>
      <c r="J2" s="2992"/>
    </row>
    <row r="3" spans="1:10" ht="36">
      <c r="A3" s="2994" t="s">
        <v>3257</v>
      </c>
      <c r="B3" s="3422" t="s">
        <v>3258</v>
      </c>
      <c r="C3" s="3423"/>
      <c r="D3" s="3424"/>
      <c r="E3" s="2995" t="s">
        <v>3259</v>
      </c>
      <c r="F3" s="2996">
        <f>I4</f>
        <v>1100</v>
      </c>
      <c r="G3" s="3425" t="s">
        <v>3221</v>
      </c>
      <c r="H3" s="3430"/>
      <c r="I3" s="2991">
        <v>880</v>
      </c>
      <c r="J3" s="2992">
        <v>1320</v>
      </c>
    </row>
    <row r="4" spans="1:10" ht="24">
      <c r="A4" s="2995" t="s">
        <v>3222</v>
      </c>
      <c r="B4" s="3056">
        <v>2.4420000000000002</v>
      </c>
      <c r="C4" s="2997"/>
      <c r="D4" s="2997"/>
      <c r="E4" s="2997"/>
      <c r="F4" s="2997"/>
      <c r="G4" s="2997"/>
      <c r="H4" s="2998"/>
      <c r="I4" s="3420">
        <f>AVERAGE(I3:J3)</f>
        <v>1100</v>
      </c>
      <c r="J4" s="3421"/>
    </row>
    <row r="5" spans="1:10" ht="36">
      <c r="A5" s="2994" t="s">
        <v>3192</v>
      </c>
      <c r="B5" s="2999">
        <f>ROUND((1-1/POWER((1+D5),H5))/(1-1/POWER((1+D5),F5)),3)</f>
        <v>0.95099999999999996</v>
      </c>
      <c r="C5" s="2994" t="s">
        <v>3223</v>
      </c>
      <c r="D5" s="3000">
        <v>7.0000000000000007E-2</v>
      </c>
      <c r="E5" s="2994" t="s">
        <v>3224</v>
      </c>
      <c r="F5" s="2994">
        <v>50</v>
      </c>
      <c r="G5" s="2994" t="s">
        <v>3225</v>
      </c>
      <c r="H5" s="3001">
        <f>项目基本情况!F15</f>
        <v>37.020000000000003</v>
      </c>
      <c r="I5" s="2991"/>
      <c r="J5" s="2992"/>
    </row>
    <row r="6" spans="1:10" ht="24">
      <c r="A6" s="2995" t="s">
        <v>3226</v>
      </c>
      <c r="B6" s="3057">
        <f>F7+(H7-F7)*(D6-F6)/(H6-D6)</f>
        <v>1.2050000000000001</v>
      </c>
      <c r="C6" s="3002" t="s">
        <v>3227</v>
      </c>
      <c r="D6" s="3002">
        <f>F2</f>
        <v>1</v>
      </c>
      <c r="E6" s="3003" t="s">
        <v>3228</v>
      </c>
      <c r="F6" s="3003">
        <v>0.9</v>
      </c>
      <c r="G6" s="3003" t="s">
        <v>3229</v>
      </c>
      <c r="H6" s="3003">
        <v>1.1000000000000001</v>
      </c>
      <c r="I6" s="2991"/>
      <c r="J6" s="2992"/>
    </row>
    <row r="7" spans="1:10">
      <c r="A7" s="3004"/>
      <c r="B7" s="3005"/>
      <c r="C7" s="3006"/>
      <c r="D7" s="3007" t="s">
        <v>3230</v>
      </c>
      <c r="E7" s="3003" t="s">
        <v>3231</v>
      </c>
      <c r="F7" s="3003">
        <v>1.2130000000000001</v>
      </c>
      <c r="G7" s="3003" t="s">
        <v>3232</v>
      </c>
      <c r="H7" s="3003">
        <v>1.2050000000000001</v>
      </c>
      <c r="I7" s="2991"/>
      <c r="J7" s="2992"/>
    </row>
    <row r="8" spans="1:10" ht="24">
      <c r="A8" s="2995" t="s">
        <v>3233</v>
      </c>
      <c r="B8" s="3008">
        <f>ROUND(1+(B9+D9+F9+H9+B10+D10+F10+H10)/100,3)</f>
        <v>0.98899999999999999</v>
      </c>
      <c r="C8" s="3009"/>
      <c r="D8" s="3009"/>
      <c r="E8" s="3009"/>
      <c r="F8" s="3009"/>
      <c r="G8" s="3009"/>
      <c r="H8" s="3010"/>
      <c r="I8" s="2991"/>
      <c r="J8" s="2992"/>
    </row>
    <row r="9" spans="1:10" ht="24">
      <c r="A9" s="3011" t="s">
        <v>3234</v>
      </c>
      <c r="B9" s="3012">
        <v>0</v>
      </c>
      <c r="C9" s="3011" t="s">
        <v>3235</v>
      </c>
      <c r="D9" s="3012">
        <v>0</v>
      </c>
      <c r="E9" s="3013" t="s">
        <v>3236</v>
      </c>
      <c r="F9" s="3012">
        <v>0</v>
      </c>
      <c r="G9" s="3014" t="s">
        <v>3237</v>
      </c>
      <c r="H9" s="3012">
        <v>-3</v>
      </c>
      <c r="I9" s="2991"/>
      <c r="J9" s="2992"/>
    </row>
    <row r="10" spans="1:10" ht="36">
      <c r="A10" s="3015" t="s">
        <v>3238</v>
      </c>
      <c r="B10" s="3016">
        <v>1.6</v>
      </c>
      <c r="C10" s="3017" t="s">
        <v>3239</v>
      </c>
      <c r="D10" s="3016">
        <v>-1.2</v>
      </c>
      <c r="E10" s="3018" t="s">
        <v>3240</v>
      </c>
      <c r="F10" s="3016">
        <v>1.5</v>
      </c>
      <c r="G10" s="3011" t="s">
        <v>3241</v>
      </c>
      <c r="H10" s="3016">
        <v>0</v>
      </c>
      <c r="I10" s="2991"/>
      <c r="J10" s="2992"/>
    </row>
    <row r="11" spans="1:10" ht="30.75" customHeight="1">
      <c r="A11" s="3422" t="s">
        <v>3242</v>
      </c>
      <c r="B11" s="3423"/>
      <c r="C11" s="3423"/>
      <c r="D11" s="3424"/>
      <c r="E11" s="3019">
        <f>ROUND(F3*B4*B5*B6*B8,0)</f>
        <v>3044</v>
      </c>
      <c r="F11" s="3425" t="s">
        <v>3221</v>
      </c>
      <c r="G11" s="3425"/>
      <c r="H11" s="3426"/>
      <c r="I11" s="2991"/>
      <c r="J11" s="2992"/>
    </row>
    <row r="12" spans="1:10" ht="33.75" customHeight="1">
      <c r="A12" s="3422" t="s">
        <v>3243</v>
      </c>
      <c r="B12" s="3423"/>
      <c r="C12" s="3423"/>
      <c r="D12" s="3424"/>
      <c r="E12" s="3020">
        <f>B51</f>
        <v>0</v>
      </c>
      <c r="F12" s="3425" t="s">
        <v>3221</v>
      </c>
      <c r="G12" s="3425"/>
      <c r="H12" s="3426"/>
      <c r="I12" s="2991"/>
      <c r="J12" s="2992"/>
    </row>
    <row r="13" spans="1:10">
      <c r="A13" s="3422" t="s">
        <v>3193</v>
      </c>
      <c r="B13" s="3423"/>
      <c r="C13" s="3423"/>
      <c r="D13" s="3424"/>
      <c r="E13" s="3019">
        <f>E11-E12</f>
        <v>3044</v>
      </c>
      <c r="F13" s="3425" t="s">
        <v>3221</v>
      </c>
      <c r="G13" s="3425"/>
      <c r="H13" s="3426"/>
      <c r="I13" s="2991"/>
      <c r="J13" s="2992"/>
    </row>
    <row r="14" spans="1:10">
      <c r="A14" s="3427" t="s">
        <v>3194</v>
      </c>
      <c r="B14" s="3429"/>
      <c r="C14" s="3429"/>
      <c r="D14" s="3429"/>
      <c r="E14" s="3429"/>
      <c r="F14" s="3429"/>
      <c r="G14" s="3429"/>
      <c r="H14" s="3428"/>
      <c r="I14" s="2991"/>
      <c r="J14" s="2992"/>
    </row>
    <row r="15" spans="1:10">
      <c r="A15" s="3427" t="s">
        <v>3195</v>
      </c>
      <c r="B15" s="3428"/>
      <c r="C15" s="3427" t="s">
        <v>3196</v>
      </c>
      <c r="D15" s="3428"/>
      <c r="E15" s="3427" t="s">
        <v>3244</v>
      </c>
      <c r="F15" s="3429"/>
      <c r="G15" s="3429"/>
      <c r="H15" s="3428"/>
      <c r="I15" s="2991"/>
      <c r="J15" s="2992"/>
    </row>
    <row r="16" spans="1:10">
      <c r="A16" s="3427" t="s">
        <v>3197</v>
      </c>
      <c r="B16" s="3428"/>
      <c r="C16" s="3422">
        <f>E11</f>
        <v>3044</v>
      </c>
      <c r="D16" s="3424"/>
      <c r="E16" s="3427"/>
      <c r="F16" s="3429"/>
      <c r="G16" s="3429"/>
      <c r="H16" s="3428"/>
      <c r="I16" s="2991"/>
      <c r="J16" s="2992"/>
    </row>
    <row r="17" spans="1:10">
      <c r="A17" s="3431" t="s">
        <v>3198</v>
      </c>
      <c r="B17" s="3021" t="s">
        <v>3199</v>
      </c>
      <c r="C17" s="3433">
        <f>'数据-取费表'!L6</f>
        <v>2800</v>
      </c>
      <c r="D17" s="3434"/>
      <c r="E17" s="3422" t="s">
        <v>3200</v>
      </c>
      <c r="F17" s="3423"/>
      <c r="G17" s="3423"/>
      <c r="H17" s="3424"/>
      <c r="I17" s="2991"/>
      <c r="J17" s="2992"/>
    </row>
    <row r="18" spans="1:10">
      <c r="A18" s="3432"/>
      <c r="B18" s="3021" t="s">
        <v>3245</v>
      </c>
      <c r="C18" s="3422">
        <f>ROUND($C$17*H18,0)</f>
        <v>280</v>
      </c>
      <c r="D18" s="3424"/>
      <c r="E18" s="3435" t="s">
        <v>3246</v>
      </c>
      <c r="F18" s="3435"/>
      <c r="G18" s="3435"/>
      <c r="H18" s="3022">
        <v>0.1</v>
      </c>
      <c r="I18" s="2991"/>
      <c r="J18" s="2992"/>
    </row>
    <row r="19" spans="1:10">
      <c r="A19" s="3432"/>
      <c r="B19" s="3023" t="s">
        <v>3247</v>
      </c>
      <c r="C19" s="3436">
        <f>ROUND($C$17*H19,0)</f>
        <v>0</v>
      </c>
      <c r="D19" s="3437"/>
      <c r="E19" s="3438" t="s">
        <v>3248</v>
      </c>
      <c r="F19" s="3438"/>
      <c r="G19" s="3438"/>
      <c r="H19" s="3024">
        <v>0</v>
      </c>
      <c r="I19" s="3025"/>
      <c r="J19" s="3026"/>
    </row>
    <row r="20" spans="1:10" ht="20.25" customHeight="1">
      <c r="A20" s="3432"/>
      <c r="B20" s="3021" t="s">
        <v>3249</v>
      </c>
      <c r="C20" s="3422">
        <f>ROUND($C$17*H20,0)</f>
        <v>280</v>
      </c>
      <c r="D20" s="3424"/>
      <c r="E20" s="3435" t="s">
        <v>3250</v>
      </c>
      <c r="F20" s="3435"/>
      <c r="G20" s="3435"/>
      <c r="H20" s="3022">
        <v>0.1</v>
      </c>
      <c r="I20" s="2991"/>
      <c r="J20" s="2992"/>
    </row>
    <row r="21" spans="1:10">
      <c r="A21" s="3427" t="s">
        <v>3201</v>
      </c>
      <c r="B21" s="3428"/>
      <c r="C21" s="3422">
        <f>ROUND((SUM(C16:D20))*H21,0)</f>
        <v>192</v>
      </c>
      <c r="D21" s="3424"/>
      <c r="E21" s="3435" t="s">
        <v>3251</v>
      </c>
      <c r="F21" s="3435"/>
      <c r="G21" s="3435"/>
      <c r="H21" s="3022">
        <v>0.03</v>
      </c>
      <c r="I21" s="2991"/>
      <c r="J21" s="2992"/>
    </row>
    <row r="22" spans="1:10">
      <c r="A22" s="3427" t="s">
        <v>3202</v>
      </c>
      <c r="B22" s="3428"/>
      <c r="C22" s="3422">
        <f>ROUND((SUM(C16:D21))*H22,0)</f>
        <v>198</v>
      </c>
      <c r="D22" s="3424"/>
      <c r="E22" s="3435" t="s">
        <v>3252</v>
      </c>
      <c r="F22" s="3435"/>
      <c r="G22" s="3435"/>
      <c r="H22" s="3022">
        <v>0.03</v>
      </c>
      <c r="I22" s="2991"/>
      <c r="J22" s="2992"/>
    </row>
    <row r="23" spans="1:10" ht="37.5" customHeight="1">
      <c r="A23" s="3427" t="s">
        <v>3203</v>
      </c>
      <c r="B23" s="3428"/>
      <c r="C23" s="3422">
        <f>ROUND((C16*H23*G23)+(SUM(C17:D22))*H23*G23/2,0)</f>
        <v>465</v>
      </c>
      <c r="D23" s="3424"/>
      <c r="E23" s="3435" t="s">
        <v>3253</v>
      </c>
      <c r="F23" s="3435"/>
      <c r="G23" s="3027">
        <v>1.5</v>
      </c>
      <c r="H23" s="3022">
        <v>6.3E-2</v>
      </c>
      <c r="I23" s="2991"/>
      <c r="J23" s="2992"/>
    </row>
    <row r="24" spans="1:10" ht="31.5" customHeight="1">
      <c r="A24" s="3427" t="s">
        <v>3204</v>
      </c>
      <c r="B24" s="3428"/>
      <c r="C24" s="3422">
        <f>ROUND(C26*H24,0)</f>
        <v>502</v>
      </c>
      <c r="D24" s="3424"/>
      <c r="E24" s="3435" t="s">
        <v>3254</v>
      </c>
      <c r="F24" s="3435"/>
      <c r="G24" s="3435"/>
      <c r="H24" s="3022">
        <v>5.5E-2</v>
      </c>
      <c r="I24" s="2991"/>
      <c r="J24" s="3028"/>
    </row>
    <row r="25" spans="1:10" ht="48.75" customHeight="1">
      <c r="A25" s="3427" t="s">
        <v>3205</v>
      </c>
      <c r="B25" s="3428"/>
      <c r="C25" s="3422">
        <f>ROUND((SUM(C16:D22))*H25,0)</f>
        <v>1359</v>
      </c>
      <c r="D25" s="3424"/>
      <c r="E25" s="3435" t="s">
        <v>3206</v>
      </c>
      <c r="F25" s="3435"/>
      <c r="G25" s="3435"/>
      <c r="H25" s="3022">
        <v>0.2</v>
      </c>
      <c r="I25" s="2991"/>
      <c r="J25" s="2992"/>
    </row>
    <row r="26" spans="1:10">
      <c r="A26" s="3427" t="s">
        <v>3207</v>
      </c>
      <c r="B26" s="3428"/>
      <c r="C26" s="3427">
        <f>ROUND((SUM(C16:D23)+C25)/(1-H24),0)</f>
        <v>9120</v>
      </c>
      <c r="D26" s="3428"/>
      <c r="E26" s="3422"/>
      <c r="F26" s="3423"/>
      <c r="G26" s="3423"/>
      <c r="H26" s="3424"/>
      <c r="I26" s="2991"/>
      <c r="J26" s="2992"/>
    </row>
    <row r="27" spans="1:10">
      <c r="A27" s="3427" t="s">
        <v>3208</v>
      </c>
      <c r="B27" s="3428"/>
      <c r="C27" s="3422">
        <f>ROUND(C26*E30,0)</f>
        <v>11551848</v>
      </c>
      <c r="D27" s="3424"/>
      <c r="E27" s="3422"/>
      <c r="F27" s="3423"/>
      <c r="G27" s="3423"/>
      <c r="H27" s="3424"/>
      <c r="I27" s="2991"/>
      <c r="J27" s="2992"/>
    </row>
    <row r="28" spans="1:10">
      <c r="A28" s="3427" t="s">
        <v>3209</v>
      </c>
      <c r="B28" s="3428"/>
      <c r="C28" s="3422">
        <v>1</v>
      </c>
      <c r="D28" s="3424"/>
      <c r="E28" s="3422" t="s">
        <v>3210</v>
      </c>
      <c r="F28" s="3423"/>
      <c r="G28" s="3423"/>
      <c r="H28" s="3424"/>
      <c r="I28" s="2991"/>
      <c r="J28" s="2992"/>
    </row>
    <row r="29" spans="1:10">
      <c r="A29" s="3427" t="s">
        <v>3211</v>
      </c>
      <c r="B29" s="3428"/>
      <c r="C29" s="3427">
        <f>ROUND(C26*C28,0)</f>
        <v>9120</v>
      </c>
      <c r="D29" s="3428"/>
      <c r="E29" s="3422" t="s">
        <v>3212</v>
      </c>
      <c r="F29" s="3423"/>
      <c r="G29" s="3423"/>
      <c r="H29" s="3424"/>
      <c r="I29" s="2991"/>
      <c r="J29" s="2992"/>
    </row>
    <row r="30" spans="1:10">
      <c r="A30" s="3427" t="s">
        <v>3213</v>
      </c>
      <c r="B30" s="3428"/>
      <c r="C30" s="3422">
        <f>ROUND(C29*E30/10000,0)</f>
        <v>1155</v>
      </c>
      <c r="D30" s="3424"/>
      <c r="E30" s="3029">
        <f>D2</f>
        <v>1266.6499999999999</v>
      </c>
      <c r="F30" s="3030"/>
      <c r="G30" s="3030"/>
      <c r="H30" s="3031"/>
      <c r="I30" s="2991"/>
      <c r="J30" s="2992"/>
    </row>
    <row r="31" spans="1:10">
      <c r="A31" s="3079" t="s">
        <v>3311</v>
      </c>
      <c r="B31" s="3079"/>
      <c r="C31" s="3079">
        <v>543</v>
      </c>
      <c r="D31" s="3079"/>
      <c r="E31" s="3079">
        <v>595.14</v>
      </c>
      <c r="F31" s="3079"/>
      <c r="G31" s="3079"/>
      <c r="H31" s="3079"/>
    </row>
    <row r="32" spans="1:10">
      <c r="A32" s="2993" t="s">
        <v>3312</v>
      </c>
      <c r="C32" s="2993">
        <v>612</v>
      </c>
      <c r="E32" s="2993">
        <v>671.51</v>
      </c>
    </row>
  </sheetData>
  <mergeCells count="55">
    <mergeCell ref="A30:B30"/>
    <mergeCell ref="C30:D30"/>
    <mergeCell ref="A28:B28"/>
    <mergeCell ref="C28:D28"/>
    <mergeCell ref="E28:H28"/>
    <mergeCell ref="A29:B29"/>
    <mergeCell ref="C29:D29"/>
    <mergeCell ref="E29:H29"/>
    <mergeCell ref="A26:B26"/>
    <mergeCell ref="C26:D26"/>
    <mergeCell ref="E26:H26"/>
    <mergeCell ref="A27:B27"/>
    <mergeCell ref="C27:D27"/>
    <mergeCell ref="E27:H27"/>
    <mergeCell ref="A24:B24"/>
    <mergeCell ref="C24:D24"/>
    <mergeCell ref="E24:G24"/>
    <mergeCell ref="A25:B25"/>
    <mergeCell ref="C25:D25"/>
    <mergeCell ref="E25:G25"/>
    <mergeCell ref="C21:D21"/>
    <mergeCell ref="E21:G21"/>
    <mergeCell ref="A23:B23"/>
    <mergeCell ref="C23:D23"/>
    <mergeCell ref="E23:F23"/>
    <mergeCell ref="A22:B22"/>
    <mergeCell ref="C22:D22"/>
    <mergeCell ref="E22:G22"/>
    <mergeCell ref="A21:B21"/>
    <mergeCell ref="A16:B16"/>
    <mergeCell ref="C16:D16"/>
    <mergeCell ref="E16:H16"/>
    <mergeCell ref="A17:A20"/>
    <mergeCell ref="C17:D17"/>
    <mergeCell ref="E17:H17"/>
    <mergeCell ref="C18:D18"/>
    <mergeCell ref="E18:G18"/>
    <mergeCell ref="C19:D19"/>
    <mergeCell ref="E19:G19"/>
    <mergeCell ref="C20:D20"/>
    <mergeCell ref="E20:G20"/>
    <mergeCell ref="A1:H1"/>
    <mergeCell ref="B3:D3"/>
    <mergeCell ref="G3:H3"/>
    <mergeCell ref="A12:D12"/>
    <mergeCell ref="F12:H12"/>
    <mergeCell ref="I4:J4"/>
    <mergeCell ref="A11:D11"/>
    <mergeCell ref="F11:H11"/>
    <mergeCell ref="A15:B15"/>
    <mergeCell ref="C15:D15"/>
    <mergeCell ref="E15:H15"/>
    <mergeCell ref="A13:D13"/>
    <mergeCell ref="F13:H13"/>
    <mergeCell ref="A14:H14"/>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6" sqref="C36"/>
      <selection pane="bottomLeft" activeCell="C36" sqref="C3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40" t="s">
        <v>2997</v>
      </c>
      <c r="D1" s="3441"/>
      <c r="E1" s="3441"/>
      <c r="F1" s="3441"/>
      <c r="G1" s="3441"/>
      <c r="H1" s="3441"/>
      <c r="I1" s="3441"/>
      <c r="J1" s="3441"/>
      <c r="K1" s="3441"/>
      <c r="L1" s="3441"/>
      <c r="M1" s="3441"/>
      <c r="N1" s="3441"/>
      <c r="O1" s="3441"/>
      <c r="P1" s="3441"/>
      <c r="Q1" s="3441"/>
      <c r="R1" s="3441"/>
      <c r="S1" s="3442"/>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7">D3+100</f>
        <v>200</v>
      </c>
      <c r="F3" s="3051">
        <f t="shared" si="7"/>
        <v>300</v>
      </c>
      <c r="G3" s="3051">
        <f t="shared" si="7"/>
        <v>400</v>
      </c>
      <c r="H3" s="3051">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8">D4-5</f>
        <v>90</v>
      </c>
      <c r="F4" s="3053">
        <f t="shared" si="8"/>
        <v>85</v>
      </c>
      <c r="G4" s="3053">
        <f t="shared" si="8"/>
        <v>80</v>
      </c>
      <c r="H4" s="3053">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1998</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33572</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595.14</v>
      </c>
      <c r="C22" s="3252" t="s">
        <v>33</v>
      </c>
      <c r="D22" s="3253"/>
      <c r="E22" s="3253"/>
      <c r="F22" s="3253"/>
      <c r="G22" s="3253"/>
      <c r="H22" s="3253"/>
      <c r="I22" s="3253"/>
      <c r="J22" s="3253"/>
      <c r="K22" s="3253"/>
      <c r="L22" s="3253"/>
      <c r="M22" s="3253"/>
      <c r="N22" s="3253"/>
      <c r="O22" s="3253"/>
      <c r="P22" s="3253"/>
      <c r="Q22" s="3439"/>
      <c r="R22" s="714">
        <f ca="1">ROUND(S22*10000/B22,0)</f>
        <v>33572</v>
      </c>
      <c r="S22" s="24">
        <f ca="1">SUM(S24:S10000)</f>
        <v>1998</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3140</v>
      </c>
      <c r="E26" s="24">
        <f t="shared" ref="E26:E89" si="15">(SUMIF($5:$5,D26,$6:$6)-SUMIF($5:$5,$D$24,$6:$6)+100)/100</f>
        <v>1</v>
      </c>
      <c r="F26" s="718" t="s">
        <v>3136</v>
      </c>
      <c r="G26" s="24">
        <f t="shared" ref="G26:G89" si="16">(SUMIF($7:$7,F26,$8:$8)-SUMIF($7:$7,$F$24,$8:$8)+100)/100</f>
        <v>1</v>
      </c>
      <c r="H26" s="718" t="s">
        <v>3047</v>
      </c>
      <c r="I26" s="24">
        <f t="shared" ref="I26:I89" si="17">(SUMIF($9:$9,H26,$10:$10)-SUMIF($9:$9,$H$24,$10:$10)+100)/100</f>
        <v>1</v>
      </c>
      <c r="J26" s="718" t="s">
        <v>3076</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3140</v>
      </c>
      <c r="E27" s="24">
        <f t="shared" si="15"/>
        <v>1</v>
      </c>
      <c r="F27" s="2984" t="s">
        <v>3165</v>
      </c>
      <c r="G27" s="24">
        <f t="shared" si="16"/>
        <v>1</v>
      </c>
      <c r="H27" s="718" t="s">
        <v>3047</v>
      </c>
      <c r="I27" s="24">
        <f t="shared" si="17"/>
        <v>1</v>
      </c>
      <c r="J27" s="718" t="s">
        <v>3076</v>
      </c>
      <c r="K27" s="24">
        <f t="shared" si="18"/>
        <v>1</v>
      </c>
      <c r="L27" s="718"/>
      <c r="M27" s="24">
        <f t="shared" si="19"/>
        <v>1</v>
      </c>
      <c r="N27" s="718"/>
      <c r="O27" s="24">
        <f t="shared" si="20"/>
        <v>1</v>
      </c>
      <c r="P27" s="718"/>
      <c r="Q27" s="24">
        <f t="shared" si="21"/>
        <v>1</v>
      </c>
      <c r="R27" s="714">
        <f t="shared" ca="1" si="22"/>
        <v>33158</v>
      </c>
      <c r="S27" s="361">
        <f t="shared" ca="1" si="13"/>
        <v>402</v>
      </c>
    </row>
    <row r="28" spans="1:45">
      <c r="A28" s="3038">
        <v>105</v>
      </c>
      <c r="B28" s="59">
        <v>72.12</v>
      </c>
      <c r="C28" s="24">
        <f t="shared" si="14"/>
        <v>1.05</v>
      </c>
      <c r="D28" s="718" t="s">
        <v>3140</v>
      </c>
      <c r="E28" s="24">
        <f t="shared" si="15"/>
        <v>1</v>
      </c>
      <c r="F28" s="718" t="s">
        <v>3136</v>
      </c>
      <c r="G28" s="24">
        <f t="shared" si="16"/>
        <v>1</v>
      </c>
      <c r="H28" s="3054" t="s">
        <v>3048</v>
      </c>
      <c r="I28" s="3055">
        <f t="shared" si="17"/>
        <v>1.05</v>
      </c>
      <c r="J28" s="718" t="s">
        <v>3076</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c r="B29" s="59"/>
      <c r="C29" s="24">
        <f t="shared" si="14"/>
        <v>1</v>
      </c>
      <c r="D29" s="718"/>
      <c r="E29" s="24">
        <f t="shared" si="15"/>
        <v>0.02</v>
      </c>
      <c r="F29" s="718"/>
      <c r="G29" s="24">
        <f t="shared" si="16"/>
        <v>0.1</v>
      </c>
      <c r="H29" s="718"/>
      <c r="I29" s="24">
        <f t="shared" si="17"/>
        <v>0.05</v>
      </c>
      <c r="J29" s="718"/>
      <c r="K29" s="24">
        <f t="shared" si="18"/>
        <v>0.2</v>
      </c>
      <c r="L29" s="718"/>
      <c r="M29" s="24">
        <f t="shared" si="19"/>
        <v>1</v>
      </c>
      <c r="N29" s="718"/>
      <c r="O29" s="24">
        <f t="shared" si="20"/>
        <v>1</v>
      </c>
      <c r="P29" s="718"/>
      <c r="Q29" s="24">
        <f t="shared" si="21"/>
        <v>1</v>
      </c>
      <c r="R29" s="714">
        <f t="shared" si="22"/>
        <v>0</v>
      </c>
      <c r="S29" s="361">
        <f t="shared" si="13"/>
        <v>0</v>
      </c>
    </row>
    <row r="30" spans="1:45">
      <c r="A30" s="159"/>
      <c r="B30" s="59"/>
      <c r="C30" s="24">
        <f t="shared" si="14"/>
        <v>1</v>
      </c>
      <c r="D30" s="718"/>
      <c r="E30" s="24">
        <f t="shared" si="15"/>
        <v>0.02</v>
      </c>
      <c r="F30" s="718"/>
      <c r="G30" s="24">
        <f t="shared" si="16"/>
        <v>0.1</v>
      </c>
      <c r="H30" s="718"/>
      <c r="I30" s="24">
        <f t="shared" si="17"/>
        <v>0.05</v>
      </c>
      <c r="J30" s="718"/>
      <c r="K30" s="24">
        <f t="shared" si="18"/>
        <v>0.2</v>
      </c>
      <c r="L30" s="718"/>
      <c r="M30" s="24">
        <f t="shared" si="19"/>
        <v>1</v>
      </c>
      <c r="N30" s="718"/>
      <c r="O30" s="24">
        <f t="shared" si="20"/>
        <v>1</v>
      </c>
      <c r="P30" s="718"/>
      <c r="Q30" s="24">
        <f t="shared" si="21"/>
        <v>1</v>
      </c>
      <c r="R30" s="714">
        <f t="shared" si="22"/>
        <v>0</v>
      </c>
      <c r="S30" s="361">
        <f t="shared" si="13"/>
        <v>0</v>
      </c>
    </row>
    <row r="31" spans="1:45">
      <c r="A31" s="159"/>
      <c r="B31" s="59"/>
      <c r="C31" s="24">
        <f t="shared" si="14"/>
        <v>1</v>
      </c>
      <c r="D31" s="718"/>
      <c r="E31" s="24">
        <f t="shared" si="15"/>
        <v>0.02</v>
      </c>
      <c r="F31" s="718"/>
      <c r="G31" s="24">
        <f t="shared" si="16"/>
        <v>0.1</v>
      </c>
      <c r="H31" s="718"/>
      <c r="I31" s="24">
        <f t="shared" si="17"/>
        <v>0.05</v>
      </c>
      <c r="J31" s="718"/>
      <c r="K31" s="24">
        <f t="shared" si="18"/>
        <v>0.2</v>
      </c>
      <c r="L31" s="718"/>
      <c r="M31" s="24">
        <f t="shared" si="19"/>
        <v>1</v>
      </c>
      <c r="N31" s="718"/>
      <c r="O31" s="24">
        <f t="shared" si="20"/>
        <v>1</v>
      </c>
      <c r="P31" s="718"/>
      <c r="Q31" s="24">
        <f t="shared" si="21"/>
        <v>1</v>
      </c>
      <c r="R31" s="714">
        <f t="shared" si="22"/>
        <v>0</v>
      </c>
      <c r="S31" s="361">
        <f t="shared" si="13"/>
        <v>0</v>
      </c>
    </row>
    <row r="32" spans="1:45">
      <c r="A32" s="159"/>
      <c r="B32" s="59"/>
      <c r="C32" s="24">
        <f t="shared" si="14"/>
        <v>1</v>
      </c>
      <c r="D32" s="718"/>
      <c r="E32" s="24">
        <f t="shared" si="15"/>
        <v>0.02</v>
      </c>
      <c r="F32" s="718"/>
      <c r="G32" s="24">
        <f t="shared" si="16"/>
        <v>0.1</v>
      </c>
      <c r="H32" s="718"/>
      <c r="I32" s="24">
        <f t="shared" si="17"/>
        <v>0.05</v>
      </c>
      <c r="J32" s="718"/>
      <c r="K32" s="24">
        <f t="shared" si="18"/>
        <v>0.2</v>
      </c>
      <c r="L32" s="718"/>
      <c r="M32" s="24">
        <f t="shared" si="19"/>
        <v>1</v>
      </c>
      <c r="N32" s="718"/>
      <c r="O32" s="24">
        <f t="shared" si="20"/>
        <v>1</v>
      </c>
      <c r="P32" s="718"/>
      <c r="Q32" s="24">
        <f t="shared" si="21"/>
        <v>1</v>
      </c>
      <c r="R32" s="714">
        <f t="shared" si="22"/>
        <v>0</v>
      </c>
      <c r="S32" s="361">
        <f t="shared" si="13"/>
        <v>0</v>
      </c>
    </row>
    <row r="33" spans="1:19">
      <c r="A33" s="159"/>
      <c r="B33" s="59"/>
      <c r="C33" s="24">
        <f t="shared" si="14"/>
        <v>1</v>
      </c>
      <c r="D33" s="718"/>
      <c r="E33" s="24">
        <f t="shared" si="15"/>
        <v>0.02</v>
      </c>
      <c r="F33" s="718"/>
      <c r="G33" s="24">
        <f t="shared" si="16"/>
        <v>0.1</v>
      </c>
      <c r="H33" s="718"/>
      <c r="I33" s="24">
        <f t="shared" si="17"/>
        <v>0.05</v>
      </c>
      <c r="J33" s="718"/>
      <c r="K33" s="24">
        <f t="shared" si="18"/>
        <v>0.2</v>
      </c>
      <c r="L33" s="718"/>
      <c r="M33" s="24">
        <f t="shared" si="19"/>
        <v>1</v>
      </c>
      <c r="N33" s="718"/>
      <c r="O33" s="24">
        <f t="shared" si="20"/>
        <v>1</v>
      </c>
      <c r="P33" s="718"/>
      <c r="Q33" s="24">
        <f t="shared" si="21"/>
        <v>1</v>
      </c>
      <c r="R33" s="714">
        <f t="shared" si="22"/>
        <v>0</v>
      </c>
      <c r="S33" s="361">
        <f t="shared" si="13"/>
        <v>0</v>
      </c>
    </row>
    <row r="34" spans="1:19">
      <c r="A34" s="159"/>
      <c r="B34" s="59"/>
      <c r="C34" s="24">
        <f t="shared" si="14"/>
        <v>1</v>
      </c>
      <c r="D34" s="718"/>
      <c r="E34" s="24">
        <f t="shared" si="15"/>
        <v>0.02</v>
      </c>
      <c r="F34" s="718"/>
      <c r="G34" s="24">
        <f t="shared" si="16"/>
        <v>0.1</v>
      </c>
      <c r="H34" s="718"/>
      <c r="I34" s="24">
        <f t="shared" si="17"/>
        <v>0.05</v>
      </c>
      <c r="J34" s="718"/>
      <c r="K34" s="24">
        <f t="shared" si="18"/>
        <v>0.2</v>
      </c>
      <c r="L34" s="718"/>
      <c r="M34" s="24">
        <f t="shared" si="19"/>
        <v>1</v>
      </c>
      <c r="N34" s="718"/>
      <c r="O34" s="24">
        <f t="shared" si="20"/>
        <v>1</v>
      </c>
      <c r="P34" s="718"/>
      <c r="Q34" s="24">
        <f t="shared" si="21"/>
        <v>1</v>
      </c>
      <c r="R34" s="714">
        <f t="shared" si="22"/>
        <v>0</v>
      </c>
      <c r="S34" s="361">
        <f t="shared" si="13"/>
        <v>0</v>
      </c>
    </row>
    <row r="35" spans="1:19">
      <c r="A35" s="159"/>
      <c r="B35" s="59"/>
      <c r="C35" s="24">
        <f t="shared" si="14"/>
        <v>1</v>
      </c>
      <c r="D35" s="718"/>
      <c r="E35" s="24">
        <f t="shared" si="15"/>
        <v>0.02</v>
      </c>
      <c r="F35" s="718"/>
      <c r="G35" s="24">
        <f t="shared" si="16"/>
        <v>0.1</v>
      </c>
      <c r="H35" s="718"/>
      <c r="I35" s="24">
        <f t="shared" si="17"/>
        <v>0.05</v>
      </c>
      <c r="J35" s="718"/>
      <c r="K35" s="24">
        <f t="shared" si="18"/>
        <v>0.2</v>
      </c>
      <c r="L35" s="718"/>
      <c r="M35" s="24">
        <f t="shared" si="19"/>
        <v>1</v>
      </c>
      <c r="N35" s="718"/>
      <c r="O35" s="24">
        <f t="shared" si="20"/>
        <v>1</v>
      </c>
      <c r="P35" s="718"/>
      <c r="Q35" s="24">
        <f t="shared" si="21"/>
        <v>1</v>
      </c>
      <c r="R35" s="714">
        <f t="shared" si="22"/>
        <v>0</v>
      </c>
      <c r="S35" s="361">
        <f t="shared" si="13"/>
        <v>0</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30662</v>
      </c>
      <c r="C2" s="2" t="s">
        <v>133</v>
      </c>
      <c r="D2" s="243"/>
      <c r="E2" s="243"/>
      <c r="F2" s="243"/>
      <c r="G2" s="243"/>
    </row>
    <row r="3" spans="1:7" s="244" customFormat="1" ht="18" customHeight="1" thickBot="1">
      <c r="A3" s="247" t="s">
        <v>85</v>
      </c>
      <c r="B3" s="248">
        <f ca="1">ROUND(B2*10000/'数据-汇总表'!E3,0)</f>
        <v>242072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355</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83" t="s">
        <v>121</v>
      </c>
    </row>
    <row r="43" spans="1:7" ht="13.5" customHeight="1">
      <c r="A43" s="951" t="s">
        <v>792</v>
      </c>
      <c r="B43" s="259" t="s">
        <v>1061</v>
      </c>
      <c r="C43" s="282">
        <f ca="1">ROUND(IF('数据-取费表'!B22&lt;=1,C39*F22*'数据-取费表'!B21/2,C39*(POWER((1+F22),'数据-取费表'!B21/2)-1)),0)</f>
        <v>0</v>
      </c>
      <c r="D43" s="282"/>
      <c r="E43" s="282"/>
      <c r="F43" s="283"/>
      <c r="G43" s="3284"/>
    </row>
    <row r="44" spans="1:7" ht="13.5" customHeight="1">
      <c r="A44" s="951" t="s">
        <v>793</v>
      </c>
      <c r="B44" s="259" t="s">
        <v>1063</v>
      </c>
      <c r="C44" s="282">
        <f ca="1">ROUND(IF('数据-取费表'!B22&lt;=1,C40*F22*'数据-取费表'!B21/2,C40*(POWER((1+F22),'数据-取费表'!B21/2)-1)),4)</f>
        <v>6.9999999999999999E-4</v>
      </c>
      <c r="D44" s="282"/>
      <c r="E44" s="282"/>
      <c r="F44" s="283"/>
      <c r="G44" s="3285"/>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564</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462</v>
      </c>
      <c r="D51" s="276"/>
      <c r="E51" s="276"/>
      <c r="F51" s="308"/>
      <c r="G51" s="278" t="s">
        <v>64</v>
      </c>
    </row>
    <row r="52" spans="1:7" s="252" customFormat="1" ht="16.5" thickBot="1">
      <c r="A52" s="309" t="s">
        <v>65</v>
      </c>
      <c r="B52" s="310"/>
      <c r="C52" s="311">
        <f ca="1">C31+C51</f>
        <v>30662</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43" t="s">
        <v>156</v>
      </c>
      <c r="B1" s="3443"/>
      <c r="C1" s="3443"/>
      <c r="D1" s="3443"/>
      <c r="E1" s="3443"/>
      <c r="F1" s="344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44" t="s">
        <v>169</v>
      </c>
      <c r="B2" s="3444"/>
      <c r="C2" s="3444"/>
      <c r="D2" s="3444"/>
      <c r="E2" s="3444"/>
      <c r="F2" s="344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4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4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43" t="s">
        <v>868</v>
      </c>
      <c r="B1" s="344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1637</v>
      </c>
      <c r="B2" s="3109" t="s">
        <v>1638</v>
      </c>
      <c r="C2" s="3109" t="s">
        <v>1639</v>
      </c>
      <c r="D2" s="3109" t="str">
        <f>'结果表（典型户型价值）'!D116</f>
        <v>出让国有建设用地使用权价值</v>
      </c>
      <c r="E2" s="3109"/>
      <c r="F2" s="3109" t="str">
        <f>'结果表（典型户型价值）'!F116</f>
        <v>在建建筑物价值</v>
      </c>
      <c r="G2" s="3109"/>
      <c r="H2" s="3109" t="str">
        <f>IF(项目基本情况!B9="房地产市场价值","房地产市场价值","房地产价值")</f>
        <v>房地产价值</v>
      </c>
      <c r="I2" s="3109"/>
    </row>
    <row r="3" spans="1:9" ht="15">
      <c r="A3" s="3110"/>
      <c r="B3" s="3110"/>
      <c r="C3" s="3110"/>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'结果表（典型户型价值）'!D118</f>
        <v>300</v>
      </c>
      <c r="E4" s="1044">
        <f ca="1">'结果表（典型户型价值）'!E118</f>
        <v>25818</v>
      </c>
      <c r="F4" s="1044">
        <f ca="1">'结果表（典型户型价值）'!F118</f>
        <v>85</v>
      </c>
      <c r="G4" s="1044">
        <f ca="1">'结果表（典型户型价值）'!G118</f>
        <v>7315</v>
      </c>
      <c r="H4" s="1044">
        <f ca="1">'结果表（典型户型价值）'!H118</f>
        <v>385</v>
      </c>
      <c r="I4" s="1044">
        <f ca="1">'结果表（典型户型价值）'!I118</f>
        <v>33133</v>
      </c>
    </row>
    <row r="5" spans="1:9" ht="30" customHeight="1">
      <c r="A5" s="3110" t="s">
        <v>1636</v>
      </c>
      <c r="B5" s="3110"/>
      <c r="C5" s="3110"/>
      <c r="D5" s="3111" t="str">
        <f ca="1">'结果表（典型户型价值）'!D119</f>
        <v>叁佰万元整</v>
      </c>
      <c r="E5" s="3111"/>
      <c r="F5" s="3111" t="str">
        <f ca="1">'结果表（典型户型价值）'!F119</f>
        <v>捌拾伍万元整</v>
      </c>
      <c r="G5" s="3111"/>
      <c r="H5" s="3111" t="str">
        <f ca="1">'结果表（典型户型价值）'!H119</f>
        <v>叁佰捌拾伍万元整</v>
      </c>
      <c r="I5" s="3111"/>
    </row>
    <row r="6" spans="1:9" ht="15.75">
      <c r="A6" s="3112" t="str">
        <f>'结果表（典型户型价值）'!A120</f>
        <v>估价师知悉的法定优先受偿款</v>
      </c>
      <c r="B6" s="3112"/>
      <c r="C6" s="3112"/>
      <c r="D6" s="3112">
        <f>'结果表（典型户型价值）'!D120</f>
        <v>0</v>
      </c>
      <c r="E6" s="3112"/>
      <c r="F6" s="3112"/>
      <c r="G6" s="3112"/>
      <c r="H6" s="3112"/>
      <c r="I6" s="3112"/>
    </row>
    <row r="7" spans="1:9" ht="15">
      <c r="A7" s="3110" t="s">
        <v>1636</v>
      </c>
      <c r="B7" s="3110"/>
      <c r="C7" s="3110"/>
      <c r="D7" s="3113" t="str">
        <f>'结果表（典型户型价值）'!D121</f>
        <v>零元整</v>
      </c>
      <c r="E7" s="3114"/>
      <c r="F7" s="3114"/>
      <c r="G7" s="3114"/>
      <c r="H7" s="3114"/>
      <c r="I7" s="3115"/>
    </row>
    <row r="8" spans="1:9" ht="15.75">
      <c r="A8" s="3112" t="str">
        <f>'结果表（典型户型价值）'!A122</f>
        <v>房地产抵押价值</v>
      </c>
      <c r="B8" s="3112"/>
      <c r="C8" s="3112"/>
      <c r="D8" s="3112">
        <f ca="1">'结果表（典型户型价值）'!D122</f>
        <v>385</v>
      </c>
      <c r="E8" s="3112"/>
      <c r="F8" s="3112"/>
      <c r="G8" s="3112"/>
      <c r="H8" s="3112"/>
      <c r="I8" s="3112"/>
    </row>
    <row r="9" spans="1:9" ht="15">
      <c r="A9" s="3110" t="s">
        <v>1636</v>
      </c>
      <c r="B9" s="3110"/>
      <c r="C9" s="3110"/>
      <c r="D9" s="3111" t="str">
        <f ca="1">'结果表（典型户型价值）'!D123</f>
        <v>叁佰捌拾伍万元整</v>
      </c>
      <c r="E9" s="3111"/>
      <c r="F9" s="3111"/>
      <c r="G9" s="3111"/>
      <c r="H9" s="3111"/>
      <c r="I9" s="3111"/>
    </row>
    <row r="10" spans="1:9" ht="15.75">
      <c r="A10" s="3112" t="str">
        <f>'结果表（典型户型价值）'!A124</f>
        <v>抵押担保权已注销时的房地产抵押价值</v>
      </c>
      <c r="B10" s="3112"/>
      <c r="C10" s="3112"/>
      <c r="D10" s="3112">
        <f ca="1">'结果表（典型户型价值）'!D124</f>
        <v>385</v>
      </c>
      <c r="E10" s="3112"/>
      <c r="F10" s="3112"/>
      <c r="G10" s="3112"/>
      <c r="H10" s="3112"/>
      <c r="I10" s="3112"/>
    </row>
    <row r="11" spans="1:9" ht="15">
      <c r="A11" s="3110" t="s">
        <v>1636</v>
      </c>
      <c r="B11" s="3110"/>
      <c r="C11" s="3110"/>
      <c r="D11" s="3111" t="str">
        <f ca="1">'结果表（典型户型价值）'!D125</f>
        <v>叁佰捌拾伍万元整</v>
      </c>
      <c r="E11" s="3111"/>
      <c r="F11" s="3111"/>
      <c r="G11" s="3111"/>
      <c r="H11" s="3111"/>
      <c r="I11" s="3111"/>
    </row>
    <row r="12" spans="1:9" ht="15.75">
      <c r="A12" s="3112" t="str">
        <f>'结果表（典型户型价值）'!A126</f>
        <v/>
      </c>
      <c r="B12" s="3112"/>
      <c r="C12" s="3112"/>
      <c r="D12" s="3112" t="str">
        <f>'结果表（典型户型价值）'!D126</f>
        <v>——</v>
      </c>
      <c r="E12" s="3112"/>
      <c r="F12" s="3112"/>
      <c r="G12" s="3112"/>
      <c r="H12" s="3112"/>
      <c r="I12" s="3112"/>
    </row>
    <row r="13" spans="1:9" ht="15.75" thickBot="1">
      <c r="A13" s="3116" t="s">
        <v>1636</v>
      </c>
      <c r="B13" s="3116"/>
      <c r="C13" s="3116"/>
      <c r="D13" s="3117" t="e">
        <f>'结果表（典型户型价值）'!D127</f>
        <v>#VALUE!</v>
      </c>
      <c r="E13" s="3117"/>
      <c r="F13" s="3117"/>
      <c r="G13" s="3117"/>
      <c r="H13" s="3117"/>
      <c r="I13" s="3117"/>
    </row>
    <row r="14" spans="1:9" ht="15" thickTop="1">
      <c r="A14" s="3118" t="s">
        <v>1641</v>
      </c>
      <c r="B14" s="3118"/>
      <c r="C14" s="3118"/>
      <c r="D14" s="3118"/>
      <c r="E14" s="3118"/>
      <c r="F14" s="3118"/>
      <c r="G14" s="3118"/>
      <c r="H14" s="3118"/>
      <c r="I14" s="311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40" t="s">
        <v>2997</v>
      </c>
      <c r="D1" s="3441"/>
      <c r="E1" s="3441"/>
      <c r="F1" s="3441"/>
      <c r="G1" s="3441"/>
      <c r="H1" s="3441"/>
      <c r="I1" s="3441"/>
      <c r="J1" s="3441"/>
      <c r="K1" s="3441"/>
      <c r="L1" s="3441"/>
      <c r="M1" s="3441"/>
      <c r="N1" s="3441"/>
      <c r="O1" s="3441"/>
      <c r="P1" s="3441"/>
      <c r="Q1" s="3441"/>
      <c r="R1" s="3441"/>
      <c r="S1" s="3442"/>
      <c r="T1" s="1203" t="s">
        <v>2869</v>
      </c>
    </row>
    <row r="2" spans="1:45" s="707" customFormat="1" ht="38.25">
      <c r="A2" s="1204"/>
      <c r="B2" s="703" t="s">
        <v>1869</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1">D3+100</f>
        <v>200</v>
      </c>
      <c r="F3" s="3051">
        <f t="shared" si="1"/>
        <v>300</v>
      </c>
      <c r="G3" s="3051">
        <f t="shared" si="1"/>
        <v>400</v>
      </c>
      <c r="H3" s="3051">
        <f t="shared" si="1"/>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2">D4-5</f>
        <v>90</v>
      </c>
      <c r="F4" s="3053">
        <f t="shared" si="2"/>
        <v>85</v>
      </c>
      <c r="G4" s="3053">
        <f t="shared" si="2"/>
        <v>80</v>
      </c>
      <c r="H4" s="3053">
        <f t="shared" si="2"/>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3">D6-$T5</f>
        <v>96</v>
      </c>
      <c r="F6" s="1714">
        <f t="shared" si="3"/>
        <v>94</v>
      </c>
      <c r="G6" s="1714">
        <f t="shared" si="3"/>
        <v>92</v>
      </c>
      <c r="H6" s="1714">
        <f t="shared" si="3"/>
        <v>90</v>
      </c>
      <c r="I6" s="1714">
        <f t="shared" si="3"/>
        <v>88</v>
      </c>
      <c r="J6" s="1714">
        <f t="shared" si="3"/>
        <v>86</v>
      </c>
      <c r="K6" s="1714">
        <f t="shared" si="3"/>
        <v>84</v>
      </c>
      <c r="L6" s="1714">
        <f t="shared" si="3"/>
        <v>82</v>
      </c>
      <c r="M6" s="1714">
        <f t="shared" si="3"/>
        <v>80</v>
      </c>
      <c r="N6" s="1714">
        <f t="shared" si="3"/>
        <v>78</v>
      </c>
      <c r="O6" s="1714">
        <f t="shared" si="3"/>
        <v>76</v>
      </c>
      <c r="P6" s="1714">
        <f t="shared" si="3"/>
        <v>74</v>
      </c>
      <c r="Q6" s="1714">
        <f t="shared" si="3"/>
        <v>72</v>
      </c>
      <c r="R6" s="1714">
        <f t="shared" si="3"/>
        <v>70</v>
      </c>
      <c r="S6" s="1714">
        <f t="shared" si="3"/>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4">D8-$T7</f>
        <v>80</v>
      </c>
      <c r="F8" s="1714">
        <f t="shared" si="4"/>
        <v>70</v>
      </c>
      <c r="G8" s="1714">
        <f t="shared" si="4"/>
        <v>60</v>
      </c>
      <c r="H8" s="1714">
        <f t="shared" si="4"/>
        <v>50</v>
      </c>
      <c r="I8" s="1714">
        <f t="shared" si="4"/>
        <v>40</v>
      </c>
      <c r="J8" s="1714">
        <f t="shared" si="4"/>
        <v>30</v>
      </c>
      <c r="K8" s="1714">
        <f t="shared" si="4"/>
        <v>20</v>
      </c>
      <c r="L8" s="1714">
        <f t="shared" si="4"/>
        <v>10</v>
      </c>
      <c r="M8" s="1714">
        <f t="shared" si="4"/>
        <v>0</v>
      </c>
      <c r="N8" s="1714">
        <f t="shared" si="4"/>
        <v>-10</v>
      </c>
      <c r="O8" s="1714">
        <f t="shared" si="4"/>
        <v>-20</v>
      </c>
      <c r="P8" s="1714">
        <f t="shared" si="4"/>
        <v>-30</v>
      </c>
      <c r="Q8" s="1714">
        <f t="shared" si="4"/>
        <v>-40</v>
      </c>
      <c r="R8" s="1714">
        <f t="shared" si="4"/>
        <v>-50</v>
      </c>
      <c r="S8" s="1714">
        <f t="shared" si="4"/>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5">D10-$T9</f>
        <v>90</v>
      </c>
      <c r="F10" s="1724">
        <f t="shared" si="5"/>
        <v>85</v>
      </c>
      <c r="G10" s="1724">
        <f t="shared" si="5"/>
        <v>80</v>
      </c>
      <c r="H10" s="1724">
        <f t="shared" si="5"/>
        <v>75</v>
      </c>
      <c r="I10" s="1724">
        <f t="shared" si="5"/>
        <v>70</v>
      </c>
      <c r="J10" s="1724">
        <f t="shared" si="5"/>
        <v>65</v>
      </c>
      <c r="K10" s="1724">
        <f t="shared" si="5"/>
        <v>60</v>
      </c>
      <c r="L10" s="1724">
        <f t="shared" si="5"/>
        <v>55</v>
      </c>
      <c r="M10" s="1724">
        <f t="shared" si="5"/>
        <v>50</v>
      </c>
      <c r="N10" s="1724">
        <f t="shared" si="5"/>
        <v>45</v>
      </c>
      <c r="O10" s="1724">
        <f t="shared" si="5"/>
        <v>40</v>
      </c>
      <c r="P10" s="1724">
        <f t="shared" si="5"/>
        <v>35</v>
      </c>
      <c r="Q10" s="1724">
        <f t="shared" si="5"/>
        <v>30</v>
      </c>
      <c r="R10" s="1724">
        <f t="shared" si="5"/>
        <v>25</v>
      </c>
      <c r="S10" s="1724">
        <f t="shared" si="5"/>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6">D12-$T11</f>
        <v>80</v>
      </c>
      <c r="F12" s="1119">
        <f t="shared" si="6"/>
        <v>70</v>
      </c>
      <c r="G12" s="1119">
        <f t="shared" si="6"/>
        <v>60</v>
      </c>
      <c r="H12" s="1119">
        <f t="shared" si="6"/>
        <v>50</v>
      </c>
      <c r="I12" s="1119">
        <f t="shared" si="6"/>
        <v>40</v>
      </c>
      <c r="J12" s="1119">
        <f t="shared" si="6"/>
        <v>30</v>
      </c>
      <c r="K12" s="1119">
        <f t="shared" si="6"/>
        <v>20</v>
      </c>
      <c r="L12" s="1119">
        <f t="shared" si="6"/>
        <v>10</v>
      </c>
      <c r="M12" s="1119">
        <f t="shared" si="6"/>
        <v>0</v>
      </c>
      <c r="N12" s="1119">
        <f t="shared" si="6"/>
        <v>-10</v>
      </c>
      <c r="O12" s="1119">
        <f t="shared" si="6"/>
        <v>-20</v>
      </c>
      <c r="P12" s="1119">
        <f t="shared" si="6"/>
        <v>-30</v>
      </c>
      <c r="Q12" s="1119">
        <f t="shared" si="6"/>
        <v>-40</v>
      </c>
      <c r="R12" s="1119">
        <f>Q12-$T11</f>
        <v>-50</v>
      </c>
      <c r="S12" s="1119">
        <f t="shared" si="6"/>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2223</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33104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671.51000000000022</v>
      </c>
      <c r="C22" s="3252" t="s">
        <v>33</v>
      </c>
      <c r="D22" s="3253"/>
      <c r="E22" s="3253"/>
      <c r="F22" s="3253"/>
      <c r="G22" s="3253"/>
      <c r="H22" s="3253"/>
      <c r="I22" s="3253"/>
      <c r="J22" s="3253"/>
      <c r="K22" s="3253"/>
      <c r="L22" s="3253"/>
      <c r="M22" s="3253"/>
      <c r="N22" s="3253"/>
      <c r="O22" s="3253"/>
      <c r="P22" s="3253"/>
      <c r="Q22" s="3439"/>
      <c r="R22" s="714">
        <f ca="1">ROUND(S22*10000/B22,0)</f>
        <v>33104</v>
      </c>
      <c r="S22" s="24">
        <f ca="1">SUM(S24:S10000)</f>
        <v>2223</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106</v>
      </c>
      <c r="B24" s="716">
        <v>116.2</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87" ca="1" si="7">ROUND(R24*B24/10000,0)</f>
        <v>385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107</v>
      </c>
      <c r="B25" s="59">
        <v>142.52000000000001</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7"/>
        <v>473</v>
      </c>
    </row>
    <row r="26" spans="1:45">
      <c r="A26" s="159">
        <v>108</v>
      </c>
      <c r="B26" s="59">
        <v>133.59</v>
      </c>
      <c r="C26" s="24">
        <f t="shared" ref="C26:C89" si="8">IF(B26="",1,(LOOKUP(B26,$3:$3,$4:$4)-LOOKUP($B$24,$3:$3,$4:$4)+100)/100)</f>
        <v>1</v>
      </c>
      <c r="D26" s="718" t="s">
        <v>3140</v>
      </c>
      <c r="E26" s="24">
        <f t="shared" ref="E26:E89" si="9">(SUMIF($5:$5,D26,$6:$6)-SUMIF($5:$5,$D$24,$6:$6)+100)/100</f>
        <v>1</v>
      </c>
      <c r="F26" s="718" t="s">
        <v>3136</v>
      </c>
      <c r="G26" s="24">
        <f t="shared" ref="G26:G89" si="10">(SUMIF($7:$7,F26,$8:$8)-SUMIF($7:$7,$F$24,$8:$8)+100)/100</f>
        <v>1</v>
      </c>
      <c r="H26" s="718" t="s">
        <v>3047</v>
      </c>
      <c r="I26" s="24">
        <f t="shared" ref="I26:I89" si="11">(SUMIF($9:$9,H26,$10:$10)-SUMIF($9:$9,$H$24,$10:$10)+100)/100</f>
        <v>1</v>
      </c>
      <c r="J26" s="718" t="s">
        <v>3076</v>
      </c>
      <c r="K26" s="24">
        <f t="shared" ref="K26:K89" si="12">(SUMIF($11:$11,J26,$12:$12)-SUMIF($11:$11,$J$24,$12:$12)+100)/100</f>
        <v>1</v>
      </c>
      <c r="L26" s="718"/>
      <c r="M26" s="24">
        <f t="shared" ref="M26:M89" si="13">(SUMIF($13:$13,L26,$14:$14)-SUMIF($13:$13,$L$24,$14:$14)+100)/100</f>
        <v>1</v>
      </c>
      <c r="N26" s="718"/>
      <c r="O26" s="24">
        <f t="shared" ref="O26:O89" si="14">(SUMIF($15:$15,N26,$16:$16)-SUMIF($15:$15,$N$24,$16:$16)+100)/100</f>
        <v>1</v>
      </c>
      <c r="P26" s="718"/>
      <c r="Q26" s="24">
        <f t="shared" ref="Q26:Q89" si="15">(SUMIF($17:$17,P26,$18:$18)-SUMIF($17:$17,$P$24,$18:$18)+100)/100</f>
        <v>1</v>
      </c>
      <c r="R26" s="714">
        <f t="shared" ref="R26:R89" ca="1" si="16">IF(B26="",0,ROUND($R$24*C26*E26*G26*I26*K26*M26*O26*Q26,0))</f>
        <v>33158</v>
      </c>
      <c r="S26" s="361">
        <f t="shared" ca="1" si="7"/>
        <v>443</v>
      </c>
    </row>
    <row r="27" spans="1:45">
      <c r="A27" s="159">
        <v>109</v>
      </c>
      <c r="B27" s="59">
        <v>125.85</v>
      </c>
      <c r="C27" s="24">
        <f t="shared" si="8"/>
        <v>1</v>
      </c>
      <c r="D27" s="718" t="s">
        <v>3140</v>
      </c>
      <c r="E27" s="24">
        <f t="shared" si="9"/>
        <v>1</v>
      </c>
      <c r="F27" s="2984" t="s">
        <v>3158</v>
      </c>
      <c r="G27" s="24">
        <f t="shared" si="10"/>
        <v>1</v>
      </c>
      <c r="H27" s="718" t="s">
        <v>3047</v>
      </c>
      <c r="I27" s="24">
        <f t="shared" si="11"/>
        <v>1</v>
      </c>
      <c r="J27" s="718" t="s">
        <v>3076</v>
      </c>
      <c r="K27" s="24">
        <f t="shared" si="12"/>
        <v>1</v>
      </c>
      <c r="L27" s="718"/>
      <c r="M27" s="24">
        <f t="shared" si="13"/>
        <v>1</v>
      </c>
      <c r="N27" s="718"/>
      <c r="O27" s="24">
        <f t="shared" si="14"/>
        <v>1</v>
      </c>
      <c r="P27" s="718"/>
      <c r="Q27" s="24">
        <f t="shared" si="15"/>
        <v>1</v>
      </c>
      <c r="R27" s="714">
        <f t="shared" ca="1" si="16"/>
        <v>33158</v>
      </c>
      <c r="S27" s="361">
        <f t="shared" ca="1" si="7"/>
        <v>417</v>
      </c>
    </row>
    <row r="28" spans="1:45">
      <c r="A28" s="3038">
        <v>110</v>
      </c>
      <c r="B28" s="59">
        <v>28.82</v>
      </c>
      <c r="C28" s="24">
        <f t="shared" si="8"/>
        <v>1.05</v>
      </c>
      <c r="D28" s="718" t="s">
        <v>3140</v>
      </c>
      <c r="E28" s="24">
        <f t="shared" si="9"/>
        <v>1</v>
      </c>
      <c r="F28" s="718" t="s">
        <v>3136</v>
      </c>
      <c r="G28" s="24">
        <f t="shared" si="10"/>
        <v>1</v>
      </c>
      <c r="H28" s="3054" t="s">
        <v>3048</v>
      </c>
      <c r="I28" s="3055">
        <f t="shared" si="11"/>
        <v>1.05</v>
      </c>
      <c r="J28" s="718" t="s">
        <v>3166</v>
      </c>
      <c r="K28" s="24">
        <f t="shared" si="12"/>
        <v>0.9</v>
      </c>
      <c r="L28" s="718"/>
      <c r="M28" s="24">
        <f t="shared" si="13"/>
        <v>1</v>
      </c>
      <c r="N28" s="718"/>
      <c r="O28" s="24">
        <f t="shared" si="14"/>
        <v>1</v>
      </c>
      <c r="P28" s="718"/>
      <c r="Q28" s="24">
        <f t="shared" si="15"/>
        <v>1</v>
      </c>
      <c r="R28" s="714">
        <f t="shared" ca="1" si="16"/>
        <v>32901</v>
      </c>
      <c r="S28" s="361">
        <f t="shared" ca="1" si="7"/>
        <v>95</v>
      </c>
    </row>
    <row r="29" spans="1:45">
      <c r="A29" s="159">
        <v>111</v>
      </c>
      <c r="B29" s="59">
        <v>95.71</v>
      </c>
      <c r="C29" s="24">
        <f t="shared" si="8"/>
        <v>1.05</v>
      </c>
      <c r="D29" s="718" t="s">
        <v>3140</v>
      </c>
      <c r="E29" s="24">
        <f t="shared" si="9"/>
        <v>1</v>
      </c>
      <c r="F29" s="718" t="s">
        <v>3136</v>
      </c>
      <c r="G29" s="24">
        <f t="shared" si="10"/>
        <v>1</v>
      </c>
      <c r="H29" s="718" t="s">
        <v>3048</v>
      </c>
      <c r="I29" s="24">
        <f t="shared" si="11"/>
        <v>1.05</v>
      </c>
      <c r="J29" s="718" t="s">
        <v>3166</v>
      </c>
      <c r="K29" s="24">
        <f t="shared" si="12"/>
        <v>0.9</v>
      </c>
      <c r="L29" s="718"/>
      <c r="M29" s="24">
        <f t="shared" si="13"/>
        <v>1</v>
      </c>
      <c r="N29" s="718"/>
      <c r="O29" s="24">
        <f t="shared" si="14"/>
        <v>1</v>
      </c>
      <c r="P29" s="718"/>
      <c r="Q29" s="24">
        <f t="shared" si="15"/>
        <v>1</v>
      </c>
      <c r="R29" s="714">
        <f t="shared" ca="1" si="16"/>
        <v>32901</v>
      </c>
      <c r="S29" s="361">
        <f t="shared" ca="1" si="7"/>
        <v>315</v>
      </c>
    </row>
    <row r="30" spans="1:45">
      <c r="A30" s="159">
        <v>112</v>
      </c>
      <c r="B30" s="59">
        <v>28.82</v>
      </c>
      <c r="C30" s="24">
        <f t="shared" si="8"/>
        <v>1.05</v>
      </c>
      <c r="D30" s="718" t="s">
        <v>3140</v>
      </c>
      <c r="E30" s="24">
        <f t="shared" si="9"/>
        <v>1</v>
      </c>
      <c r="F30" s="718" t="s">
        <v>3136</v>
      </c>
      <c r="G30" s="24">
        <f t="shared" si="10"/>
        <v>1</v>
      </c>
      <c r="H30" s="718" t="s">
        <v>3048</v>
      </c>
      <c r="I30" s="24">
        <f t="shared" si="11"/>
        <v>1.05</v>
      </c>
      <c r="J30" s="718" t="s">
        <v>3166</v>
      </c>
      <c r="K30" s="24">
        <f t="shared" si="12"/>
        <v>0.9</v>
      </c>
      <c r="L30" s="718"/>
      <c r="M30" s="24">
        <f t="shared" si="13"/>
        <v>1</v>
      </c>
      <c r="N30" s="718"/>
      <c r="O30" s="24">
        <f t="shared" si="14"/>
        <v>1</v>
      </c>
      <c r="P30" s="718"/>
      <c r="Q30" s="24">
        <f t="shared" si="15"/>
        <v>1</v>
      </c>
      <c r="R30" s="714">
        <f t="shared" ca="1" si="16"/>
        <v>32901</v>
      </c>
      <c r="S30" s="361">
        <f t="shared" ca="1" si="7"/>
        <v>95</v>
      </c>
    </row>
    <row r="31" spans="1:45">
      <c r="A31" s="159"/>
      <c r="B31" s="59"/>
      <c r="C31" s="24">
        <f t="shared" si="8"/>
        <v>1</v>
      </c>
      <c r="D31" s="718"/>
      <c r="E31" s="24">
        <f t="shared" si="9"/>
        <v>0.02</v>
      </c>
      <c r="F31" s="718"/>
      <c r="G31" s="24">
        <f t="shared" si="10"/>
        <v>0.1</v>
      </c>
      <c r="H31" s="718"/>
      <c r="I31" s="24">
        <f t="shared" si="11"/>
        <v>0.05</v>
      </c>
      <c r="J31" s="718"/>
      <c r="K31" s="24">
        <f t="shared" si="12"/>
        <v>0.2</v>
      </c>
      <c r="L31" s="718"/>
      <c r="M31" s="24">
        <f t="shared" si="13"/>
        <v>1</v>
      </c>
      <c r="N31" s="718"/>
      <c r="O31" s="24">
        <f t="shared" si="14"/>
        <v>1</v>
      </c>
      <c r="P31" s="718"/>
      <c r="Q31" s="24">
        <f t="shared" si="15"/>
        <v>1</v>
      </c>
      <c r="R31" s="714">
        <f t="shared" si="16"/>
        <v>0</v>
      </c>
      <c r="S31" s="361">
        <f t="shared" si="7"/>
        <v>0</v>
      </c>
    </row>
    <row r="32" spans="1:45">
      <c r="A32" s="159"/>
      <c r="B32" s="59"/>
      <c r="C32" s="24">
        <f t="shared" si="8"/>
        <v>1</v>
      </c>
      <c r="D32" s="718"/>
      <c r="E32" s="24">
        <f t="shared" si="9"/>
        <v>0.02</v>
      </c>
      <c r="F32" s="718"/>
      <c r="G32" s="24">
        <f t="shared" si="10"/>
        <v>0.1</v>
      </c>
      <c r="H32" s="718"/>
      <c r="I32" s="24">
        <f t="shared" si="11"/>
        <v>0.05</v>
      </c>
      <c r="J32" s="718"/>
      <c r="K32" s="24">
        <f t="shared" si="12"/>
        <v>0.2</v>
      </c>
      <c r="L32" s="718"/>
      <c r="M32" s="24">
        <f t="shared" si="13"/>
        <v>1</v>
      </c>
      <c r="N32" s="718"/>
      <c r="O32" s="24">
        <f t="shared" si="14"/>
        <v>1</v>
      </c>
      <c r="P32" s="718"/>
      <c r="Q32" s="24">
        <f t="shared" si="15"/>
        <v>1</v>
      </c>
      <c r="R32" s="714">
        <f t="shared" si="16"/>
        <v>0</v>
      </c>
      <c r="S32" s="361">
        <f t="shared" si="7"/>
        <v>0</v>
      </c>
    </row>
    <row r="33" spans="1:19">
      <c r="A33" s="159"/>
      <c r="B33" s="59"/>
      <c r="C33" s="24">
        <f t="shared" si="8"/>
        <v>1</v>
      </c>
      <c r="D33" s="718"/>
      <c r="E33" s="24">
        <f t="shared" si="9"/>
        <v>0.02</v>
      </c>
      <c r="F33" s="718"/>
      <c r="G33" s="24">
        <f t="shared" si="10"/>
        <v>0.1</v>
      </c>
      <c r="H33" s="718"/>
      <c r="I33" s="24">
        <f t="shared" si="11"/>
        <v>0.05</v>
      </c>
      <c r="J33" s="718"/>
      <c r="K33" s="24">
        <f t="shared" si="12"/>
        <v>0.2</v>
      </c>
      <c r="L33" s="718"/>
      <c r="M33" s="24">
        <f t="shared" si="13"/>
        <v>1</v>
      </c>
      <c r="N33" s="718"/>
      <c r="O33" s="24">
        <f t="shared" si="14"/>
        <v>1</v>
      </c>
      <c r="P33" s="718"/>
      <c r="Q33" s="24">
        <f t="shared" si="15"/>
        <v>1</v>
      </c>
      <c r="R33" s="714">
        <f t="shared" si="16"/>
        <v>0</v>
      </c>
      <c r="S33" s="361">
        <f t="shared" si="7"/>
        <v>0</v>
      </c>
    </row>
    <row r="34" spans="1:19">
      <c r="A34" s="159"/>
      <c r="B34" s="59"/>
      <c r="C34" s="24">
        <f t="shared" si="8"/>
        <v>1</v>
      </c>
      <c r="D34" s="718"/>
      <c r="E34" s="24">
        <f t="shared" si="9"/>
        <v>0.02</v>
      </c>
      <c r="F34" s="718"/>
      <c r="G34" s="24">
        <f t="shared" si="10"/>
        <v>0.1</v>
      </c>
      <c r="H34" s="718"/>
      <c r="I34" s="24">
        <f t="shared" si="11"/>
        <v>0.05</v>
      </c>
      <c r="J34" s="718"/>
      <c r="K34" s="24">
        <f t="shared" si="12"/>
        <v>0.2</v>
      </c>
      <c r="L34" s="718"/>
      <c r="M34" s="24">
        <f t="shared" si="13"/>
        <v>1</v>
      </c>
      <c r="N34" s="718"/>
      <c r="O34" s="24">
        <f t="shared" si="14"/>
        <v>1</v>
      </c>
      <c r="P34" s="718"/>
      <c r="Q34" s="24">
        <f t="shared" si="15"/>
        <v>1</v>
      </c>
      <c r="R34" s="714">
        <f t="shared" si="16"/>
        <v>0</v>
      </c>
      <c r="S34" s="361">
        <f t="shared" si="7"/>
        <v>0</v>
      </c>
    </row>
    <row r="35" spans="1:19">
      <c r="A35" s="159"/>
      <c r="B35" s="59"/>
      <c r="C35" s="24">
        <f t="shared" si="8"/>
        <v>1</v>
      </c>
      <c r="D35" s="718"/>
      <c r="E35" s="24">
        <f t="shared" si="9"/>
        <v>0.02</v>
      </c>
      <c r="F35" s="718"/>
      <c r="G35" s="24">
        <f t="shared" si="10"/>
        <v>0.1</v>
      </c>
      <c r="H35" s="718"/>
      <c r="I35" s="24">
        <f t="shared" si="11"/>
        <v>0.05</v>
      </c>
      <c r="J35" s="718"/>
      <c r="K35" s="24">
        <f t="shared" si="12"/>
        <v>0.2</v>
      </c>
      <c r="L35" s="718"/>
      <c r="M35" s="24">
        <f t="shared" si="13"/>
        <v>1</v>
      </c>
      <c r="N35" s="718"/>
      <c r="O35" s="24">
        <f t="shared" si="14"/>
        <v>1</v>
      </c>
      <c r="P35" s="718"/>
      <c r="Q35" s="24">
        <f t="shared" si="15"/>
        <v>1</v>
      </c>
      <c r="R35" s="714">
        <f t="shared" si="16"/>
        <v>0</v>
      </c>
      <c r="S35" s="361">
        <f t="shared" si="7"/>
        <v>0</v>
      </c>
    </row>
    <row r="36" spans="1:19">
      <c r="A36" s="159"/>
      <c r="B36" s="59"/>
      <c r="C36" s="24">
        <f t="shared" si="8"/>
        <v>1</v>
      </c>
      <c r="D36" s="718"/>
      <c r="E36" s="24">
        <f t="shared" si="9"/>
        <v>0.02</v>
      </c>
      <c r="F36" s="718"/>
      <c r="G36" s="24">
        <f t="shared" si="10"/>
        <v>0.1</v>
      </c>
      <c r="H36" s="718"/>
      <c r="I36" s="24">
        <f t="shared" si="11"/>
        <v>0.05</v>
      </c>
      <c r="J36" s="718"/>
      <c r="K36" s="24">
        <f t="shared" si="12"/>
        <v>0.2</v>
      </c>
      <c r="L36" s="718"/>
      <c r="M36" s="24">
        <f t="shared" si="13"/>
        <v>1</v>
      </c>
      <c r="N36" s="718"/>
      <c r="O36" s="24">
        <f t="shared" si="14"/>
        <v>1</v>
      </c>
      <c r="P36" s="718"/>
      <c r="Q36" s="24">
        <f t="shared" si="15"/>
        <v>1</v>
      </c>
      <c r="R36" s="714">
        <f t="shared" si="16"/>
        <v>0</v>
      </c>
      <c r="S36" s="361">
        <f t="shared" si="7"/>
        <v>0</v>
      </c>
    </row>
    <row r="37" spans="1:19">
      <c r="A37" s="159"/>
      <c r="B37" s="59"/>
      <c r="C37" s="24">
        <f t="shared" si="8"/>
        <v>1</v>
      </c>
      <c r="D37" s="718"/>
      <c r="E37" s="24">
        <f t="shared" si="9"/>
        <v>0.02</v>
      </c>
      <c r="F37" s="718"/>
      <c r="G37" s="24">
        <f t="shared" si="10"/>
        <v>0.1</v>
      </c>
      <c r="H37" s="718"/>
      <c r="I37" s="24">
        <f t="shared" si="11"/>
        <v>0.05</v>
      </c>
      <c r="J37" s="718"/>
      <c r="K37" s="24">
        <f t="shared" si="12"/>
        <v>0.2</v>
      </c>
      <c r="L37" s="718"/>
      <c r="M37" s="24">
        <f t="shared" si="13"/>
        <v>1</v>
      </c>
      <c r="N37" s="718"/>
      <c r="O37" s="24">
        <f t="shared" si="14"/>
        <v>1</v>
      </c>
      <c r="P37" s="718"/>
      <c r="Q37" s="24">
        <f t="shared" si="15"/>
        <v>1</v>
      </c>
      <c r="R37" s="714">
        <f t="shared" si="16"/>
        <v>0</v>
      </c>
      <c r="S37" s="361">
        <f t="shared" si="7"/>
        <v>0</v>
      </c>
    </row>
    <row r="38" spans="1:19">
      <c r="A38" s="159"/>
      <c r="B38" s="59"/>
      <c r="C38" s="24">
        <f t="shared" si="8"/>
        <v>1</v>
      </c>
      <c r="D38" s="718"/>
      <c r="E38" s="24">
        <f t="shared" si="9"/>
        <v>0.02</v>
      </c>
      <c r="F38" s="718"/>
      <c r="G38" s="24">
        <f t="shared" si="10"/>
        <v>0.1</v>
      </c>
      <c r="H38" s="718"/>
      <c r="I38" s="24">
        <f t="shared" si="11"/>
        <v>0.05</v>
      </c>
      <c r="J38" s="718"/>
      <c r="K38" s="24">
        <f t="shared" si="12"/>
        <v>0.2</v>
      </c>
      <c r="L38" s="718"/>
      <c r="M38" s="24">
        <f t="shared" si="13"/>
        <v>1</v>
      </c>
      <c r="N38" s="718"/>
      <c r="O38" s="24">
        <f t="shared" si="14"/>
        <v>1</v>
      </c>
      <c r="P38" s="718"/>
      <c r="Q38" s="24">
        <f t="shared" si="15"/>
        <v>1</v>
      </c>
      <c r="R38" s="714">
        <f t="shared" si="16"/>
        <v>0</v>
      </c>
      <c r="S38" s="361">
        <f t="shared" si="7"/>
        <v>0</v>
      </c>
    </row>
    <row r="39" spans="1:19">
      <c r="A39" s="159"/>
      <c r="B39" s="59"/>
      <c r="C39" s="24">
        <f t="shared" si="8"/>
        <v>1</v>
      </c>
      <c r="D39" s="718"/>
      <c r="E39" s="24">
        <f t="shared" si="9"/>
        <v>0.02</v>
      </c>
      <c r="F39" s="718"/>
      <c r="G39" s="24">
        <f t="shared" si="10"/>
        <v>0.1</v>
      </c>
      <c r="H39" s="718"/>
      <c r="I39" s="24">
        <f t="shared" si="11"/>
        <v>0.05</v>
      </c>
      <c r="J39" s="718"/>
      <c r="K39" s="24">
        <f t="shared" si="12"/>
        <v>0.2</v>
      </c>
      <c r="L39" s="718"/>
      <c r="M39" s="24">
        <f t="shared" si="13"/>
        <v>1</v>
      </c>
      <c r="N39" s="718"/>
      <c r="O39" s="24">
        <f t="shared" si="14"/>
        <v>1</v>
      </c>
      <c r="P39" s="718"/>
      <c r="Q39" s="24">
        <f t="shared" si="15"/>
        <v>1</v>
      </c>
      <c r="R39" s="714">
        <f t="shared" si="16"/>
        <v>0</v>
      </c>
      <c r="S39" s="361">
        <f t="shared" si="7"/>
        <v>0</v>
      </c>
    </row>
    <row r="40" spans="1:19">
      <c r="A40" s="159"/>
      <c r="B40" s="59"/>
      <c r="C40" s="24">
        <f t="shared" si="8"/>
        <v>1</v>
      </c>
      <c r="D40" s="718"/>
      <c r="E40" s="24">
        <f t="shared" si="9"/>
        <v>0.02</v>
      </c>
      <c r="F40" s="718"/>
      <c r="G40" s="24">
        <f t="shared" si="10"/>
        <v>0.1</v>
      </c>
      <c r="H40" s="718"/>
      <c r="I40" s="24">
        <f t="shared" si="11"/>
        <v>0.05</v>
      </c>
      <c r="J40" s="718"/>
      <c r="K40" s="24">
        <f t="shared" si="12"/>
        <v>0.2</v>
      </c>
      <c r="L40" s="718"/>
      <c r="M40" s="24">
        <f t="shared" si="13"/>
        <v>1</v>
      </c>
      <c r="N40" s="718"/>
      <c r="O40" s="24">
        <f t="shared" si="14"/>
        <v>1</v>
      </c>
      <c r="P40" s="718"/>
      <c r="Q40" s="24">
        <f t="shared" si="15"/>
        <v>1</v>
      </c>
      <c r="R40" s="714">
        <f t="shared" si="16"/>
        <v>0</v>
      </c>
      <c r="S40" s="361">
        <f t="shared" si="7"/>
        <v>0</v>
      </c>
    </row>
    <row r="41" spans="1:19">
      <c r="A41" s="159"/>
      <c r="B41" s="59"/>
      <c r="C41" s="24">
        <f t="shared" si="8"/>
        <v>1</v>
      </c>
      <c r="D41" s="718"/>
      <c r="E41" s="24">
        <f t="shared" si="9"/>
        <v>0.02</v>
      </c>
      <c r="F41" s="718"/>
      <c r="G41" s="24">
        <f t="shared" si="10"/>
        <v>0.1</v>
      </c>
      <c r="H41" s="718"/>
      <c r="I41" s="24">
        <f t="shared" si="11"/>
        <v>0.05</v>
      </c>
      <c r="J41" s="718"/>
      <c r="K41" s="24">
        <f t="shared" si="12"/>
        <v>0.2</v>
      </c>
      <c r="L41" s="718"/>
      <c r="M41" s="24">
        <f t="shared" si="13"/>
        <v>1</v>
      </c>
      <c r="N41" s="718"/>
      <c r="O41" s="24">
        <f t="shared" si="14"/>
        <v>1</v>
      </c>
      <c r="P41" s="718"/>
      <c r="Q41" s="24">
        <f t="shared" si="15"/>
        <v>1</v>
      </c>
      <c r="R41" s="714">
        <f t="shared" si="16"/>
        <v>0</v>
      </c>
      <c r="S41" s="361">
        <f t="shared" si="7"/>
        <v>0</v>
      </c>
    </row>
    <row r="42" spans="1:19">
      <c r="A42" s="159"/>
      <c r="B42" s="59"/>
      <c r="C42" s="24">
        <f t="shared" si="8"/>
        <v>1</v>
      </c>
      <c r="D42" s="718"/>
      <c r="E42" s="24">
        <f t="shared" si="9"/>
        <v>0.02</v>
      </c>
      <c r="F42" s="718"/>
      <c r="G42" s="24">
        <f t="shared" si="10"/>
        <v>0.1</v>
      </c>
      <c r="H42" s="718"/>
      <c r="I42" s="24">
        <f t="shared" si="11"/>
        <v>0.05</v>
      </c>
      <c r="J42" s="718"/>
      <c r="K42" s="24">
        <f t="shared" si="12"/>
        <v>0.2</v>
      </c>
      <c r="L42" s="718"/>
      <c r="M42" s="24">
        <f t="shared" si="13"/>
        <v>1</v>
      </c>
      <c r="N42" s="718"/>
      <c r="O42" s="24">
        <f t="shared" si="14"/>
        <v>1</v>
      </c>
      <c r="P42" s="718"/>
      <c r="Q42" s="24">
        <f t="shared" si="15"/>
        <v>1</v>
      </c>
      <c r="R42" s="714">
        <f t="shared" si="16"/>
        <v>0</v>
      </c>
      <c r="S42" s="361">
        <f t="shared" si="7"/>
        <v>0</v>
      </c>
    </row>
    <row r="43" spans="1:19">
      <c r="A43" s="159"/>
      <c r="B43" s="59"/>
      <c r="C43" s="24">
        <f t="shared" si="8"/>
        <v>1</v>
      </c>
      <c r="D43" s="718"/>
      <c r="E43" s="24">
        <f t="shared" si="9"/>
        <v>0.02</v>
      </c>
      <c r="F43" s="718"/>
      <c r="G43" s="24">
        <f t="shared" si="10"/>
        <v>0.1</v>
      </c>
      <c r="H43" s="718"/>
      <c r="I43" s="24">
        <f t="shared" si="11"/>
        <v>0.05</v>
      </c>
      <c r="J43" s="718"/>
      <c r="K43" s="24">
        <f t="shared" si="12"/>
        <v>0.2</v>
      </c>
      <c r="L43" s="718"/>
      <c r="M43" s="24">
        <f t="shared" si="13"/>
        <v>1</v>
      </c>
      <c r="N43" s="718"/>
      <c r="O43" s="24">
        <f t="shared" si="14"/>
        <v>1</v>
      </c>
      <c r="P43" s="718"/>
      <c r="Q43" s="24">
        <f t="shared" si="15"/>
        <v>1</v>
      </c>
      <c r="R43" s="714">
        <f t="shared" si="16"/>
        <v>0</v>
      </c>
      <c r="S43" s="361">
        <f t="shared" si="7"/>
        <v>0</v>
      </c>
    </row>
    <row r="44" spans="1:19">
      <c r="A44" s="159"/>
      <c r="B44" s="59"/>
      <c r="C44" s="24">
        <f t="shared" si="8"/>
        <v>1</v>
      </c>
      <c r="D44" s="718"/>
      <c r="E44" s="24">
        <f t="shared" si="9"/>
        <v>0.02</v>
      </c>
      <c r="F44" s="718"/>
      <c r="G44" s="24">
        <f t="shared" si="10"/>
        <v>0.1</v>
      </c>
      <c r="H44" s="718"/>
      <c r="I44" s="24">
        <f t="shared" si="11"/>
        <v>0.05</v>
      </c>
      <c r="J44" s="718"/>
      <c r="K44" s="24">
        <f t="shared" si="12"/>
        <v>0.2</v>
      </c>
      <c r="L44" s="718"/>
      <c r="M44" s="24">
        <f t="shared" si="13"/>
        <v>1</v>
      </c>
      <c r="N44" s="718"/>
      <c r="O44" s="24">
        <f t="shared" si="14"/>
        <v>1</v>
      </c>
      <c r="P44" s="718"/>
      <c r="Q44" s="24">
        <f t="shared" si="15"/>
        <v>1</v>
      </c>
      <c r="R44" s="714">
        <f t="shared" si="16"/>
        <v>0</v>
      </c>
      <c r="S44" s="361">
        <f t="shared" si="7"/>
        <v>0</v>
      </c>
    </row>
    <row r="45" spans="1:19">
      <c r="A45" s="159"/>
      <c r="B45" s="59"/>
      <c r="C45" s="24">
        <f t="shared" si="8"/>
        <v>1</v>
      </c>
      <c r="D45" s="718"/>
      <c r="E45" s="24">
        <f t="shared" si="9"/>
        <v>0.02</v>
      </c>
      <c r="F45" s="718"/>
      <c r="G45" s="24">
        <f t="shared" si="10"/>
        <v>0.1</v>
      </c>
      <c r="H45" s="718"/>
      <c r="I45" s="24">
        <f t="shared" si="11"/>
        <v>0.05</v>
      </c>
      <c r="J45" s="718"/>
      <c r="K45" s="24">
        <f t="shared" si="12"/>
        <v>0.2</v>
      </c>
      <c r="L45" s="718"/>
      <c r="M45" s="24">
        <f t="shared" si="13"/>
        <v>1</v>
      </c>
      <c r="N45" s="718"/>
      <c r="O45" s="24">
        <f t="shared" si="14"/>
        <v>1</v>
      </c>
      <c r="P45" s="718"/>
      <c r="Q45" s="24">
        <f t="shared" si="15"/>
        <v>1</v>
      </c>
      <c r="R45" s="714">
        <f t="shared" si="16"/>
        <v>0</v>
      </c>
      <c r="S45" s="361">
        <f t="shared" si="7"/>
        <v>0</v>
      </c>
    </row>
    <row r="46" spans="1:19">
      <c r="A46" s="159"/>
      <c r="B46" s="59"/>
      <c r="C46" s="24">
        <f t="shared" si="8"/>
        <v>1</v>
      </c>
      <c r="D46" s="718"/>
      <c r="E46" s="24">
        <f t="shared" si="9"/>
        <v>0.02</v>
      </c>
      <c r="F46" s="718"/>
      <c r="G46" s="24">
        <f t="shared" si="10"/>
        <v>0.1</v>
      </c>
      <c r="H46" s="718"/>
      <c r="I46" s="24">
        <f t="shared" si="11"/>
        <v>0.05</v>
      </c>
      <c r="J46" s="718"/>
      <c r="K46" s="24">
        <f t="shared" si="12"/>
        <v>0.2</v>
      </c>
      <c r="L46" s="718"/>
      <c r="M46" s="24">
        <f t="shared" si="13"/>
        <v>1</v>
      </c>
      <c r="N46" s="718"/>
      <c r="O46" s="24">
        <f t="shared" si="14"/>
        <v>1</v>
      </c>
      <c r="P46" s="718"/>
      <c r="Q46" s="24">
        <f t="shared" si="15"/>
        <v>1</v>
      </c>
      <c r="R46" s="714">
        <f t="shared" si="16"/>
        <v>0</v>
      </c>
      <c r="S46" s="361">
        <f t="shared" si="7"/>
        <v>0</v>
      </c>
    </row>
    <row r="47" spans="1:19">
      <c r="A47" s="159"/>
      <c r="B47" s="59"/>
      <c r="C47" s="24">
        <f t="shared" si="8"/>
        <v>1</v>
      </c>
      <c r="D47" s="718"/>
      <c r="E47" s="24">
        <f t="shared" si="9"/>
        <v>0.02</v>
      </c>
      <c r="F47" s="718"/>
      <c r="G47" s="24">
        <f t="shared" si="10"/>
        <v>0.1</v>
      </c>
      <c r="H47" s="718"/>
      <c r="I47" s="24">
        <f t="shared" si="11"/>
        <v>0.05</v>
      </c>
      <c r="J47" s="718"/>
      <c r="K47" s="24">
        <f t="shared" si="12"/>
        <v>0.2</v>
      </c>
      <c r="L47" s="718"/>
      <c r="M47" s="24">
        <f t="shared" si="13"/>
        <v>1</v>
      </c>
      <c r="N47" s="718"/>
      <c r="O47" s="24">
        <f t="shared" si="14"/>
        <v>1</v>
      </c>
      <c r="P47" s="718"/>
      <c r="Q47" s="24">
        <f t="shared" si="15"/>
        <v>1</v>
      </c>
      <c r="R47" s="714">
        <f t="shared" si="16"/>
        <v>0</v>
      </c>
      <c r="S47" s="361">
        <f t="shared" si="7"/>
        <v>0</v>
      </c>
    </row>
    <row r="48" spans="1:19">
      <c r="A48" s="159"/>
      <c r="B48" s="59"/>
      <c r="C48" s="24">
        <f t="shared" si="8"/>
        <v>1</v>
      </c>
      <c r="D48" s="718"/>
      <c r="E48" s="24">
        <f t="shared" si="9"/>
        <v>0.02</v>
      </c>
      <c r="F48" s="718"/>
      <c r="G48" s="24">
        <f t="shared" si="10"/>
        <v>0.1</v>
      </c>
      <c r="H48" s="718"/>
      <c r="I48" s="24">
        <f t="shared" si="11"/>
        <v>0.05</v>
      </c>
      <c r="J48" s="718"/>
      <c r="K48" s="24">
        <f t="shared" si="12"/>
        <v>0.2</v>
      </c>
      <c r="L48" s="718"/>
      <c r="M48" s="24">
        <f t="shared" si="13"/>
        <v>1</v>
      </c>
      <c r="N48" s="718"/>
      <c r="O48" s="24">
        <f t="shared" si="14"/>
        <v>1</v>
      </c>
      <c r="P48" s="718"/>
      <c r="Q48" s="24">
        <f t="shared" si="15"/>
        <v>1</v>
      </c>
      <c r="R48" s="714">
        <f t="shared" si="16"/>
        <v>0</v>
      </c>
      <c r="S48" s="361">
        <f t="shared" si="7"/>
        <v>0</v>
      </c>
    </row>
    <row r="49" spans="1:19">
      <c r="A49" s="159"/>
      <c r="B49" s="59"/>
      <c r="C49" s="24">
        <f t="shared" si="8"/>
        <v>1</v>
      </c>
      <c r="D49" s="718"/>
      <c r="E49" s="24">
        <f t="shared" si="9"/>
        <v>0.02</v>
      </c>
      <c r="F49" s="718"/>
      <c r="G49" s="24">
        <f t="shared" si="10"/>
        <v>0.1</v>
      </c>
      <c r="H49" s="718"/>
      <c r="I49" s="24">
        <f t="shared" si="11"/>
        <v>0.05</v>
      </c>
      <c r="J49" s="718"/>
      <c r="K49" s="24">
        <f t="shared" si="12"/>
        <v>0.2</v>
      </c>
      <c r="L49" s="718"/>
      <c r="M49" s="24">
        <f t="shared" si="13"/>
        <v>1</v>
      </c>
      <c r="N49" s="718"/>
      <c r="O49" s="24">
        <f t="shared" si="14"/>
        <v>1</v>
      </c>
      <c r="P49" s="718"/>
      <c r="Q49" s="24">
        <f t="shared" si="15"/>
        <v>1</v>
      </c>
      <c r="R49" s="714">
        <f t="shared" si="16"/>
        <v>0</v>
      </c>
      <c r="S49" s="361">
        <f t="shared" si="7"/>
        <v>0</v>
      </c>
    </row>
    <row r="50" spans="1:19">
      <c r="A50" s="159"/>
      <c r="B50" s="59"/>
      <c r="C50" s="24">
        <f t="shared" si="8"/>
        <v>1</v>
      </c>
      <c r="D50" s="718"/>
      <c r="E50" s="24">
        <f t="shared" si="9"/>
        <v>0.02</v>
      </c>
      <c r="F50" s="718"/>
      <c r="G50" s="24">
        <f t="shared" si="10"/>
        <v>0.1</v>
      </c>
      <c r="H50" s="718"/>
      <c r="I50" s="24">
        <f t="shared" si="11"/>
        <v>0.05</v>
      </c>
      <c r="J50" s="718"/>
      <c r="K50" s="24">
        <f t="shared" si="12"/>
        <v>0.2</v>
      </c>
      <c r="L50" s="718"/>
      <c r="M50" s="24">
        <f t="shared" si="13"/>
        <v>1</v>
      </c>
      <c r="N50" s="718"/>
      <c r="O50" s="24">
        <f t="shared" si="14"/>
        <v>1</v>
      </c>
      <c r="P50" s="718"/>
      <c r="Q50" s="24">
        <f t="shared" si="15"/>
        <v>1</v>
      </c>
      <c r="R50" s="714">
        <f t="shared" si="16"/>
        <v>0</v>
      </c>
      <c r="S50" s="361">
        <f t="shared" si="7"/>
        <v>0</v>
      </c>
    </row>
    <row r="51" spans="1:19">
      <c r="A51" s="159"/>
      <c r="B51" s="59"/>
      <c r="C51" s="24">
        <f t="shared" si="8"/>
        <v>1</v>
      </c>
      <c r="D51" s="718"/>
      <c r="E51" s="24">
        <f t="shared" si="9"/>
        <v>0.02</v>
      </c>
      <c r="F51" s="718"/>
      <c r="G51" s="24">
        <f t="shared" si="10"/>
        <v>0.1</v>
      </c>
      <c r="H51" s="718"/>
      <c r="I51" s="24">
        <f t="shared" si="11"/>
        <v>0.05</v>
      </c>
      <c r="J51" s="718"/>
      <c r="K51" s="24">
        <f t="shared" si="12"/>
        <v>0.2</v>
      </c>
      <c r="L51" s="718"/>
      <c r="M51" s="24">
        <f t="shared" si="13"/>
        <v>1</v>
      </c>
      <c r="N51" s="718"/>
      <c r="O51" s="24">
        <f t="shared" si="14"/>
        <v>1</v>
      </c>
      <c r="P51" s="718"/>
      <c r="Q51" s="24">
        <f t="shared" si="15"/>
        <v>1</v>
      </c>
      <c r="R51" s="714">
        <f t="shared" si="16"/>
        <v>0</v>
      </c>
      <c r="S51" s="361">
        <f t="shared" si="7"/>
        <v>0</v>
      </c>
    </row>
    <row r="52" spans="1:19">
      <c r="A52" s="159"/>
      <c r="B52" s="59"/>
      <c r="C52" s="24">
        <f t="shared" si="8"/>
        <v>1</v>
      </c>
      <c r="D52" s="718"/>
      <c r="E52" s="24">
        <f t="shared" si="9"/>
        <v>0.02</v>
      </c>
      <c r="F52" s="718"/>
      <c r="G52" s="24">
        <f t="shared" si="10"/>
        <v>0.1</v>
      </c>
      <c r="H52" s="718"/>
      <c r="I52" s="24">
        <f t="shared" si="11"/>
        <v>0.05</v>
      </c>
      <c r="J52" s="718"/>
      <c r="K52" s="24">
        <f t="shared" si="12"/>
        <v>0.2</v>
      </c>
      <c r="L52" s="718"/>
      <c r="M52" s="24">
        <f t="shared" si="13"/>
        <v>1</v>
      </c>
      <c r="N52" s="718"/>
      <c r="O52" s="24">
        <f t="shared" si="14"/>
        <v>1</v>
      </c>
      <c r="P52" s="718"/>
      <c r="Q52" s="24">
        <f t="shared" si="15"/>
        <v>1</v>
      </c>
      <c r="R52" s="714">
        <f t="shared" si="16"/>
        <v>0</v>
      </c>
      <c r="S52" s="361">
        <f t="shared" si="7"/>
        <v>0</v>
      </c>
    </row>
    <row r="53" spans="1:19">
      <c r="A53" s="159"/>
      <c r="B53" s="59"/>
      <c r="C53" s="24">
        <f t="shared" si="8"/>
        <v>1</v>
      </c>
      <c r="D53" s="718"/>
      <c r="E53" s="24">
        <f t="shared" si="9"/>
        <v>0.02</v>
      </c>
      <c r="F53" s="718"/>
      <c r="G53" s="24">
        <f t="shared" si="10"/>
        <v>0.1</v>
      </c>
      <c r="H53" s="718"/>
      <c r="I53" s="24">
        <f t="shared" si="11"/>
        <v>0.05</v>
      </c>
      <c r="J53" s="718"/>
      <c r="K53" s="24">
        <f t="shared" si="12"/>
        <v>0.2</v>
      </c>
      <c r="L53" s="718"/>
      <c r="M53" s="24">
        <f t="shared" si="13"/>
        <v>1</v>
      </c>
      <c r="N53" s="718"/>
      <c r="O53" s="24">
        <f t="shared" si="14"/>
        <v>1</v>
      </c>
      <c r="P53" s="718"/>
      <c r="Q53" s="24">
        <f t="shared" si="15"/>
        <v>1</v>
      </c>
      <c r="R53" s="714">
        <f t="shared" si="16"/>
        <v>0</v>
      </c>
      <c r="S53" s="361">
        <f t="shared" si="7"/>
        <v>0</v>
      </c>
    </row>
    <row r="54" spans="1:19">
      <c r="A54" s="159"/>
      <c r="B54" s="59"/>
      <c r="C54" s="24">
        <f t="shared" si="8"/>
        <v>1</v>
      </c>
      <c r="D54" s="718"/>
      <c r="E54" s="24">
        <f t="shared" si="9"/>
        <v>0.02</v>
      </c>
      <c r="F54" s="718"/>
      <c r="G54" s="24">
        <f t="shared" si="10"/>
        <v>0.1</v>
      </c>
      <c r="H54" s="718"/>
      <c r="I54" s="24">
        <f t="shared" si="11"/>
        <v>0.05</v>
      </c>
      <c r="J54" s="718"/>
      <c r="K54" s="24">
        <f t="shared" si="12"/>
        <v>0.2</v>
      </c>
      <c r="L54" s="718"/>
      <c r="M54" s="24">
        <f t="shared" si="13"/>
        <v>1</v>
      </c>
      <c r="N54" s="718"/>
      <c r="O54" s="24">
        <f t="shared" si="14"/>
        <v>1</v>
      </c>
      <c r="P54" s="718"/>
      <c r="Q54" s="24">
        <f t="shared" si="15"/>
        <v>1</v>
      </c>
      <c r="R54" s="714">
        <f t="shared" si="16"/>
        <v>0</v>
      </c>
      <c r="S54" s="361">
        <f t="shared" si="7"/>
        <v>0</v>
      </c>
    </row>
    <row r="55" spans="1:19">
      <c r="A55" s="159"/>
      <c r="B55" s="59"/>
      <c r="C55" s="24">
        <f t="shared" si="8"/>
        <v>1</v>
      </c>
      <c r="D55" s="718"/>
      <c r="E55" s="24">
        <f t="shared" si="9"/>
        <v>0.02</v>
      </c>
      <c r="F55" s="718"/>
      <c r="G55" s="24">
        <f t="shared" si="10"/>
        <v>0.1</v>
      </c>
      <c r="H55" s="718"/>
      <c r="I55" s="24">
        <f t="shared" si="11"/>
        <v>0.05</v>
      </c>
      <c r="J55" s="718"/>
      <c r="K55" s="24">
        <f t="shared" si="12"/>
        <v>0.2</v>
      </c>
      <c r="L55" s="718"/>
      <c r="M55" s="24">
        <f t="shared" si="13"/>
        <v>1</v>
      </c>
      <c r="N55" s="718"/>
      <c r="O55" s="24">
        <f t="shared" si="14"/>
        <v>1</v>
      </c>
      <c r="P55" s="718"/>
      <c r="Q55" s="24">
        <f t="shared" si="15"/>
        <v>1</v>
      </c>
      <c r="R55" s="714">
        <f t="shared" si="16"/>
        <v>0</v>
      </c>
      <c r="S55" s="361">
        <f t="shared" si="7"/>
        <v>0</v>
      </c>
    </row>
    <row r="56" spans="1:19">
      <c r="A56" s="159"/>
      <c r="B56" s="59"/>
      <c r="C56" s="24">
        <f t="shared" si="8"/>
        <v>1</v>
      </c>
      <c r="D56" s="718"/>
      <c r="E56" s="24">
        <f t="shared" si="9"/>
        <v>0.02</v>
      </c>
      <c r="F56" s="718"/>
      <c r="G56" s="24">
        <f t="shared" si="10"/>
        <v>0.1</v>
      </c>
      <c r="H56" s="718"/>
      <c r="I56" s="24">
        <f t="shared" si="11"/>
        <v>0.05</v>
      </c>
      <c r="J56" s="718"/>
      <c r="K56" s="24">
        <f t="shared" si="12"/>
        <v>0.2</v>
      </c>
      <c r="L56" s="718"/>
      <c r="M56" s="24">
        <f t="shared" si="13"/>
        <v>1</v>
      </c>
      <c r="N56" s="718"/>
      <c r="O56" s="24">
        <f t="shared" si="14"/>
        <v>1</v>
      </c>
      <c r="P56" s="718"/>
      <c r="Q56" s="24">
        <f t="shared" si="15"/>
        <v>1</v>
      </c>
      <c r="R56" s="714">
        <f t="shared" si="16"/>
        <v>0</v>
      </c>
      <c r="S56" s="361">
        <f t="shared" si="7"/>
        <v>0</v>
      </c>
    </row>
    <row r="57" spans="1:19">
      <c r="A57" s="159"/>
      <c r="B57" s="59"/>
      <c r="C57" s="24">
        <f t="shared" si="8"/>
        <v>1</v>
      </c>
      <c r="D57" s="718"/>
      <c r="E57" s="24">
        <f t="shared" si="9"/>
        <v>0.02</v>
      </c>
      <c r="F57" s="718"/>
      <c r="G57" s="24">
        <f t="shared" si="10"/>
        <v>0.1</v>
      </c>
      <c r="H57" s="718"/>
      <c r="I57" s="24">
        <f t="shared" si="11"/>
        <v>0.05</v>
      </c>
      <c r="J57" s="718"/>
      <c r="K57" s="24">
        <f t="shared" si="12"/>
        <v>0.2</v>
      </c>
      <c r="L57" s="718"/>
      <c r="M57" s="24">
        <f t="shared" si="13"/>
        <v>1</v>
      </c>
      <c r="N57" s="718"/>
      <c r="O57" s="24">
        <f t="shared" si="14"/>
        <v>1</v>
      </c>
      <c r="P57" s="718"/>
      <c r="Q57" s="24">
        <f t="shared" si="15"/>
        <v>1</v>
      </c>
      <c r="R57" s="714">
        <f t="shared" si="16"/>
        <v>0</v>
      </c>
      <c r="S57" s="361">
        <f t="shared" si="7"/>
        <v>0</v>
      </c>
    </row>
    <row r="58" spans="1:19">
      <c r="A58" s="159"/>
      <c r="B58" s="59"/>
      <c r="C58" s="24">
        <f t="shared" si="8"/>
        <v>1</v>
      </c>
      <c r="D58" s="718"/>
      <c r="E58" s="24">
        <f t="shared" si="9"/>
        <v>0.02</v>
      </c>
      <c r="F58" s="718"/>
      <c r="G58" s="24">
        <f t="shared" si="10"/>
        <v>0.1</v>
      </c>
      <c r="H58" s="718"/>
      <c r="I58" s="24">
        <f t="shared" si="11"/>
        <v>0.05</v>
      </c>
      <c r="J58" s="718"/>
      <c r="K58" s="24">
        <f t="shared" si="12"/>
        <v>0.2</v>
      </c>
      <c r="L58" s="718"/>
      <c r="M58" s="24">
        <f t="shared" si="13"/>
        <v>1</v>
      </c>
      <c r="N58" s="718"/>
      <c r="O58" s="24">
        <f t="shared" si="14"/>
        <v>1</v>
      </c>
      <c r="P58" s="718"/>
      <c r="Q58" s="24">
        <f t="shared" si="15"/>
        <v>1</v>
      </c>
      <c r="R58" s="714">
        <f t="shared" si="16"/>
        <v>0</v>
      </c>
      <c r="S58" s="361">
        <f t="shared" si="7"/>
        <v>0</v>
      </c>
    </row>
    <row r="59" spans="1:19">
      <c r="A59" s="159"/>
      <c r="B59" s="59"/>
      <c r="C59" s="24">
        <f t="shared" si="8"/>
        <v>1</v>
      </c>
      <c r="D59" s="718"/>
      <c r="E59" s="24">
        <f t="shared" si="9"/>
        <v>0.02</v>
      </c>
      <c r="F59" s="718"/>
      <c r="G59" s="24">
        <f t="shared" si="10"/>
        <v>0.1</v>
      </c>
      <c r="H59" s="718"/>
      <c r="I59" s="24">
        <f t="shared" si="11"/>
        <v>0.05</v>
      </c>
      <c r="J59" s="718"/>
      <c r="K59" s="24">
        <f t="shared" si="12"/>
        <v>0.2</v>
      </c>
      <c r="L59" s="718"/>
      <c r="M59" s="24">
        <f t="shared" si="13"/>
        <v>1</v>
      </c>
      <c r="N59" s="718"/>
      <c r="O59" s="24">
        <f t="shared" si="14"/>
        <v>1</v>
      </c>
      <c r="P59" s="718"/>
      <c r="Q59" s="24">
        <f t="shared" si="15"/>
        <v>1</v>
      </c>
      <c r="R59" s="714">
        <f t="shared" si="16"/>
        <v>0</v>
      </c>
      <c r="S59" s="361">
        <f t="shared" si="7"/>
        <v>0</v>
      </c>
    </row>
    <row r="60" spans="1:19">
      <c r="A60" s="159"/>
      <c r="B60" s="59"/>
      <c r="C60" s="24">
        <f t="shared" si="8"/>
        <v>1</v>
      </c>
      <c r="D60" s="718"/>
      <c r="E60" s="24">
        <f t="shared" si="9"/>
        <v>0.02</v>
      </c>
      <c r="F60" s="718"/>
      <c r="G60" s="24">
        <f t="shared" si="10"/>
        <v>0.1</v>
      </c>
      <c r="H60" s="718"/>
      <c r="I60" s="24">
        <f t="shared" si="11"/>
        <v>0.05</v>
      </c>
      <c r="J60" s="718"/>
      <c r="K60" s="24">
        <f t="shared" si="12"/>
        <v>0.2</v>
      </c>
      <c r="L60" s="718"/>
      <c r="M60" s="24">
        <f t="shared" si="13"/>
        <v>1</v>
      </c>
      <c r="N60" s="718"/>
      <c r="O60" s="24">
        <f t="shared" si="14"/>
        <v>1</v>
      </c>
      <c r="P60" s="718"/>
      <c r="Q60" s="24">
        <f t="shared" si="15"/>
        <v>1</v>
      </c>
      <c r="R60" s="714">
        <f t="shared" si="16"/>
        <v>0</v>
      </c>
      <c r="S60" s="361">
        <f t="shared" si="7"/>
        <v>0</v>
      </c>
    </row>
    <row r="61" spans="1:19">
      <c r="A61" s="159"/>
      <c r="B61" s="59"/>
      <c r="C61" s="24">
        <f t="shared" si="8"/>
        <v>1</v>
      </c>
      <c r="D61" s="718"/>
      <c r="E61" s="24">
        <f t="shared" si="9"/>
        <v>0.02</v>
      </c>
      <c r="F61" s="718"/>
      <c r="G61" s="24">
        <f t="shared" si="10"/>
        <v>0.1</v>
      </c>
      <c r="H61" s="718"/>
      <c r="I61" s="24">
        <f t="shared" si="11"/>
        <v>0.05</v>
      </c>
      <c r="J61" s="718"/>
      <c r="K61" s="24">
        <f t="shared" si="12"/>
        <v>0.2</v>
      </c>
      <c r="L61" s="718"/>
      <c r="M61" s="24">
        <f t="shared" si="13"/>
        <v>1</v>
      </c>
      <c r="N61" s="718"/>
      <c r="O61" s="24">
        <f t="shared" si="14"/>
        <v>1</v>
      </c>
      <c r="P61" s="718"/>
      <c r="Q61" s="24">
        <f t="shared" si="15"/>
        <v>1</v>
      </c>
      <c r="R61" s="714">
        <f t="shared" si="16"/>
        <v>0</v>
      </c>
      <c r="S61" s="361">
        <f t="shared" si="7"/>
        <v>0</v>
      </c>
    </row>
    <row r="62" spans="1:19">
      <c r="A62" s="159"/>
      <c r="B62" s="59"/>
      <c r="C62" s="24">
        <f t="shared" si="8"/>
        <v>1</v>
      </c>
      <c r="D62" s="718"/>
      <c r="E62" s="24">
        <f t="shared" si="9"/>
        <v>0.02</v>
      </c>
      <c r="F62" s="718"/>
      <c r="G62" s="24">
        <f t="shared" si="10"/>
        <v>0.1</v>
      </c>
      <c r="H62" s="718"/>
      <c r="I62" s="24">
        <f t="shared" si="11"/>
        <v>0.05</v>
      </c>
      <c r="J62" s="718"/>
      <c r="K62" s="24">
        <f t="shared" si="12"/>
        <v>0.2</v>
      </c>
      <c r="L62" s="718"/>
      <c r="M62" s="24">
        <f t="shared" si="13"/>
        <v>1</v>
      </c>
      <c r="N62" s="718"/>
      <c r="O62" s="24">
        <f t="shared" si="14"/>
        <v>1</v>
      </c>
      <c r="P62" s="718"/>
      <c r="Q62" s="24">
        <f t="shared" si="15"/>
        <v>1</v>
      </c>
      <c r="R62" s="714">
        <f t="shared" si="16"/>
        <v>0</v>
      </c>
      <c r="S62" s="361">
        <f t="shared" si="7"/>
        <v>0</v>
      </c>
    </row>
    <row r="63" spans="1:19">
      <c r="A63" s="159"/>
      <c r="B63" s="59"/>
      <c r="C63" s="24">
        <f t="shared" si="8"/>
        <v>1</v>
      </c>
      <c r="D63" s="718"/>
      <c r="E63" s="24">
        <f t="shared" si="9"/>
        <v>0.02</v>
      </c>
      <c r="F63" s="718"/>
      <c r="G63" s="24">
        <f t="shared" si="10"/>
        <v>0.1</v>
      </c>
      <c r="H63" s="718"/>
      <c r="I63" s="24">
        <f t="shared" si="11"/>
        <v>0.05</v>
      </c>
      <c r="J63" s="718"/>
      <c r="K63" s="24">
        <f t="shared" si="12"/>
        <v>0.2</v>
      </c>
      <c r="L63" s="718"/>
      <c r="M63" s="24">
        <f t="shared" si="13"/>
        <v>1</v>
      </c>
      <c r="N63" s="718"/>
      <c r="O63" s="24">
        <f t="shared" si="14"/>
        <v>1</v>
      </c>
      <c r="P63" s="718"/>
      <c r="Q63" s="24">
        <f t="shared" si="15"/>
        <v>1</v>
      </c>
      <c r="R63" s="714">
        <f t="shared" si="16"/>
        <v>0</v>
      </c>
      <c r="S63" s="361">
        <f t="shared" si="7"/>
        <v>0</v>
      </c>
    </row>
    <row r="64" spans="1:19">
      <c r="A64" s="159"/>
      <c r="B64" s="59"/>
      <c r="C64" s="24">
        <f t="shared" si="8"/>
        <v>1</v>
      </c>
      <c r="D64" s="718"/>
      <c r="E64" s="24">
        <f t="shared" si="9"/>
        <v>0.02</v>
      </c>
      <c r="F64" s="718"/>
      <c r="G64" s="24">
        <f t="shared" si="10"/>
        <v>0.1</v>
      </c>
      <c r="H64" s="718"/>
      <c r="I64" s="24">
        <f t="shared" si="11"/>
        <v>0.05</v>
      </c>
      <c r="J64" s="718"/>
      <c r="K64" s="24">
        <f t="shared" si="12"/>
        <v>0.2</v>
      </c>
      <c r="L64" s="718"/>
      <c r="M64" s="24">
        <f t="shared" si="13"/>
        <v>1</v>
      </c>
      <c r="N64" s="718"/>
      <c r="O64" s="24">
        <f t="shared" si="14"/>
        <v>1</v>
      </c>
      <c r="P64" s="718"/>
      <c r="Q64" s="24">
        <f t="shared" si="15"/>
        <v>1</v>
      </c>
      <c r="R64" s="714">
        <f t="shared" si="16"/>
        <v>0</v>
      </c>
      <c r="S64" s="361">
        <f t="shared" si="7"/>
        <v>0</v>
      </c>
    </row>
    <row r="65" spans="1:19">
      <c r="A65" s="159"/>
      <c r="B65" s="59"/>
      <c r="C65" s="24">
        <f t="shared" si="8"/>
        <v>1</v>
      </c>
      <c r="D65" s="718"/>
      <c r="E65" s="24">
        <f t="shared" si="9"/>
        <v>0.02</v>
      </c>
      <c r="F65" s="718"/>
      <c r="G65" s="24">
        <f t="shared" si="10"/>
        <v>0.1</v>
      </c>
      <c r="H65" s="718"/>
      <c r="I65" s="24">
        <f t="shared" si="11"/>
        <v>0.05</v>
      </c>
      <c r="J65" s="718"/>
      <c r="K65" s="24">
        <f t="shared" si="12"/>
        <v>0.2</v>
      </c>
      <c r="L65" s="718"/>
      <c r="M65" s="24">
        <f t="shared" si="13"/>
        <v>1</v>
      </c>
      <c r="N65" s="718"/>
      <c r="O65" s="24">
        <f t="shared" si="14"/>
        <v>1</v>
      </c>
      <c r="P65" s="718"/>
      <c r="Q65" s="24">
        <f t="shared" si="15"/>
        <v>1</v>
      </c>
      <c r="R65" s="714">
        <f t="shared" si="16"/>
        <v>0</v>
      </c>
      <c r="S65" s="361">
        <f t="shared" si="7"/>
        <v>0</v>
      </c>
    </row>
    <row r="66" spans="1:19">
      <c r="A66" s="159"/>
      <c r="B66" s="59"/>
      <c r="C66" s="24">
        <f t="shared" si="8"/>
        <v>1</v>
      </c>
      <c r="D66" s="718"/>
      <c r="E66" s="24">
        <f t="shared" si="9"/>
        <v>0.02</v>
      </c>
      <c r="F66" s="718"/>
      <c r="G66" s="24">
        <f t="shared" si="10"/>
        <v>0.1</v>
      </c>
      <c r="H66" s="718"/>
      <c r="I66" s="24">
        <f t="shared" si="11"/>
        <v>0.05</v>
      </c>
      <c r="J66" s="718"/>
      <c r="K66" s="24">
        <f t="shared" si="12"/>
        <v>0.2</v>
      </c>
      <c r="L66" s="718"/>
      <c r="M66" s="24">
        <f t="shared" si="13"/>
        <v>1</v>
      </c>
      <c r="N66" s="718"/>
      <c r="O66" s="24">
        <f t="shared" si="14"/>
        <v>1</v>
      </c>
      <c r="P66" s="718"/>
      <c r="Q66" s="24">
        <f t="shared" si="15"/>
        <v>1</v>
      </c>
      <c r="R66" s="714">
        <f t="shared" si="16"/>
        <v>0</v>
      </c>
      <c r="S66" s="361">
        <f t="shared" si="7"/>
        <v>0</v>
      </c>
    </row>
    <row r="67" spans="1:19">
      <c r="A67" s="159"/>
      <c r="B67" s="59"/>
      <c r="C67" s="24">
        <f t="shared" si="8"/>
        <v>1</v>
      </c>
      <c r="D67" s="718"/>
      <c r="E67" s="24">
        <f t="shared" si="9"/>
        <v>0.02</v>
      </c>
      <c r="F67" s="718"/>
      <c r="G67" s="24">
        <f t="shared" si="10"/>
        <v>0.1</v>
      </c>
      <c r="H67" s="718"/>
      <c r="I67" s="24">
        <f t="shared" si="11"/>
        <v>0.05</v>
      </c>
      <c r="J67" s="718"/>
      <c r="K67" s="24">
        <f t="shared" si="12"/>
        <v>0.2</v>
      </c>
      <c r="L67" s="718"/>
      <c r="M67" s="24">
        <f t="shared" si="13"/>
        <v>1</v>
      </c>
      <c r="N67" s="718"/>
      <c r="O67" s="24">
        <f t="shared" si="14"/>
        <v>1</v>
      </c>
      <c r="P67" s="718"/>
      <c r="Q67" s="24">
        <f t="shared" si="15"/>
        <v>1</v>
      </c>
      <c r="R67" s="714">
        <f t="shared" si="16"/>
        <v>0</v>
      </c>
      <c r="S67" s="361">
        <f t="shared" si="7"/>
        <v>0</v>
      </c>
    </row>
    <row r="68" spans="1:19">
      <c r="A68" s="159"/>
      <c r="B68" s="59"/>
      <c r="C68" s="24">
        <f t="shared" si="8"/>
        <v>1</v>
      </c>
      <c r="D68" s="718"/>
      <c r="E68" s="24">
        <f t="shared" si="9"/>
        <v>0.02</v>
      </c>
      <c r="F68" s="718"/>
      <c r="G68" s="24">
        <f t="shared" si="10"/>
        <v>0.1</v>
      </c>
      <c r="H68" s="718"/>
      <c r="I68" s="24">
        <f t="shared" si="11"/>
        <v>0.05</v>
      </c>
      <c r="J68" s="718"/>
      <c r="K68" s="24">
        <f t="shared" si="12"/>
        <v>0.2</v>
      </c>
      <c r="L68" s="718"/>
      <c r="M68" s="24">
        <f t="shared" si="13"/>
        <v>1</v>
      </c>
      <c r="N68" s="718"/>
      <c r="O68" s="24">
        <f t="shared" si="14"/>
        <v>1</v>
      </c>
      <c r="P68" s="718"/>
      <c r="Q68" s="24">
        <f t="shared" si="15"/>
        <v>1</v>
      </c>
      <c r="R68" s="714">
        <f t="shared" si="16"/>
        <v>0</v>
      </c>
      <c r="S68" s="361">
        <f t="shared" si="7"/>
        <v>0</v>
      </c>
    </row>
    <row r="69" spans="1:19">
      <c r="A69" s="159"/>
      <c r="B69" s="59"/>
      <c r="C69" s="24">
        <f t="shared" si="8"/>
        <v>1</v>
      </c>
      <c r="D69" s="718"/>
      <c r="E69" s="24">
        <f t="shared" si="9"/>
        <v>0.02</v>
      </c>
      <c r="F69" s="718"/>
      <c r="G69" s="24">
        <f t="shared" si="10"/>
        <v>0.1</v>
      </c>
      <c r="H69" s="718"/>
      <c r="I69" s="24">
        <f t="shared" si="11"/>
        <v>0.05</v>
      </c>
      <c r="J69" s="718"/>
      <c r="K69" s="24">
        <f t="shared" si="12"/>
        <v>0.2</v>
      </c>
      <c r="L69" s="718"/>
      <c r="M69" s="24">
        <f t="shared" si="13"/>
        <v>1</v>
      </c>
      <c r="N69" s="718"/>
      <c r="O69" s="24">
        <f t="shared" si="14"/>
        <v>1</v>
      </c>
      <c r="P69" s="718"/>
      <c r="Q69" s="24">
        <f t="shared" si="15"/>
        <v>1</v>
      </c>
      <c r="R69" s="714">
        <f t="shared" si="16"/>
        <v>0</v>
      </c>
      <c r="S69" s="361">
        <f t="shared" si="7"/>
        <v>0</v>
      </c>
    </row>
    <row r="70" spans="1:19">
      <c r="A70" s="159"/>
      <c r="B70" s="59"/>
      <c r="C70" s="24">
        <f t="shared" si="8"/>
        <v>1</v>
      </c>
      <c r="D70" s="718"/>
      <c r="E70" s="24">
        <f t="shared" si="9"/>
        <v>0.02</v>
      </c>
      <c r="F70" s="718"/>
      <c r="G70" s="24">
        <f t="shared" si="10"/>
        <v>0.1</v>
      </c>
      <c r="H70" s="718"/>
      <c r="I70" s="24">
        <f t="shared" si="11"/>
        <v>0.05</v>
      </c>
      <c r="J70" s="718"/>
      <c r="K70" s="24">
        <f t="shared" si="12"/>
        <v>0.2</v>
      </c>
      <c r="L70" s="718"/>
      <c r="M70" s="24">
        <f t="shared" si="13"/>
        <v>1</v>
      </c>
      <c r="N70" s="718"/>
      <c r="O70" s="24">
        <f t="shared" si="14"/>
        <v>1</v>
      </c>
      <c r="P70" s="718"/>
      <c r="Q70" s="24">
        <f t="shared" si="15"/>
        <v>1</v>
      </c>
      <c r="R70" s="714">
        <f t="shared" si="16"/>
        <v>0</v>
      </c>
      <c r="S70" s="361">
        <f t="shared" si="7"/>
        <v>0</v>
      </c>
    </row>
    <row r="71" spans="1:19">
      <c r="A71" s="159"/>
      <c r="B71" s="59"/>
      <c r="C71" s="24">
        <f t="shared" si="8"/>
        <v>1</v>
      </c>
      <c r="D71" s="718"/>
      <c r="E71" s="24">
        <f t="shared" si="9"/>
        <v>0.02</v>
      </c>
      <c r="F71" s="718"/>
      <c r="G71" s="24">
        <f t="shared" si="10"/>
        <v>0.1</v>
      </c>
      <c r="H71" s="718"/>
      <c r="I71" s="24">
        <f t="shared" si="11"/>
        <v>0.05</v>
      </c>
      <c r="J71" s="718"/>
      <c r="K71" s="24">
        <f t="shared" si="12"/>
        <v>0.2</v>
      </c>
      <c r="L71" s="718"/>
      <c r="M71" s="24">
        <f t="shared" si="13"/>
        <v>1</v>
      </c>
      <c r="N71" s="718"/>
      <c r="O71" s="24">
        <f t="shared" si="14"/>
        <v>1</v>
      </c>
      <c r="P71" s="718"/>
      <c r="Q71" s="24">
        <f t="shared" si="15"/>
        <v>1</v>
      </c>
      <c r="R71" s="714">
        <f t="shared" si="16"/>
        <v>0</v>
      </c>
      <c r="S71" s="361">
        <f t="shared" si="7"/>
        <v>0</v>
      </c>
    </row>
    <row r="72" spans="1:19">
      <c r="A72" s="159"/>
      <c r="B72" s="59"/>
      <c r="C72" s="24">
        <f t="shared" si="8"/>
        <v>1</v>
      </c>
      <c r="D72" s="718"/>
      <c r="E72" s="24">
        <f t="shared" si="9"/>
        <v>0.02</v>
      </c>
      <c r="F72" s="718"/>
      <c r="G72" s="24">
        <f t="shared" si="10"/>
        <v>0.1</v>
      </c>
      <c r="H72" s="718"/>
      <c r="I72" s="24">
        <f t="shared" si="11"/>
        <v>0.05</v>
      </c>
      <c r="J72" s="718"/>
      <c r="K72" s="24">
        <f t="shared" si="12"/>
        <v>0.2</v>
      </c>
      <c r="L72" s="718"/>
      <c r="M72" s="24">
        <f t="shared" si="13"/>
        <v>1</v>
      </c>
      <c r="N72" s="718"/>
      <c r="O72" s="24">
        <f t="shared" si="14"/>
        <v>1</v>
      </c>
      <c r="P72" s="718"/>
      <c r="Q72" s="24">
        <f t="shared" si="15"/>
        <v>1</v>
      </c>
      <c r="R72" s="714">
        <f t="shared" si="16"/>
        <v>0</v>
      </c>
      <c r="S72" s="361">
        <f t="shared" si="7"/>
        <v>0</v>
      </c>
    </row>
    <row r="73" spans="1:19">
      <c r="A73" s="159"/>
      <c r="B73" s="59"/>
      <c r="C73" s="24">
        <f t="shared" si="8"/>
        <v>1</v>
      </c>
      <c r="D73" s="718"/>
      <c r="E73" s="24">
        <f t="shared" si="9"/>
        <v>0.02</v>
      </c>
      <c r="F73" s="718"/>
      <c r="G73" s="24">
        <f t="shared" si="10"/>
        <v>0.1</v>
      </c>
      <c r="H73" s="718"/>
      <c r="I73" s="24">
        <f t="shared" si="11"/>
        <v>0.05</v>
      </c>
      <c r="J73" s="718"/>
      <c r="K73" s="24">
        <f t="shared" si="12"/>
        <v>0.2</v>
      </c>
      <c r="L73" s="718"/>
      <c r="M73" s="24">
        <f t="shared" si="13"/>
        <v>1</v>
      </c>
      <c r="N73" s="718"/>
      <c r="O73" s="24">
        <f t="shared" si="14"/>
        <v>1</v>
      </c>
      <c r="P73" s="718"/>
      <c r="Q73" s="24">
        <f t="shared" si="15"/>
        <v>1</v>
      </c>
      <c r="R73" s="714">
        <f t="shared" si="16"/>
        <v>0</v>
      </c>
      <c r="S73" s="361">
        <f t="shared" si="7"/>
        <v>0</v>
      </c>
    </row>
    <row r="74" spans="1:19">
      <c r="A74" s="159"/>
      <c r="B74" s="59"/>
      <c r="C74" s="24">
        <f t="shared" si="8"/>
        <v>1</v>
      </c>
      <c r="D74" s="718"/>
      <c r="E74" s="24">
        <f t="shared" si="9"/>
        <v>0.02</v>
      </c>
      <c r="F74" s="718"/>
      <c r="G74" s="24">
        <f t="shared" si="10"/>
        <v>0.1</v>
      </c>
      <c r="H74" s="718"/>
      <c r="I74" s="24">
        <f t="shared" si="11"/>
        <v>0.05</v>
      </c>
      <c r="J74" s="718"/>
      <c r="K74" s="24">
        <f t="shared" si="12"/>
        <v>0.2</v>
      </c>
      <c r="L74" s="718"/>
      <c r="M74" s="24">
        <f t="shared" si="13"/>
        <v>1</v>
      </c>
      <c r="N74" s="718"/>
      <c r="O74" s="24">
        <f t="shared" si="14"/>
        <v>1</v>
      </c>
      <c r="P74" s="718"/>
      <c r="Q74" s="24">
        <f t="shared" si="15"/>
        <v>1</v>
      </c>
      <c r="R74" s="714">
        <f t="shared" si="16"/>
        <v>0</v>
      </c>
      <c r="S74" s="361">
        <f t="shared" si="7"/>
        <v>0</v>
      </c>
    </row>
    <row r="75" spans="1:19">
      <c r="A75" s="159"/>
      <c r="B75" s="59"/>
      <c r="C75" s="24">
        <f t="shared" si="8"/>
        <v>1</v>
      </c>
      <c r="D75" s="718"/>
      <c r="E75" s="24">
        <f t="shared" si="9"/>
        <v>0.02</v>
      </c>
      <c r="F75" s="718"/>
      <c r="G75" s="24">
        <f t="shared" si="10"/>
        <v>0.1</v>
      </c>
      <c r="H75" s="718"/>
      <c r="I75" s="24">
        <f t="shared" si="11"/>
        <v>0.05</v>
      </c>
      <c r="J75" s="718"/>
      <c r="K75" s="24">
        <f t="shared" si="12"/>
        <v>0.2</v>
      </c>
      <c r="L75" s="718"/>
      <c r="M75" s="24">
        <f t="shared" si="13"/>
        <v>1</v>
      </c>
      <c r="N75" s="718"/>
      <c r="O75" s="24">
        <f t="shared" si="14"/>
        <v>1</v>
      </c>
      <c r="P75" s="718"/>
      <c r="Q75" s="24">
        <f t="shared" si="15"/>
        <v>1</v>
      </c>
      <c r="R75" s="714">
        <f t="shared" si="16"/>
        <v>0</v>
      </c>
      <c r="S75" s="361">
        <f t="shared" si="7"/>
        <v>0</v>
      </c>
    </row>
    <row r="76" spans="1:19">
      <c r="A76" s="159"/>
      <c r="B76" s="59"/>
      <c r="C76" s="24">
        <f t="shared" si="8"/>
        <v>1</v>
      </c>
      <c r="D76" s="718"/>
      <c r="E76" s="24">
        <f t="shared" si="9"/>
        <v>0.02</v>
      </c>
      <c r="F76" s="718"/>
      <c r="G76" s="24">
        <f t="shared" si="10"/>
        <v>0.1</v>
      </c>
      <c r="H76" s="718"/>
      <c r="I76" s="24">
        <f t="shared" si="11"/>
        <v>0.05</v>
      </c>
      <c r="J76" s="718"/>
      <c r="K76" s="24">
        <f t="shared" si="12"/>
        <v>0.2</v>
      </c>
      <c r="L76" s="718"/>
      <c r="M76" s="24">
        <f t="shared" si="13"/>
        <v>1</v>
      </c>
      <c r="N76" s="718"/>
      <c r="O76" s="24">
        <f t="shared" si="14"/>
        <v>1</v>
      </c>
      <c r="P76" s="718"/>
      <c r="Q76" s="24">
        <f t="shared" si="15"/>
        <v>1</v>
      </c>
      <c r="R76" s="714">
        <f t="shared" si="16"/>
        <v>0</v>
      </c>
      <c r="S76" s="361">
        <f t="shared" si="7"/>
        <v>0</v>
      </c>
    </row>
    <row r="77" spans="1:19">
      <c r="A77" s="159"/>
      <c r="B77" s="59"/>
      <c r="C77" s="24">
        <f t="shared" si="8"/>
        <v>1</v>
      </c>
      <c r="D77" s="718"/>
      <c r="E77" s="24">
        <f t="shared" si="9"/>
        <v>0.02</v>
      </c>
      <c r="F77" s="718"/>
      <c r="G77" s="24">
        <f t="shared" si="10"/>
        <v>0.1</v>
      </c>
      <c r="H77" s="718"/>
      <c r="I77" s="24">
        <f t="shared" si="11"/>
        <v>0.05</v>
      </c>
      <c r="J77" s="718"/>
      <c r="K77" s="24">
        <f t="shared" si="12"/>
        <v>0.2</v>
      </c>
      <c r="L77" s="718"/>
      <c r="M77" s="24">
        <f t="shared" si="13"/>
        <v>1</v>
      </c>
      <c r="N77" s="718"/>
      <c r="O77" s="24">
        <f t="shared" si="14"/>
        <v>1</v>
      </c>
      <c r="P77" s="718"/>
      <c r="Q77" s="24">
        <f t="shared" si="15"/>
        <v>1</v>
      </c>
      <c r="R77" s="714">
        <f t="shared" si="16"/>
        <v>0</v>
      </c>
      <c r="S77" s="361">
        <f t="shared" si="7"/>
        <v>0</v>
      </c>
    </row>
    <row r="78" spans="1:19">
      <c r="A78" s="159"/>
      <c r="B78" s="59"/>
      <c r="C78" s="24">
        <f t="shared" si="8"/>
        <v>1</v>
      </c>
      <c r="D78" s="718"/>
      <c r="E78" s="24">
        <f t="shared" si="9"/>
        <v>0.02</v>
      </c>
      <c r="F78" s="718"/>
      <c r="G78" s="24">
        <f t="shared" si="10"/>
        <v>0.1</v>
      </c>
      <c r="H78" s="718"/>
      <c r="I78" s="24">
        <f t="shared" si="11"/>
        <v>0.05</v>
      </c>
      <c r="J78" s="718"/>
      <c r="K78" s="24">
        <f t="shared" si="12"/>
        <v>0.2</v>
      </c>
      <c r="L78" s="718"/>
      <c r="M78" s="24">
        <f t="shared" si="13"/>
        <v>1</v>
      </c>
      <c r="N78" s="718"/>
      <c r="O78" s="24">
        <f t="shared" si="14"/>
        <v>1</v>
      </c>
      <c r="P78" s="718"/>
      <c r="Q78" s="24">
        <f t="shared" si="15"/>
        <v>1</v>
      </c>
      <c r="R78" s="714">
        <f t="shared" si="16"/>
        <v>0</v>
      </c>
      <c r="S78" s="361">
        <f t="shared" si="7"/>
        <v>0</v>
      </c>
    </row>
    <row r="79" spans="1:19">
      <c r="A79" s="159"/>
      <c r="B79" s="59"/>
      <c r="C79" s="24">
        <f t="shared" si="8"/>
        <v>1</v>
      </c>
      <c r="D79" s="718"/>
      <c r="E79" s="24">
        <f t="shared" si="9"/>
        <v>0.02</v>
      </c>
      <c r="F79" s="718"/>
      <c r="G79" s="24">
        <f t="shared" si="10"/>
        <v>0.1</v>
      </c>
      <c r="H79" s="718"/>
      <c r="I79" s="24">
        <f t="shared" si="11"/>
        <v>0.05</v>
      </c>
      <c r="J79" s="718"/>
      <c r="K79" s="24">
        <f t="shared" si="12"/>
        <v>0.2</v>
      </c>
      <c r="L79" s="718"/>
      <c r="M79" s="24">
        <f t="shared" si="13"/>
        <v>1</v>
      </c>
      <c r="N79" s="718"/>
      <c r="O79" s="24">
        <f t="shared" si="14"/>
        <v>1</v>
      </c>
      <c r="P79" s="718"/>
      <c r="Q79" s="24">
        <f t="shared" si="15"/>
        <v>1</v>
      </c>
      <c r="R79" s="714">
        <f t="shared" si="16"/>
        <v>0</v>
      </c>
      <c r="S79" s="361">
        <f t="shared" si="7"/>
        <v>0</v>
      </c>
    </row>
    <row r="80" spans="1:19">
      <c r="A80" s="159"/>
      <c r="B80" s="59"/>
      <c r="C80" s="24">
        <f t="shared" si="8"/>
        <v>1</v>
      </c>
      <c r="D80" s="718"/>
      <c r="E80" s="24">
        <f t="shared" si="9"/>
        <v>0.02</v>
      </c>
      <c r="F80" s="718"/>
      <c r="G80" s="24">
        <f t="shared" si="10"/>
        <v>0.1</v>
      </c>
      <c r="H80" s="718"/>
      <c r="I80" s="24">
        <f t="shared" si="11"/>
        <v>0.05</v>
      </c>
      <c r="J80" s="718"/>
      <c r="K80" s="24">
        <f t="shared" si="12"/>
        <v>0.2</v>
      </c>
      <c r="L80" s="718"/>
      <c r="M80" s="24">
        <f t="shared" si="13"/>
        <v>1</v>
      </c>
      <c r="N80" s="718"/>
      <c r="O80" s="24">
        <f t="shared" si="14"/>
        <v>1</v>
      </c>
      <c r="P80" s="718"/>
      <c r="Q80" s="24">
        <f t="shared" si="15"/>
        <v>1</v>
      </c>
      <c r="R80" s="714">
        <f t="shared" si="16"/>
        <v>0</v>
      </c>
      <c r="S80" s="361">
        <f t="shared" si="7"/>
        <v>0</v>
      </c>
    </row>
    <row r="81" spans="1:19">
      <c r="A81" s="159"/>
      <c r="B81" s="59"/>
      <c r="C81" s="24">
        <f t="shared" si="8"/>
        <v>1</v>
      </c>
      <c r="D81" s="718"/>
      <c r="E81" s="24">
        <f t="shared" si="9"/>
        <v>0.02</v>
      </c>
      <c r="F81" s="718"/>
      <c r="G81" s="24">
        <f t="shared" si="10"/>
        <v>0.1</v>
      </c>
      <c r="H81" s="718"/>
      <c r="I81" s="24">
        <f t="shared" si="11"/>
        <v>0.05</v>
      </c>
      <c r="J81" s="718"/>
      <c r="K81" s="24">
        <f t="shared" si="12"/>
        <v>0.2</v>
      </c>
      <c r="L81" s="718"/>
      <c r="M81" s="24">
        <f t="shared" si="13"/>
        <v>1</v>
      </c>
      <c r="N81" s="718"/>
      <c r="O81" s="24">
        <f t="shared" si="14"/>
        <v>1</v>
      </c>
      <c r="P81" s="718"/>
      <c r="Q81" s="24">
        <f t="shared" si="15"/>
        <v>1</v>
      </c>
      <c r="R81" s="714">
        <f t="shared" si="16"/>
        <v>0</v>
      </c>
      <c r="S81" s="361">
        <f t="shared" si="7"/>
        <v>0</v>
      </c>
    </row>
    <row r="82" spans="1:19">
      <c r="A82" s="159"/>
      <c r="B82" s="59"/>
      <c r="C82" s="24">
        <f t="shared" si="8"/>
        <v>1</v>
      </c>
      <c r="D82" s="718"/>
      <c r="E82" s="24">
        <f t="shared" si="9"/>
        <v>0.02</v>
      </c>
      <c r="F82" s="718"/>
      <c r="G82" s="24">
        <f t="shared" si="10"/>
        <v>0.1</v>
      </c>
      <c r="H82" s="718"/>
      <c r="I82" s="24">
        <f t="shared" si="11"/>
        <v>0.05</v>
      </c>
      <c r="J82" s="718"/>
      <c r="K82" s="24">
        <f t="shared" si="12"/>
        <v>0.2</v>
      </c>
      <c r="L82" s="718"/>
      <c r="M82" s="24">
        <f t="shared" si="13"/>
        <v>1</v>
      </c>
      <c r="N82" s="718"/>
      <c r="O82" s="24">
        <f t="shared" si="14"/>
        <v>1</v>
      </c>
      <c r="P82" s="718"/>
      <c r="Q82" s="24">
        <f t="shared" si="15"/>
        <v>1</v>
      </c>
      <c r="R82" s="714">
        <f t="shared" si="16"/>
        <v>0</v>
      </c>
      <c r="S82" s="361">
        <f t="shared" si="7"/>
        <v>0</v>
      </c>
    </row>
    <row r="83" spans="1:19">
      <c r="A83" s="159"/>
      <c r="B83" s="59"/>
      <c r="C83" s="24">
        <f t="shared" si="8"/>
        <v>1</v>
      </c>
      <c r="D83" s="718"/>
      <c r="E83" s="24">
        <f t="shared" si="9"/>
        <v>0.02</v>
      </c>
      <c r="F83" s="718"/>
      <c r="G83" s="24">
        <f t="shared" si="10"/>
        <v>0.1</v>
      </c>
      <c r="H83" s="718"/>
      <c r="I83" s="24">
        <f t="shared" si="11"/>
        <v>0.05</v>
      </c>
      <c r="J83" s="718"/>
      <c r="K83" s="24">
        <f t="shared" si="12"/>
        <v>0.2</v>
      </c>
      <c r="L83" s="718"/>
      <c r="M83" s="24">
        <f t="shared" si="13"/>
        <v>1</v>
      </c>
      <c r="N83" s="718"/>
      <c r="O83" s="24">
        <f t="shared" si="14"/>
        <v>1</v>
      </c>
      <c r="P83" s="718"/>
      <c r="Q83" s="24">
        <f t="shared" si="15"/>
        <v>1</v>
      </c>
      <c r="R83" s="714">
        <f t="shared" si="16"/>
        <v>0</v>
      </c>
      <c r="S83" s="361">
        <f t="shared" si="7"/>
        <v>0</v>
      </c>
    </row>
    <row r="84" spans="1:19">
      <c r="A84" s="159"/>
      <c r="B84" s="59"/>
      <c r="C84" s="24">
        <f t="shared" si="8"/>
        <v>1</v>
      </c>
      <c r="D84" s="718"/>
      <c r="E84" s="24">
        <f t="shared" si="9"/>
        <v>0.02</v>
      </c>
      <c r="F84" s="718"/>
      <c r="G84" s="24">
        <f t="shared" si="10"/>
        <v>0.1</v>
      </c>
      <c r="H84" s="718"/>
      <c r="I84" s="24">
        <f t="shared" si="11"/>
        <v>0.05</v>
      </c>
      <c r="J84" s="718"/>
      <c r="K84" s="24">
        <f t="shared" si="12"/>
        <v>0.2</v>
      </c>
      <c r="L84" s="718"/>
      <c r="M84" s="24">
        <f t="shared" si="13"/>
        <v>1</v>
      </c>
      <c r="N84" s="718"/>
      <c r="O84" s="24">
        <f t="shared" si="14"/>
        <v>1</v>
      </c>
      <c r="P84" s="718"/>
      <c r="Q84" s="24">
        <f t="shared" si="15"/>
        <v>1</v>
      </c>
      <c r="R84" s="714">
        <f t="shared" si="16"/>
        <v>0</v>
      </c>
      <c r="S84" s="361">
        <f t="shared" si="7"/>
        <v>0</v>
      </c>
    </row>
    <row r="85" spans="1:19">
      <c r="A85" s="159"/>
      <c r="B85" s="59"/>
      <c r="C85" s="24">
        <f t="shared" si="8"/>
        <v>1</v>
      </c>
      <c r="D85" s="718"/>
      <c r="E85" s="24">
        <f t="shared" si="9"/>
        <v>0.02</v>
      </c>
      <c r="F85" s="718"/>
      <c r="G85" s="24">
        <f t="shared" si="10"/>
        <v>0.1</v>
      </c>
      <c r="H85" s="718"/>
      <c r="I85" s="24">
        <f t="shared" si="11"/>
        <v>0.05</v>
      </c>
      <c r="J85" s="718"/>
      <c r="K85" s="24">
        <f t="shared" si="12"/>
        <v>0.2</v>
      </c>
      <c r="L85" s="718"/>
      <c r="M85" s="24">
        <f t="shared" si="13"/>
        <v>1</v>
      </c>
      <c r="N85" s="718"/>
      <c r="O85" s="24">
        <f t="shared" si="14"/>
        <v>1</v>
      </c>
      <c r="P85" s="718"/>
      <c r="Q85" s="24">
        <f t="shared" si="15"/>
        <v>1</v>
      </c>
      <c r="R85" s="714">
        <f t="shared" si="16"/>
        <v>0</v>
      </c>
      <c r="S85" s="361">
        <f t="shared" si="7"/>
        <v>0</v>
      </c>
    </row>
    <row r="86" spans="1:19">
      <c r="A86" s="159"/>
      <c r="B86" s="59"/>
      <c r="C86" s="24">
        <f t="shared" si="8"/>
        <v>1</v>
      </c>
      <c r="D86" s="718"/>
      <c r="E86" s="24">
        <f t="shared" si="9"/>
        <v>0.02</v>
      </c>
      <c r="F86" s="718"/>
      <c r="G86" s="24">
        <f t="shared" si="10"/>
        <v>0.1</v>
      </c>
      <c r="H86" s="718"/>
      <c r="I86" s="24">
        <f t="shared" si="11"/>
        <v>0.05</v>
      </c>
      <c r="J86" s="718"/>
      <c r="K86" s="24">
        <f t="shared" si="12"/>
        <v>0.2</v>
      </c>
      <c r="L86" s="718"/>
      <c r="M86" s="24">
        <f t="shared" si="13"/>
        <v>1</v>
      </c>
      <c r="N86" s="718"/>
      <c r="O86" s="24">
        <f t="shared" si="14"/>
        <v>1</v>
      </c>
      <c r="P86" s="718"/>
      <c r="Q86" s="24">
        <f t="shared" si="15"/>
        <v>1</v>
      </c>
      <c r="R86" s="714">
        <f t="shared" si="16"/>
        <v>0</v>
      </c>
      <c r="S86" s="361">
        <f t="shared" si="7"/>
        <v>0</v>
      </c>
    </row>
    <row r="87" spans="1:19">
      <c r="A87" s="159"/>
      <c r="B87" s="59"/>
      <c r="C87" s="24">
        <f t="shared" si="8"/>
        <v>1</v>
      </c>
      <c r="D87" s="718"/>
      <c r="E87" s="24">
        <f t="shared" si="9"/>
        <v>0.02</v>
      </c>
      <c r="F87" s="718"/>
      <c r="G87" s="24">
        <f t="shared" si="10"/>
        <v>0.1</v>
      </c>
      <c r="H87" s="718"/>
      <c r="I87" s="24">
        <f t="shared" si="11"/>
        <v>0.05</v>
      </c>
      <c r="J87" s="718"/>
      <c r="K87" s="24">
        <f t="shared" si="12"/>
        <v>0.2</v>
      </c>
      <c r="L87" s="718"/>
      <c r="M87" s="24">
        <f t="shared" si="13"/>
        <v>1</v>
      </c>
      <c r="N87" s="718"/>
      <c r="O87" s="24">
        <f t="shared" si="14"/>
        <v>1</v>
      </c>
      <c r="P87" s="718"/>
      <c r="Q87" s="24">
        <f t="shared" si="15"/>
        <v>1</v>
      </c>
      <c r="R87" s="714">
        <f t="shared" si="16"/>
        <v>0</v>
      </c>
      <c r="S87" s="361">
        <f t="shared" si="7"/>
        <v>0</v>
      </c>
    </row>
    <row r="88" spans="1:19">
      <c r="A88" s="159"/>
      <c r="B88" s="59"/>
      <c r="C88" s="24">
        <f t="shared" si="8"/>
        <v>1</v>
      </c>
      <c r="D88" s="718"/>
      <c r="E88" s="24">
        <f t="shared" si="9"/>
        <v>0.02</v>
      </c>
      <c r="F88" s="718"/>
      <c r="G88" s="24">
        <f t="shared" si="10"/>
        <v>0.1</v>
      </c>
      <c r="H88" s="718"/>
      <c r="I88" s="24">
        <f t="shared" si="11"/>
        <v>0.05</v>
      </c>
      <c r="J88" s="718"/>
      <c r="K88" s="24">
        <f t="shared" si="12"/>
        <v>0.2</v>
      </c>
      <c r="L88" s="718"/>
      <c r="M88" s="24">
        <f t="shared" si="13"/>
        <v>1</v>
      </c>
      <c r="N88" s="718"/>
      <c r="O88" s="24">
        <f t="shared" si="14"/>
        <v>1</v>
      </c>
      <c r="P88" s="718"/>
      <c r="Q88" s="24">
        <f t="shared" si="15"/>
        <v>1</v>
      </c>
      <c r="R88" s="714">
        <f t="shared" si="16"/>
        <v>0</v>
      </c>
      <c r="S88" s="361">
        <f t="shared" ref="S88:S151" si="17">ROUND(R88*B88/10000,0)</f>
        <v>0</v>
      </c>
    </row>
    <row r="89" spans="1:19">
      <c r="A89" s="159"/>
      <c r="B89" s="59"/>
      <c r="C89" s="24">
        <f t="shared" si="8"/>
        <v>1</v>
      </c>
      <c r="D89" s="718"/>
      <c r="E89" s="24">
        <f t="shared" si="9"/>
        <v>0.02</v>
      </c>
      <c r="F89" s="718"/>
      <c r="G89" s="24">
        <f t="shared" si="10"/>
        <v>0.1</v>
      </c>
      <c r="H89" s="718"/>
      <c r="I89" s="24">
        <f t="shared" si="11"/>
        <v>0.05</v>
      </c>
      <c r="J89" s="718"/>
      <c r="K89" s="24">
        <f t="shared" si="12"/>
        <v>0.2</v>
      </c>
      <c r="L89" s="718"/>
      <c r="M89" s="24">
        <f t="shared" si="13"/>
        <v>1</v>
      </c>
      <c r="N89" s="718"/>
      <c r="O89" s="24">
        <f t="shared" si="14"/>
        <v>1</v>
      </c>
      <c r="P89" s="718"/>
      <c r="Q89" s="24">
        <f t="shared" si="15"/>
        <v>1</v>
      </c>
      <c r="R89" s="714">
        <f t="shared" si="16"/>
        <v>0</v>
      </c>
      <c r="S89" s="361">
        <f t="shared" si="17"/>
        <v>0</v>
      </c>
    </row>
    <row r="90" spans="1:19">
      <c r="A90" s="159"/>
      <c r="B90" s="59"/>
      <c r="C90" s="24">
        <f t="shared" ref="C90:C153" si="18">IF(B90="",1,(LOOKUP(B90,$3:$3,$4:$4)-LOOKUP($B$24,$3:$3,$4:$4)+100)/100)</f>
        <v>1</v>
      </c>
      <c r="D90" s="718"/>
      <c r="E90" s="24">
        <f t="shared" ref="E90:E153" si="19">(SUMIF($5:$5,D90,$6:$6)-SUMIF($5:$5,$D$24,$6:$6)+100)/100</f>
        <v>0.02</v>
      </c>
      <c r="F90" s="718"/>
      <c r="G90" s="24">
        <f t="shared" ref="G90:G153" si="20">(SUMIF($7:$7,F90,$8:$8)-SUMIF($7:$7,$F$24,$8:$8)+100)/100</f>
        <v>0.1</v>
      </c>
      <c r="H90" s="718"/>
      <c r="I90" s="24">
        <f t="shared" ref="I90:I153" si="21">(SUMIF($9:$9,H90,$10:$10)-SUMIF($9:$9,$H$24,$10:$10)+100)/100</f>
        <v>0.05</v>
      </c>
      <c r="J90" s="718"/>
      <c r="K90" s="24">
        <f t="shared" ref="K90:K153" si="22">(SUMIF($11:$11,J90,$12:$12)-SUMIF($11:$11,$J$24,$12:$12)+100)/100</f>
        <v>0.2</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61">
        <f t="shared" si="17"/>
        <v>0</v>
      </c>
    </row>
    <row r="91" spans="1:19">
      <c r="A91" s="159"/>
      <c r="B91" s="59"/>
      <c r="C91" s="24">
        <f t="shared" si="18"/>
        <v>1</v>
      </c>
      <c r="D91" s="718"/>
      <c r="E91" s="24">
        <f t="shared" si="19"/>
        <v>0.02</v>
      </c>
      <c r="F91" s="718"/>
      <c r="G91" s="24">
        <f t="shared" si="20"/>
        <v>0.1</v>
      </c>
      <c r="H91" s="718"/>
      <c r="I91" s="24">
        <f t="shared" si="21"/>
        <v>0.05</v>
      </c>
      <c r="J91" s="718"/>
      <c r="K91" s="24">
        <f t="shared" si="22"/>
        <v>0.2</v>
      </c>
      <c r="L91" s="718"/>
      <c r="M91" s="24">
        <f t="shared" si="23"/>
        <v>1</v>
      </c>
      <c r="N91" s="718"/>
      <c r="O91" s="24">
        <f t="shared" si="24"/>
        <v>1</v>
      </c>
      <c r="P91" s="718"/>
      <c r="Q91" s="24">
        <f t="shared" si="25"/>
        <v>1</v>
      </c>
      <c r="R91" s="714">
        <f t="shared" si="26"/>
        <v>0</v>
      </c>
      <c r="S91" s="361">
        <f t="shared" si="17"/>
        <v>0</v>
      </c>
    </row>
    <row r="92" spans="1:19">
      <c r="A92" s="159"/>
      <c r="B92" s="59"/>
      <c r="C92" s="24">
        <f t="shared" si="18"/>
        <v>1</v>
      </c>
      <c r="D92" s="718"/>
      <c r="E92" s="24">
        <f t="shared" si="19"/>
        <v>0.02</v>
      </c>
      <c r="F92" s="718"/>
      <c r="G92" s="24">
        <f t="shared" si="20"/>
        <v>0.1</v>
      </c>
      <c r="H92" s="718"/>
      <c r="I92" s="24">
        <f t="shared" si="21"/>
        <v>0.05</v>
      </c>
      <c r="J92" s="718"/>
      <c r="K92" s="24">
        <f t="shared" si="22"/>
        <v>0.2</v>
      </c>
      <c r="L92" s="718"/>
      <c r="M92" s="24">
        <f t="shared" si="23"/>
        <v>1</v>
      </c>
      <c r="N92" s="718"/>
      <c r="O92" s="24">
        <f t="shared" si="24"/>
        <v>1</v>
      </c>
      <c r="P92" s="718"/>
      <c r="Q92" s="24">
        <f t="shared" si="25"/>
        <v>1</v>
      </c>
      <c r="R92" s="714">
        <f t="shared" si="26"/>
        <v>0</v>
      </c>
      <c r="S92" s="361">
        <f t="shared" si="17"/>
        <v>0</v>
      </c>
    </row>
    <row r="93" spans="1:19">
      <c r="A93" s="159"/>
      <c r="B93" s="59"/>
      <c r="C93" s="24">
        <f t="shared" si="18"/>
        <v>1</v>
      </c>
      <c r="D93" s="718"/>
      <c r="E93" s="24">
        <f t="shared" si="19"/>
        <v>0.02</v>
      </c>
      <c r="F93" s="718"/>
      <c r="G93" s="24">
        <f t="shared" si="20"/>
        <v>0.1</v>
      </c>
      <c r="H93" s="718"/>
      <c r="I93" s="24">
        <f t="shared" si="21"/>
        <v>0.05</v>
      </c>
      <c r="J93" s="718"/>
      <c r="K93" s="24">
        <f t="shared" si="22"/>
        <v>0.2</v>
      </c>
      <c r="L93" s="718"/>
      <c r="M93" s="24">
        <f t="shared" si="23"/>
        <v>1</v>
      </c>
      <c r="N93" s="718"/>
      <c r="O93" s="24">
        <f t="shared" si="24"/>
        <v>1</v>
      </c>
      <c r="P93" s="718"/>
      <c r="Q93" s="24">
        <f t="shared" si="25"/>
        <v>1</v>
      </c>
      <c r="R93" s="714">
        <f t="shared" si="26"/>
        <v>0</v>
      </c>
      <c r="S93" s="361">
        <f t="shared" si="17"/>
        <v>0</v>
      </c>
    </row>
    <row r="94" spans="1:19">
      <c r="A94" s="159"/>
      <c r="B94" s="59"/>
      <c r="C94" s="24">
        <f t="shared" si="18"/>
        <v>1</v>
      </c>
      <c r="D94" s="718"/>
      <c r="E94" s="24">
        <f t="shared" si="19"/>
        <v>0.02</v>
      </c>
      <c r="F94" s="718"/>
      <c r="G94" s="24">
        <f t="shared" si="20"/>
        <v>0.1</v>
      </c>
      <c r="H94" s="718"/>
      <c r="I94" s="24">
        <f t="shared" si="21"/>
        <v>0.05</v>
      </c>
      <c r="J94" s="718"/>
      <c r="K94" s="24">
        <f t="shared" si="22"/>
        <v>0.2</v>
      </c>
      <c r="L94" s="718"/>
      <c r="M94" s="24">
        <f t="shared" si="23"/>
        <v>1</v>
      </c>
      <c r="N94" s="718"/>
      <c r="O94" s="24">
        <f t="shared" si="24"/>
        <v>1</v>
      </c>
      <c r="P94" s="718"/>
      <c r="Q94" s="24">
        <f t="shared" si="25"/>
        <v>1</v>
      </c>
      <c r="R94" s="714">
        <f t="shared" si="26"/>
        <v>0</v>
      </c>
      <c r="S94" s="361">
        <f t="shared" si="17"/>
        <v>0</v>
      </c>
    </row>
    <row r="95" spans="1:19">
      <c r="A95" s="159"/>
      <c r="B95" s="59"/>
      <c r="C95" s="24">
        <f t="shared" si="18"/>
        <v>1</v>
      </c>
      <c r="D95" s="718"/>
      <c r="E95" s="24">
        <f t="shared" si="19"/>
        <v>0.02</v>
      </c>
      <c r="F95" s="718"/>
      <c r="G95" s="24">
        <f t="shared" si="20"/>
        <v>0.1</v>
      </c>
      <c r="H95" s="718"/>
      <c r="I95" s="24">
        <f t="shared" si="21"/>
        <v>0.05</v>
      </c>
      <c r="J95" s="718"/>
      <c r="K95" s="24">
        <f t="shared" si="22"/>
        <v>0.2</v>
      </c>
      <c r="L95" s="718"/>
      <c r="M95" s="24">
        <f t="shared" si="23"/>
        <v>1</v>
      </c>
      <c r="N95" s="718"/>
      <c r="O95" s="24">
        <f t="shared" si="24"/>
        <v>1</v>
      </c>
      <c r="P95" s="718"/>
      <c r="Q95" s="24">
        <f t="shared" si="25"/>
        <v>1</v>
      </c>
      <c r="R95" s="714">
        <f t="shared" si="26"/>
        <v>0</v>
      </c>
      <c r="S95" s="361">
        <f t="shared" si="17"/>
        <v>0</v>
      </c>
    </row>
    <row r="96" spans="1:19">
      <c r="A96" s="159"/>
      <c r="B96" s="59"/>
      <c r="C96" s="24">
        <f t="shared" si="18"/>
        <v>1</v>
      </c>
      <c r="D96" s="718"/>
      <c r="E96" s="24">
        <f t="shared" si="19"/>
        <v>0.02</v>
      </c>
      <c r="F96" s="718"/>
      <c r="G96" s="24">
        <f t="shared" si="20"/>
        <v>0.1</v>
      </c>
      <c r="H96" s="718"/>
      <c r="I96" s="24">
        <f t="shared" si="21"/>
        <v>0.05</v>
      </c>
      <c r="J96" s="718"/>
      <c r="K96" s="24">
        <f t="shared" si="22"/>
        <v>0.2</v>
      </c>
      <c r="L96" s="718"/>
      <c r="M96" s="24">
        <f t="shared" si="23"/>
        <v>1</v>
      </c>
      <c r="N96" s="718"/>
      <c r="O96" s="24">
        <f t="shared" si="24"/>
        <v>1</v>
      </c>
      <c r="P96" s="718"/>
      <c r="Q96" s="24">
        <f t="shared" si="25"/>
        <v>1</v>
      </c>
      <c r="R96" s="714">
        <f t="shared" si="26"/>
        <v>0</v>
      </c>
      <c r="S96" s="361">
        <f t="shared" si="17"/>
        <v>0</v>
      </c>
    </row>
    <row r="97" spans="1:19">
      <c r="A97" s="159"/>
      <c r="B97" s="59"/>
      <c r="C97" s="24">
        <f t="shared" si="18"/>
        <v>1</v>
      </c>
      <c r="D97" s="718"/>
      <c r="E97" s="24">
        <f t="shared" si="19"/>
        <v>0.02</v>
      </c>
      <c r="F97" s="718"/>
      <c r="G97" s="24">
        <f t="shared" si="20"/>
        <v>0.1</v>
      </c>
      <c r="H97" s="718"/>
      <c r="I97" s="24">
        <f t="shared" si="21"/>
        <v>0.05</v>
      </c>
      <c r="J97" s="718"/>
      <c r="K97" s="24">
        <f t="shared" si="22"/>
        <v>0.2</v>
      </c>
      <c r="L97" s="718"/>
      <c r="M97" s="24">
        <f t="shared" si="23"/>
        <v>1</v>
      </c>
      <c r="N97" s="718"/>
      <c r="O97" s="24">
        <f t="shared" si="24"/>
        <v>1</v>
      </c>
      <c r="P97" s="718"/>
      <c r="Q97" s="24">
        <f t="shared" si="25"/>
        <v>1</v>
      </c>
      <c r="R97" s="714">
        <f t="shared" si="26"/>
        <v>0</v>
      </c>
      <c r="S97" s="361">
        <f t="shared" si="17"/>
        <v>0</v>
      </c>
    </row>
    <row r="98" spans="1:19">
      <c r="A98" s="159"/>
      <c r="B98" s="59"/>
      <c r="C98" s="24">
        <f t="shared" si="18"/>
        <v>1</v>
      </c>
      <c r="D98" s="718"/>
      <c r="E98" s="24">
        <f t="shared" si="19"/>
        <v>0.02</v>
      </c>
      <c r="F98" s="718"/>
      <c r="G98" s="24">
        <f t="shared" si="20"/>
        <v>0.1</v>
      </c>
      <c r="H98" s="718"/>
      <c r="I98" s="24">
        <f t="shared" si="21"/>
        <v>0.05</v>
      </c>
      <c r="J98" s="718"/>
      <c r="K98" s="24">
        <f t="shared" si="22"/>
        <v>0.2</v>
      </c>
      <c r="L98" s="718"/>
      <c r="M98" s="24">
        <f t="shared" si="23"/>
        <v>1</v>
      </c>
      <c r="N98" s="718"/>
      <c r="O98" s="24">
        <f t="shared" si="24"/>
        <v>1</v>
      </c>
      <c r="P98" s="718"/>
      <c r="Q98" s="24">
        <f t="shared" si="25"/>
        <v>1</v>
      </c>
      <c r="R98" s="714">
        <f t="shared" si="26"/>
        <v>0</v>
      </c>
      <c r="S98" s="361">
        <f t="shared" si="17"/>
        <v>0</v>
      </c>
    </row>
    <row r="99" spans="1:19">
      <c r="A99" s="159"/>
      <c r="B99" s="59"/>
      <c r="C99" s="24">
        <f t="shared" si="18"/>
        <v>1</v>
      </c>
      <c r="D99" s="718"/>
      <c r="E99" s="24">
        <f t="shared" si="19"/>
        <v>0.02</v>
      </c>
      <c r="F99" s="718"/>
      <c r="G99" s="24">
        <f t="shared" si="20"/>
        <v>0.1</v>
      </c>
      <c r="H99" s="718"/>
      <c r="I99" s="24">
        <f t="shared" si="21"/>
        <v>0.05</v>
      </c>
      <c r="J99" s="718"/>
      <c r="K99" s="24">
        <f t="shared" si="22"/>
        <v>0.2</v>
      </c>
      <c r="L99" s="718"/>
      <c r="M99" s="24">
        <f t="shared" si="23"/>
        <v>1</v>
      </c>
      <c r="N99" s="718"/>
      <c r="O99" s="24">
        <f t="shared" si="24"/>
        <v>1</v>
      </c>
      <c r="P99" s="718"/>
      <c r="Q99" s="24">
        <f t="shared" si="25"/>
        <v>1</v>
      </c>
      <c r="R99" s="714">
        <f t="shared" si="26"/>
        <v>0</v>
      </c>
      <c r="S99" s="361">
        <f t="shared" si="17"/>
        <v>0</v>
      </c>
    </row>
    <row r="100" spans="1:19">
      <c r="A100" s="159"/>
      <c r="B100" s="59"/>
      <c r="C100" s="24">
        <f t="shared" si="18"/>
        <v>1</v>
      </c>
      <c r="D100" s="718"/>
      <c r="E100" s="24">
        <f t="shared" si="19"/>
        <v>0.02</v>
      </c>
      <c r="F100" s="718"/>
      <c r="G100" s="24">
        <f t="shared" si="20"/>
        <v>0.1</v>
      </c>
      <c r="H100" s="718"/>
      <c r="I100" s="24">
        <f t="shared" si="21"/>
        <v>0.05</v>
      </c>
      <c r="J100" s="718"/>
      <c r="K100" s="24">
        <f t="shared" si="22"/>
        <v>0.2</v>
      </c>
      <c r="L100" s="718"/>
      <c r="M100" s="24">
        <f t="shared" si="23"/>
        <v>1</v>
      </c>
      <c r="N100" s="718"/>
      <c r="O100" s="24">
        <f t="shared" si="24"/>
        <v>1</v>
      </c>
      <c r="P100" s="718"/>
      <c r="Q100" s="24">
        <f t="shared" si="25"/>
        <v>1</v>
      </c>
      <c r="R100" s="714">
        <f t="shared" si="26"/>
        <v>0</v>
      </c>
      <c r="S100" s="361">
        <f t="shared" si="17"/>
        <v>0</v>
      </c>
    </row>
    <row r="101" spans="1:19">
      <c r="A101" s="159"/>
      <c r="B101" s="59"/>
      <c r="C101" s="24">
        <f t="shared" si="18"/>
        <v>1</v>
      </c>
      <c r="D101" s="718"/>
      <c r="E101" s="24">
        <f t="shared" si="19"/>
        <v>0.02</v>
      </c>
      <c r="F101" s="718"/>
      <c r="G101" s="24">
        <f t="shared" si="20"/>
        <v>0.1</v>
      </c>
      <c r="H101" s="718"/>
      <c r="I101" s="24">
        <f t="shared" si="21"/>
        <v>0.05</v>
      </c>
      <c r="J101" s="718"/>
      <c r="K101" s="24">
        <f t="shared" si="22"/>
        <v>0.2</v>
      </c>
      <c r="L101" s="718"/>
      <c r="M101" s="24">
        <f t="shared" si="23"/>
        <v>1</v>
      </c>
      <c r="N101" s="718"/>
      <c r="O101" s="24">
        <f t="shared" si="24"/>
        <v>1</v>
      </c>
      <c r="P101" s="718"/>
      <c r="Q101" s="24">
        <f t="shared" si="25"/>
        <v>1</v>
      </c>
      <c r="R101" s="714">
        <f t="shared" si="26"/>
        <v>0</v>
      </c>
      <c r="S101" s="361">
        <f t="shared" si="17"/>
        <v>0</v>
      </c>
    </row>
    <row r="102" spans="1:19">
      <c r="A102" s="159"/>
      <c r="B102" s="59"/>
      <c r="C102" s="24">
        <f t="shared" si="18"/>
        <v>1</v>
      </c>
      <c r="D102" s="718"/>
      <c r="E102" s="24">
        <f t="shared" si="19"/>
        <v>0.02</v>
      </c>
      <c r="F102" s="718"/>
      <c r="G102" s="24">
        <f t="shared" si="20"/>
        <v>0.1</v>
      </c>
      <c r="H102" s="718"/>
      <c r="I102" s="24">
        <f t="shared" si="21"/>
        <v>0.05</v>
      </c>
      <c r="J102" s="718"/>
      <c r="K102" s="24">
        <f t="shared" si="22"/>
        <v>0.2</v>
      </c>
      <c r="L102" s="718"/>
      <c r="M102" s="24">
        <f t="shared" si="23"/>
        <v>1</v>
      </c>
      <c r="N102" s="718"/>
      <c r="O102" s="24">
        <f t="shared" si="24"/>
        <v>1</v>
      </c>
      <c r="P102" s="718"/>
      <c r="Q102" s="24">
        <f t="shared" si="25"/>
        <v>1</v>
      </c>
      <c r="R102" s="714">
        <f t="shared" si="26"/>
        <v>0</v>
      </c>
      <c r="S102" s="361">
        <f t="shared" si="17"/>
        <v>0</v>
      </c>
    </row>
    <row r="103" spans="1:19">
      <c r="A103" s="159"/>
      <c r="B103" s="59"/>
      <c r="C103" s="24">
        <f t="shared" si="18"/>
        <v>1</v>
      </c>
      <c r="D103" s="718"/>
      <c r="E103" s="24">
        <f t="shared" si="19"/>
        <v>0.02</v>
      </c>
      <c r="F103" s="718"/>
      <c r="G103" s="24">
        <f t="shared" si="20"/>
        <v>0.1</v>
      </c>
      <c r="H103" s="718"/>
      <c r="I103" s="24">
        <f t="shared" si="21"/>
        <v>0.05</v>
      </c>
      <c r="J103" s="718"/>
      <c r="K103" s="24">
        <f t="shared" si="22"/>
        <v>0.2</v>
      </c>
      <c r="L103" s="718"/>
      <c r="M103" s="24">
        <f t="shared" si="23"/>
        <v>1</v>
      </c>
      <c r="N103" s="718"/>
      <c r="O103" s="24">
        <f t="shared" si="24"/>
        <v>1</v>
      </c>
      <c r="P103" s="718"/>
      <c r="Q103" s="24">
        <f t="shared" si="25"/>
        <v>1</v>
      </c>
      <c r="R103" s="714">
        <f t="shared" si="26"/>
        <v>0</v>
      </c>
      <c r="S103" s="361">
        <f t="shared" si="17"/>
        <v>0</v>
      </c>
    </row>
    <row r="104" spans="1:19">
      <c r="A104" s="159"/>
      <c r="B104" s="59"/>
      <c r="C104" s="24">
        <f t="shared" si="18"/>
        <v>1</v>
      </c>
      <c r="D104" s="718"/>
      <c r="E104" s="24">
        <f t="shared" si="19"/>
        <v>0.02</v>
      </c>
      <c r="F104" s="718"/>
      <c r="G104" s="24">
        <f t="shared" si="20"/>
        <v>0.1</v>
      </c>
      <c r="H104" s="718"/>
      <c r="I104" s="24">
        <f t="shared" si="21"/>
        <v>0.05</v>
      </c>
      <c r="J104" s="718"/>
      <c r="K104" s="24">
        <f t="shared" si="22"/>
        <v>0.2</v>
      </c>
      <c r="L104" s="718"/>
      <c r="M104" s="24">
        <f t="shared" si="23"/>
        <v>1</v>
      </c>
      <c r="N104" s="718"/>
      <c r="O104" s="24">
        <f t="shared" si="24"/>
        <v>1</v>
      </c>
      <c r="P104" s="718"/>
      <c r="Q104" s="24">
        <f t="shared" si="25"/>
        <v>1</v>
      </c>
      <c r="R104" s="714">
        <f t="shared" si="26"/>
        <v>0</v>
      </c>
      <c r="S104" s="361">
        <f t="shared" si="17"/>
        <v>0</v>
      </c>
    </row>
    <row r="105" spans="1:19">
      <c r="A105" s="159"/>
      <c r="B105" s="59"/>
      <c r="C105" s="24">
        <f t="shared" si="18"/>
        <v>1</v>
      </c>
      <c r="D105" s="718"/>
      <c r="E105" s="24">
        <f t="shared" si="19"/>
        <v>0.02</v>
      </c>
      <c r="F105" s="718"/>
      <c r="G105" s="24">
        <f t="shared" si="20"/>
        <v>0.1</v>
      </c>
      <c r="H105" s="718"/>
      <c r="I105" s="24">
        <f t="shared" si="21"/>
        <v>0.05</v>
      </c>
      <c r="J105" s="718"/>
      <c r="K105" s="24">
        <f t="shared" si="22"/>
        <v>0.2</v>
      </c>
      <c r="L105" s="718"/>
      <c r="M105" s="24">
        <f t="shared" si="23"/>
        <v>1</v>
      </c>
      <c r="N105" s="718"/>
      <c r="O105" s="24">
        <f t="shared" si="24"/>
        <v>1</v>
      </c>
      <c r="P105" s="718"/>
      <c r="Q105" s="24">
        <f t="shared" si="25"/>
        <v>1</v>
      </c>
      <c r="R105" s="714">
        <f t="shared" si="26"/>
        <v>0</v>
      </c>
      <c r="S105" s="361">
        <f t="shared" si="17"/>
        <v>0</v>
      </c>
    </row>
    <row r="106" spans="1:19">
      <c r="A106" s="159"/>
      <c r="B106" s="59"/>
      <c r="C106" s="24">
        <f t="shared" si="18"/>
        <v>1</v>
      </c>
      <c r="D106" s="718"/>
      <c r="E106" s="24">
        <f t="shared" si="19"/>
        <v>0.02</v>
      </c>
      <c r="F106" s="718"/>
      <c r="G106" s="24">
        <f t="shared" si="20"/>
        <v>0.1</v>
      </c>
      <c r="H106" s="718"/>
      <c r="I106" s="24">
        <f t="shared" si="21"/>
        <v>0.05</v>
      </c>
      <c r="J106" s="718"/>
      <c r="K106" s="24">
        <f t="shared" si="22"/>
        <v>0.2</v>
      </c>
      <c r="L106" s="718"/>
      <c r="M106" s="24">
        <f t="shared" si="23"/>
        <v>1</v>
      </c>
      <c r="N106" s="718"/>
      <c r="O106" s="24">
        <f t="shared" si="24"/>
        <v>1</v>
      </c>
      <c r="P106" s="718"/>
      <c r="Q106" s="24">
        <f t="shared" si="25"/>
        <v>1</v>
      </c>
      <c r="R106" s="714">
        <f t="shared" si="26"/>
        <v>0</v>
      </c>
      <c r="S106" s="361">
        <f t="shared" si="17"/>
        <v>0</v>
      </c>
    </row>
    <row r="107" spans="1:19">
      <c r="A107" s="159"/>
      <c r="B107" s="59"/>
      <c r="C107" s="24">
        <f t="shared" si="18"/>
        <v>1</v>
      </c>
      <c r="D107" s="718"/>
      <c r="E107" s="24">
        <f t="shared" si="19"/>
        <v>0.02</v>
      </c>
      <c r="F107" s="718"/>
      <c r="G107" s="24">
        <f t="shared" si="20"/>
        <v>0.1</v>
      </c>
      <c r="H107" s="718"/>
      <c r="I107" s="24">
        <f t="shared" si="21"/>
        <v>0.05</v>
      </c>
      <c r="J107" s="718"/>
      <c r="K107" s="24">
        <f t="shared" si="22"/>
        <v>0.2</v>
      </c>
      <c r="L107" s="718"/>
      <c r="M107" s="24">
        <f t="shared" si="23"/>
        <v>1</v>
      </c>
      <c r="N107" s="718"/>
      <c r="O107" s="24">
        <f t="shared" si="24"/>
        <v>1</v>
      </c>
      <c r="P107" s="718"/>
      <c r="Q107" s="24">
        <f t="shared" si="25"/>
        <v>1</v>
      </c>
      <c r="R107" s="714">
        <f t="shared" si="26"/>
        <v>0</v>
      </c>
      <c r="S107" s="361">
        <f t="shared" si="17"/>
        <v>0</v>
      </c>
    </row>
    <row r="108" spans="1:19">
      <c r="A108" s="159"/>
      <c r="B108" s="59"/>
      <c r="C108" s="24">
        <f t="shared" si="18"/>
        <v>1</v>
      </c>
      <c r="D108" s="718"/>
      <c r="E108" s="24">
        <f t="shared" si="19"/>
        <v>0.02</v>
      </c>
      <c r="F108" s="718"/>
      <c r="G108" s="24">
        <f t="shared" si="20"/>
        <v>0.1</v>
      </c>
      <c r="H108" s="718"/>
      <c r="I108" s="24">
        <f t="shared" si="21"/>
        <v>0.05</v>
      </c>
      <c r="J108" s="718"/>
      <c r="K108" s="24">
        <f t="shared" si="22"/>
        <v>0.2</v>
      </c>
      <c r="L108" s="718"/>
      <c r="M108" s="24">
        <f t="shared" si="23"/>
        <v>1</v>
      </c>
      <c r="N108" s="718"/>
      <c r="O108" s="24">
        <f t="shared" si="24"/>
        <v>1</v>
      </c>
      <c r="P108" s="718"/>
      <c r="Q108" s="24">
        <f t="shared" si="25"/>
        <v>1</v>
      </c>
      <c r="R108" s="714">
        <f t="shared" si="26"/>
        <v>0</v>
      </c>
      <c r="S108" s="361">
        <f t="shared" si="17"/>
        <v>0</v>
      </c>
    </row>
    <row r="109" spans="1:19">
      <c r="A109" s="159"/>
      <c r="B109" s="59"/>
      <c r="C109" s="24">
        <f t="shared" si="18"/>
        <v>1</v>
      </c>
      <c r="D109" s="718"/>
      <c r="E109" s="24">
        <f t="shared" si="19"/>
        <v>0.02</v>
      </c>
      <c r="F109" s="718"/>
      <c r="G109" s="24">
        <f t="shared" si="20"/>
        <v>0.1</v>
      </c>
      <c r="H109" s="718"/>
      <c r="I109" s="24">
        <f t="shared" si="21"/>
        <v>0.05</v>
      </c>
      <c r="J109" s="718"/>
      <c r="K109" s="24">
        <f t="shared" si="22"/>
        <v>0.2</v>
      </c>
      <c r="L109" s="718"/>
      <c r="M109" s="24">
        <f t="shared" si="23"/>
        <v>1</v>
      </c>
      <c r="N109" s="718"/>
      <c r="O109" s="24">
        <f t="shared" si="24"/>
        <v>1</v>
      </c>
      <c r="P109" s="718"/>
      <c r="Q109" s="24">
        <f t="shared" si="25"/>
        <v>1</v>
      </c>
      <c r="R109" s="714">
        <f t="shared" si="26"/>
        <v>0</v>
      </c>
      <c r="S109" s="361">
        <f t="shared" si="17"/>
        <v>0</v>
      </c>
    </row>
    <row r="110" spans="1:19">
      <c r="A110" s="159"/>
      <c r="B110" s="59"/>
      <c r="C110" s="24">
        <f t="shared" si="18"/>
        <v>1</v>
      </c>
      <c r="D110" s="718"/>
      <c r="E110" s="24">
        <f t="shared" si="19"/>
        <v>0.02</v>
      </c>
      <c r="F110" s="718"/>
      <c r="G110" s="24">
        <f t="shared" si="20"/>
        <v>0.1</v>
      </c>
      <c r="H110" s="718"/>
      <c r="I110" s="24">
        <f t="shared" si="21"/>
        <v>0.05</v>
      </c>
      <c r="J110" s="718"/>
      <c r="K110" s="24">
        <f t="shared" si="22"/>
        <v>0.2</v>
      </c>
      <c r="L110" s="718"/>
      <c r="M110" s="24">
        <f t="shared" si="23"/>
        <v>1</v>
      </c>
      <c r="N110" s="718"/>
      <c r="O110" s="24">
        <f t="shared" si="24"/>
        <v>1</v>
      </c>
      <c r="P110" s="718"/>
      <c r="Q110" s="24">
        <f t="shared" si="25"/>
        <v>1</v>
      </c>
      <c r="R110" s="714">
        <f t="shared" si="26"/>
        <v>0</v>
      </c>
      <c r="S110" s="361">
        <f t="shared" si="17"/>
        <v>0</v>
      </c>
    </row>
    <row r="111" spans="1:19">
      <c r="A111" s="159"/>
      <c r="B111" s="59"/>
      <c r="C111" s="24">
        <f t="shared" si="18"/>
        <v>1</v>
      </c>
      <c r="D111" s="718"/>
      <c r="E111" s="24">
        <f t="shared" si="19"/>
        <v>0.02</v>
      </c>
      <c r="F111" s="718"/>
      <c r="G111" s="24">
        <f t="shared" si="20"/>
        <v>0.1</v>
      </c>
      <c r="H111" s="718"/>
      <c r="I111" s="24">
        <f t="shared" si="21"/>
        <v>0.05</v>
      </c>
      <c r="J111" s="718"/>
      <c r="K111" s="24">
        <f t="shared" si="22"/>
        <v>0.2</v>
      </c>
      <c r="L111" s="718"/>
      <c r="M111" s="24">
        <f t="shared" si="23"/>
        <v>1</v>
      </c>
      <c r="N111" s="718"/>
      <c r="O111" s="24">
        <f t="shared" si="24"/>
        <v>1</v>
      </c>
      <c r="P111" s="718"/>
      <c r="Q111" s="24">
        <f t="shared" si="25"/>
        <v>1</v>
      </c>
      <c r="R111" s="714">
        <f t="shared" si="26"/>
        <v>0</v>
      </c>
      <c r="S111" s="361">
        <f t="shared" si="17"/>
        <v>0</v>
      </c>
    </row>
    <row r="112" spans="1:19">
      <c r="A112" s="159"/>
      <c r="B112" s="59"/>
      <c r="C112" s="24">
        <f t="shared" si="18"/>
        <v>1</v>
      </c>
      <c r="D112" s="718"/>
      <c r="E112" s="24">
        <f t="shared" si="19"/>
        <v>0.02</v>
      </c>
      <c r="F112" s="718"/>
      <c r="G112" s="24">
        <f t="shared" si="20"/>
        <v>0.1</v>
      </c>
      <c r="H112" s="718"/>
      <c r="I112" s="24">
        <f t="shared" si="21"/>
        <v>0.05</v>
      </c>
      <c r="J112" s="718"/>
      <c r="K112" s="24">
        <f t="shared" si="22"/>
        <v>0.2</v>
      </c>
      <c r="L112" s="718"/>
      <c r="M112" s="24">
        <f t="shared" si="23"/>
        <v>1</v>
      </c>
      <c r="N112" s="718"/>
      <c r="O112" s="24">
        <f t="shared" si="24"/>
        <v>1</v>
      </c>
      <c r="P112" s="718"/>
      <c r="Q112" s="24">
        <f t="shared" si="25"/>
        <v>1</v>
      </c>
      <c r="R112" s="714">
        <f t="shared" si="26"/>
        <v>0</v>
      </c>
      <c r="S112" s="361">
        <f t="shared" si="17"/>
        <v>0</v>
      </c>
    </row>
    <row r="113" spans="1:19">
      <c r="A113" s="159"/>
      <c r="B113" s="59"/>
      <c r="C113" s="24">
        <f t="shared" si="18"/>
        <v>1</v>
      </c>
      <c r="D113" s="718"/>
      <c r="E113" s="24">
        <f t="shared" si="19"/>
        <v>0.02</v>
      </c>
      <c r="F113" s="718"/>
      <c r="G113" s="24">
        <f t="shared" si="20"/>
        <v>0.1</v>
      </c>
      <c r="H113" s="718"/>
      <c r="I113" s="24">
        <f t="shared" si="21"/>
        <v>0.05</v>
      </c>
      <c r="J113" s="718"/>
      <c r="K113" s="24">
        <f t="shared" si="22"/>
        <v>0.2</v>
      </c>
      <c r="L113" s="718"/>
      <c r="M113" s="24">
        <f t="shared" si="23"/>
        <v>1</v>
      </c>
      <c r="N113" s="718"/>
      <c r="O113" s="24">
        <f t="shared" si="24"/>
        <v>1</v>
      </c>
      <c r="P113" s="718"/>
      <c r="Q113" s="24">
        <f t="shared" si="25"/>
        <v>1</v>
      </c>
      <c r="R113" s="714">
        <f t="shared" si="26"/>
        <v>0</v>
      </c>
      <c r="S113" s="361">
        <f t="shared" si="17"/>
        <v>0</v>
      </c>
    </row>
    <row r="114" spans="1:19">
      <c r="A114" s="159"/>
      <c r="B114" s="59"/>
      <c r="C114" s="24">
        <f t="shared" si="18"/>
        <v>1</v>
      </c>
      <c r="D114" s="718"/>
      <c r="E114" s="24">
        <f t="shared" si="19"/>
        <v>0.02</v>
      </c>
      <c r="F114" s="718"/>
      <c r="G114" s="24">
        <f t="shared" si="20"/>
        <v>0.1</v>
      </c>
      <c r="H114" s="718"/>
      <c r="I114" s="24">
        <f t="shared" si="21"/>
        <v>0.05</v>
      </c>
      <c r="J114" s="718"/>
      <c r="K114" s="24">
        <f t="shared" si="22"/>
        <v>0.2</v>
      </c>
      <c r="L114" s="718"/>
      <c r="M114" s="24">
        <f t="shared" si="23"/>
        <v>1</v>
      </c>
      <c r="N114" s="718"/>
      <c r="O114" s="24">
        <f t="shared" si="24"/>
        <v>1</v>
      </c>
      <c r="P114" s="718"/>
      <c r="Q114" s="24">
        <f t="shared" si="25"/>
        <v>1</v>
      </c>
      <c r="R114" s="714">
        <f t="shared" si="26"/>
        <v>0</v>
      </c>
      <c r="S114" s="361">
        <f t="shared" si="17"/>
        <v>0</v>
      </c>
    </row>
    <row r="115" spans="1:19">
      <c r="A115" s="159"/>
      <c r="B115" s="59"/>
      <c r="C115" s="24">
        <f t="shared" si="18"/>
        <v>1</v>
      </c>
      <c r="D115" s="718"/>
      <c r="E115" s="24">
        <f t="shared" si="19"/>
        <v>0.02</v>
      </c>
      <c r="F115" s="718"/>
      <c r="G115" s="24">
        <f t="shared" si="20"/>
        <v>0.1</v>
      </c>
      <c r="H115" s="718"/>
      <c r="I115" s="24">
        <f t="shared" si="21"/>
        <v>0.05</v>
      </c>
      <c r="J115" s="718"/>
      <c r="K115" s="24">
        <f t="shared" si="22"/>
        <v>0.2</v>
      </c>
      <c r="L115" s="718"/>
      <c r="M115" s="24">
        <f t="shared" si="23"/>
        <v>1</v>
      </c>
      <c r="N115" s="718"/>
      <c r="O115" s="24">
        <f t="shared" si="24"/>
        <v>1</v>
      </c>
      <c r="P115" s="718"/>
      <c r="Q115" s="24">
        <f t="shared" si="25"/>
        <v>1</v>
      </c>
      <c r="R115" s="714">
        <f t="shared" si="26"/>
        <v>0</v>
      </c>
      <c r="S115" s="361">
        <f t="shared" si="17"/>
        <v>0</v>
      </c>
    </row>
    <row r="116" spans="1:19">
      <c r="A116" s="159"/>
      <c r="B116" s="59"/>
      <c r="C116" s="24">
        <f t="shared" si="18"/>
        <v>1</v>
      </c>
      <c r="D116" s="718"/>
      <c r="E116" s="24">
        <f t="shared" si="19"/>
        <v>0.02</v>
      </c>
      <c r="F116" s="718"/>
      <c r="G116" s="24">
        <f t="shared" si="20"/>
        <v>0.1</v>
      </c>
      <c r="H116" s="718"/>
      <c r="I116" s="24">
        <f t="shared" si="21"/>
        <v>0.05</v>
      </c>
      <c r="J116" s="718"/>
      <c r="K116" s="24">
        <f t="shared" si="22"/>
        <v>0.2</v>
      </c>
      <c r="L116" s="718"/>
      <c r="M116" s="24">
        <f t="shared" si="23"/>
        <v>1</v>
      </c>
      <c r="N116" s="718"/>
      <c r="O116" s="24">
        <f t="shared" si="24"/>
        <v>1</v>
      </c>
      <c r="P116" s="718"/>
      <c r="Q116" s="24">
        <f t="shared" si="25"/>
        <v>1</v>
      </c>
      <c r="R116" s="714">
        <f t="shared" si="26"/>
        <v>0</v>
      </c>
      <c r="S116" s="361">
        <f t="shared" si="17"/>
        <v>0</v>
      </c>
    </row>
    <row r="117" spans="1:19">
      <c r="A117" s="159"/>
      <c r="B117" s="59"/>
      <c r="C117" s="24">
        <f t="shared" si="18"/>
        <v>1</v>
      </c>
      <c r="D117" s="718"/>
      <c r="E117" s="24">
        <f t="shared" si="19"/>
        <v>0.02</v>
      </c>
      <c r="F117" s="718"/>
      <c r="G117" s="24">
        <f t="shared" si="20"/>
        <v>0.1</v>
      </c>
      <c r="H117" s="718"/>
      <c r="I117" s="24">
        <f t="shared" si="21"/>
        <v>0.05</v>
      </c>
      <c r="J117" s="718"/>
      <c r="K117" s="24">
        <f t="shared" si="22"/>
        <v>0.2</v>
      </c>
      <c r="L117" s="718"/>
      <c r="M117" s="24">
        <f t="shared" si="23"/>
        <v>1</v>
      </c>
      <c r="N117" s="718"/>
      <c r="O117" s="24">
        <f t="shared" si="24"/>
        <v>1</v>
      </c>
      <c r="P117" s="718"/>
      <c r="Q117" s="24">
        <f t="shared" si="25"/>
        <v>1</v>
      </c>
      <c r="R117" s="714">
        <f t="shared" si="26"/>
        <v>0</v>
      </c>
      <c r="S117" s="361">
        <f t="shared" si="17"/>
        <v>0</v>
      </c>
    </row>
    <row r="118" spans="1:19">
      <c r="A118" s="159"/>
      <c r="B118" s="59"/>
      <c r="C118" s="24">
        <f t="shared" si="18"/>
        <v>1</v>
      </c>
      <c r="D118" s="718"/>
      <c r="E118" s="24">
        <f t="shared" si="19"/>
        <v>0.02</v>
      </c>
      <c r="F118" s="718"/>
      <c r="G118" s="24">
        <f t="shared" si="20"/>
        <v>0.1</v>
      </c>
      <c r="H118" s="718"/>
      <c r="I118" s="24">
        <f t="shared" si="21"/>
        <v>0.05</v>
      </c>
      <c r="J118" s="718"/>
      <c r="K118" s="24">
        <f t="shared" si="22"/>
        <v>0.2</v>
      </c>
      <c r="L118" s="718"/>
      <c r="M118" s="24">
        <f t="shared" si="23"/>
        <v>1</v>
      </c>
      <c r="N118" s="718"/>
      <c r="O118" s="24">
        <f t="shared" si="24"/>
        <v>1</v>
      </c>
      <c r="P118" s="718"/>
      <c r="Q118" s="24">
        <f t="shared" si="25"/>
        <v>1</v>
      </c>
      <c r="R118" s="714">
        <f t="shared" si="26"/>
        <v>0</v>
      </c>
      <c r="S118" s="361">
        <f t="shared" si="17"/>
        <v>0</v>
      </c>
    </row>
    <row r="119" spans="1:19">
      <c r="A119" s="159"/>
      <c r="B119" s="59"/>
      <c r="C119" s="24">
        <f t="shared" si="18"/>
        <v>1</v>
      </c>
      <c r="D119" s="718"/>
      <c r="E119" s="24">
        <f t="shared" si="19"/>
        <v>0.02</v>
      </c>
      <c r="F119" s="718"/>
      <c r="G119" s="24">
        <f t="shared" si="20"/>
        <v>0.1</v>
      </c>
      <c r="H119" s="718"/>
      <c r="I119" s="24">
        <f t="shared" si="21"/>
        <v>0.05</v>
      </c>
      <c r="J119" s="718"/>
      <c r="K119" s="24">
        <f t="shared" si="22"/>
        <v>0.2</v>
      </c>
      <c r="L119" s="718"/>
      <c r="M119" s="24">
        <f t="shared" si="23"/>
        <v>1</v>
      </c>
      <c r="N119" s="718"/>
      <c r="O119" s="24">
        <f t="shared" si="24"/>
        <v>1</v>
      </c>
      <c r="P119" s="718"/>
      <c r="Q119" s="24">
        <f t="shared" si="25"/>
        <v>1</v>
      </c>
      <c r="R119" s="714">
        <f t="shared" si="26"/>
        <v>0</v>
      </c>
      <c r="S119" s="361">
        <f t="shared" si="17"/>
        <v>0</v>
      </c>
    </row>
    <row r="120" spans="1:19">
      <c r="A120" s="159"/>
      <c r="B120" s="59"/>
      <c r="C120" s="24">
        <f t="shared" si="18"/>
        <v>1</v>
      </c>
      <c r="D120" s="718"/>
      <c r="E120" s="24">
        <f t="shared" si="19"/>
        <v>0.02</v>
      </c>
      <c r="F120" s="718"/>
      <c r="G120" s="24">
        <f t="shared" si="20"/>
        <v>0.1</v>
      </c>
      <c r="H120" s="718"/>
      <c r="I120" s="24">
        <f t="shared" si="21"/>
        <v>0.05</v>
      </c>
      <c r="J120" s="718"/>
      <c r="K120" s="24">
        <f t="shared" si="22"/>
        <v>0.2</v>
      </c>
      <c r="L120" s="718"/>
      <c r="M120" s="24">
        <f t="shared" si="23"/>
        <v>1</v>
      </c>
      <c r="N120" s="718"/>
      <c r="O120" s="24">
        <f t="shared" si="24"/>
        <v>1</v>
      </c>
      <c r="P120" s="718"/>
      <c r="Q120" s="24">
        <f t="shared" si="25"/>
        <v>1</v>
      </c>
      <c r="R120" s="714">
        <f t="shared" si="26"/>
        <v>0</v>
      </c>
      <c r="S120" s="361">
        <f t="shared" si="17"/>
        <v>0</v>
      </c>
    </row>
    <row r="121" spans="1:19">
      <c r="A121" s="159"/>
      <c r="B121" s="59"/>
      <c r="C121" s="24">
        <f t="shared" si="18"/>
        <v>1</v>
      </c>
      <c r="D121" s="718"/>
      <c r="E121" s="24">
        <f t="shared" si="19"/>
        <v>0.02</v>
      </c>
      <c r="F121" s="718"/>
      <c r="G121" s="24">
        <f t="shared" si="20"/>
        <v>0.1</v>
      </c>
      <c r="H121" s="718"/>
      <c r="I121" s="24">
        <f t="shared" si="21"/>
        <v>0.05</v>
      </c>
      <c r="J121" s="718"/>
      <c r="K121" s="24">
        <f t="shared" si="22"/>
        <v>0.2</v>
      </c>
      <c r="L121" s="718"/>
      <c r="M121" s="24">
        <f t="shared" si="23"/>
        <v>1</v>
      </c>
      <c r="N121" s="718"/>
      <c r="O121" s="24">
        <f t="shared" si="24"/>
        <v>1</v>
      </c>
      <c r="P121" s="718"/>
      <c r="Q121" s="24">
        <f t="shared" si="25"/>
        <v>1</v>
      </c>
      <c r="R121" s="714">
        <f t="shared" si="26"/>
        <v>0</v>
      </c>
      <c r="S121" s="361">
        <f t="shared" si="17"/>
        <v>0</v>
      </c>
    </row>
    <row r="122" spans="1:19">
      <c r="A122" s="159"/>
      <c r="B122" s="59"/>
      <c r="C122" s="24">
        <f t="shared" si="18"/>
        <v>1</v>
      </c>
      <c r="D122" s="718"/>
      <c r="E122" s="24">
        <f t="shared" si="19"/>
        <v>0.02</v>
      </c>
      <c r="F122" s="718"/>
      <c r="G122" s="24">
        <f t="shared" si="20"/>
        <v>0.1</v>
      </c>
      <c r="H122" s="718"/>
      <c r="I122" s="24">
        <f t="shared" si="21"/>
        <v>0.05</v>
      </c>
      <c r="J122" s="718"/>
      <c r="K122" s="24">
        <f t="shared" si="22"/>
        <v>0.2</v>
      </c>
      <c r="L122" s="718"/>
      <c r="M122" s="24">
        <f t="shared" si="23"/>
        <v>1</v>
      </c>
      <c r="N122" s="718"/>
      <c r="O122" s="24">
        <f t="shared" si="24"/>
        <v>1</v>
      </c>
      <c r="P122" s="718"/>
      <c r="Q122" s="24">
        <f t="shared" si="25"/>
        <v>1</v>
      </c>
      <c r="R122" s="714">
        <f t="shared" si="26"/>
        <v>0</v>
      </c>
      <c r="S122" s="361">
        <f t="shared" si="17"/>
        <v>0</v>
      </c>
    </row>
    <row r="123" spans="1:19">
      <c r="A123" s="159"/>
      <c r="B123" s="59"/>
      <c r="C123" s="24">
        <f t="shared" si="18"/>
        <v>1</v>
      </c>
      <c r="D123" s="718"/>
      <c r="E123" s="24">
        <f t="shared" si="19"/>
        <v>0.02</v>
      </c>
      <c r="F123" s="718"/>
      <c r="G123" s="24">
        <f t="shared" si="20"/>
        <v>0.1</v>
      </c>
      <c r="H123" s="718"/>
      <c r="I123" s="24">
        <f t="shared" si="21"/>
        <v>0.05</v>
      </c>
      <c r="J123" s="718"/>
      <c r="K123" s="24">
        <f t="shared" si="22"/>
        <v>0.2</v>
      </c>
      <c r="L123" s="718"/>
      <c r="M123" s="24">
        <f t="shared" si="23"/>
        <v>1</v>
      </c>
      <c r="N123" s="718"/>
      <c r="O123" s="24">
        <f t="shared" si="24"/>
        <v>1</v>
      </c>
      <c r="P123" s="718"/>
      <c r="Q123" s="24">
        <f t="shared" si="25"/>
        <v>1</v>
      </c>
      <c r="R123" s="714">
        <f t="shared" si="26"/>
        <v>0</v>
      </c>
      <c r="S123" s="361">
        <f t="shared" si="17"/>
        <v>0</v>
      </c>
    </row>
    <row r="124" spans="1:19">
      <c r="A124" s="159"/>
      <c r="B124" s="59"/>
      <c r="C124" s="24">
        <f t="shared" si="18"/>
        <v>1</v>
      </c>
      <c r="D124" s="718"/>
      <c r="E124" s="24">
        <f t="shared" si="19"/>
        <v>0.02</v>
      </c>
      <c r="F124" s="718"/>
      <c r="G124" s="24">
        <f t="shared" si="20"/>
        <v>0.1</v>
      </c>
      <c r="H124" s="718"/>
      <c r="I124" s="24">
        <f t="shared" si="21"/>
        <v>0.05</v>
      </c>
      <c r="J124" s="718"/>
      <c r="K124" s="24">
        <f t="shared" si="22"/>
        <v>0.2</v>
      </c>
      <c r="L124" s="718"/>
      <c r="M124" s="24">
        <f t="shared" si="23"/>
        <v>1</v>
      </c>
      <c r="N124" s="718"/>
      <c r="O124" s="24">
        <f t="shared" si="24"/>
        <v>1</v>
      </c>
      <c r="P124" s="718"/>
      <c r="Q124" s="24">
        <f t="shared" si="25"/>
        <v>1</v>
      </c>
      <c r="R124" s="714">
        <f t="shared" si="26"/>
        <v>0</v>
      </c>
      <c r="S124" s="361">
        <f t="shared" si="17"/>
        <v>0</v>
      </c>
    </row>
    <row r="125" spans="1:19">
      <c r="A125" s="159"/>
      <c r="B125" s="59"/>
      <c r="C125" s="24">
        <f t="shared" si="18"/>
        <v>1</v>
      </c>
      <c r="D125" s="718"/>
      <c r="E125" s="24">
        <f t="shared" si="19"/>
        <v>0.02</v>
      </c>
      <c r="F125" s="718"/>
      <c r="G125" s="24">
        <f t="shared" si="20"/>
        <v>0.1</v>
      </c>
      <c r="H125" s="718"/>
      <c r="I125" s="24">
        <f t="shared" si="21"/>
        <v>0.05</v>
      </c>
      <c r="J125" s="718"/>
      <c r="K125" s="24">
        <f t="shared" si="22"/>
        <v>0.2</v>
      </c>
      <c r="L125" s="718"/>
      <c r="M125" s="24">
        <f t="shared" si="23"/>
        <v>1</v>
      </c>
      <c r="N125" s="718"/>
      <c r="O125" s="24">
        <f t="shared" si="24"/>
        <v>1</v>
      </c>
      <c r="P125" s="718"/>
      <c r="Q125" s="24">
        <f t="shared" si="25"/>
        <v>1</v>
      </c>
      <c r="R125" s="714">
        <f t="shared" si="26"/>
        <v>0</v>
      </c>
      <c r="S125" s="361">
        <f t="shared" si="17"/>
        <v>0</v>
      </c>
    </row>
    <row r="126" spans="1:19">
      <c r="A126" s="159"/>
      <c r="B126" s="59"/>
      <c r="C126" s="24">
        <f t="shared" si="18"/>
        <v>1</v>
      </c>
      <c r="D126" s="718"/>
      <c r="E126" s="24">
        <f t="shared" si="19"/>
        <v>0.02</v>
      </c>
      <c r="F126" s="718"/>
      <c r="G126" s="24">
        <f t="shared" si="20"/>
        <v>0.1</v>
      </c>
      <c r="H126" s="718"/>
      <c r="I126" s="24">
        <f t="shared" si="21"/>
        <v>0.05</v>
      </c>
      <c r="J126" s="718"/>
      <c r="K126" s="24">
        <f t="shared" si="22"/>
        <v>0.2</v>
      </c>
      <c r="L126" s="718"/>
      <c r="M126" s="24">
        <f t="shared" si="23"/>
        <v>1</v>
      </c>
      <c r="N126" s="718"/>
      <c r="O126" s="24">
        <f t="shared" si="24"/>
        <v>1</v>
      </c>
      <c r="P126" s="718"/>
      <c r="Q126" s="24">
        <f t="shared" si="25"/>
        <v>1</v>
      </c>
      <c r="R126" s="714">
        <f t="shared" si="26"/>
        <v>0</v>
      </c>
      <c r="S126" s="361">
        <f t="shared" si="17"/>
        <v>0</v>
      </c>
    </row>
    <row r="127" spans="1:19">
      <c r="A127" s="159"/>
      <c r="B127" s="59"/>
      <c r="C127" s="24">
        <f t="shared" si="18"/>
        <v>1</v>
      </c>
      <c r="D127" s="718"/>
      <c r="E127" s="24">
        <f t="shared" si="19"/>
        <v>0.02</v>
      </c>
      <c r="F127" s="718"/>
      <c r="G127" s="24">
        <f t="shared" si="20"/>
        <v>0.1</v>
      </c>
      <c r="H127" s="718"/>
      <c r="I127" s="24">
        <f t="shared" si="21"/>
        <v>0.05</v>
      </c>
      <c r="J127" s="718"/>
      <c r="K127" s="24">
        <f t="shared" si="22"/>
        <v>0.2</v>
      </c>
      <c r="L127" s="718"/>
      <c r="M127" s="24">
        <f t="shared" si="23"/>
        <v>1</v>
      </c>
      <c r="N127" s="718"/>
      <c r="O127" s="24">
        <f t="shared" si="24"/>
        <v>1</v>
      </c>
      <c r="P127" s="718"/>
      <c r="Q127" s="24">
        <f t="shared" si="25"/>
        <v>1</v>
      </c>
      <c r="R127" s="714">
        <f t="shared" si="26"/>
        <v>0</v>
      </c>
      <c r="S127" s="361">
        <f t="shared" si="17"/>
        <v>0</v>
      </c>
    </row>
    <row r="128" spans="1:19">
      <c r="A128" s="159"/>
      <c r="B128" s="59"/>
      <c r="C128" s="24">
        <f t="shared" si="18"/>
        <v>1</v>
      </c>
      <c r="D128" s="718"/>
      <c r="E128" s="24">
        <f t="shared" si="19"/>
        <v>0.02</v>
      </c>
      <c r="F128" s="718"/>
      <c r="G128" s="24">
        <f t="shared" si="20"/>
        <v>0.1</v>
      </c>
      <c r="H128" s="718"/>
      <c r="I128" s="24">
        <f t="shared" si="21"/>
        <v>0.05</v>
      </c>
      <c r="J128" s="718"/>
      <c r="K128" s="24">
        <f t="shared" si="22"/>
        <v>0.2</v>
      </c>
      <c r="L128" s="718"/>
      <c r="M128" s="24">
        <f t="shared" si="23"/>
        <v>1</v>
      </c>
      <c r="N128" s="718"/>
      <c r="O128" s="24">
        <f t="shared" si="24"/>
        <v>1</v>
      </c>
      <c r="P128" s="718"/>
      <c r="Q128" s="24">
        <f t="shared" si="25"/>
        <v>1</v>
      </c>
      <c r="R128" s="714">
        <f t="shared" si="26"/>
        <v>0</v>
      </c>
      <c r="S128" s="361">
        <f t="shared" si="17"/>
        <v>0</v>
      </c>
    </row>
    <row r="129" spans="1:19">
      <c r="A129" s="159"/>
      <c r="B129" s="59"/>
      <c r="C129" s="24">
        <f t="shared" si="18"/>
        <v>1</v>
      </c>
      <c r="D129" s="718"/>
      <c r="E129" s="24">
        <f t="shared" si="19"/>
        <v>0.02</v>
      </c>
      <c r="F129" s="718"/>
      <c r="G129" s="24">
        <f t="shared" si="20"/>
        <v>0.1</v>
      </c>
      <c r="H129" s="718"/>
      <c r="I129" s="24">
        <f t="shared" si="21"/>
        <v>0.05</v>
      </c>
      <c r="J129" s="718"/>
      <c r="K129" s="24">
        <f t="shared" si="22"/>
        <v>0.2</v>
      </c>
      <c r="L129" s="718"/>
      <c r="M129" s="24">
        <f t="shared" si="23"/>
        <v>1</v>
      </c>
      <c r="N129" s="718"/>
      <c r="O129" s="24">
        <f t="shared" si="24"/>
        <v>1</v>
      </c>
      <c r="P129" s="718"/>
      <c r="Q129" s="24">
        <f t="shared" si="25"/>
        <v>1</v>
      </c>
      <c r="R129" s="714">
        <f t="shared" si="26"/>
        <v>0</v>
      </c>
      <c r="S129" s="361">
        <f t="shared" si="17"/>
        <v>0</v>
      </c>
    </row>
    <row r="130" spans="1:19">
      <c r="A130" s="159"/>
      <c r="B130" s="59"/>
      <c r="C130" s="24">
        <f t="shared" si="18"/>
        <v>1</v>
      </c>
      <c r="D130" s="718"/>
      <c r="E130" s="24">
        <f t="shared" si="19"/>
        <v>0.02</v>
      </c>
      <c r="F130" s="718"/>
      <c r="G130" s="24">
        <f t="shared" si="20"/>
        <v>0.1</v>
      </c>
      <c r="H130" s="718"/>
      <c r="I130" s="24">
        <f t="shared" si="21"/>
        <v>0.05</v>
      </c>
      <c r="J130" s="718"/>
      <c r="K130" s="24">
        <f t="shared" si="22"/>
        <v>0.2</v>
      </c>
      <c r="L130" s="718"/>
      <c r="M130" s="24">
        <f t="shared" si="23"/>
        <v>1</v>
      </c>
      <c r="N130" s="718"/>
      <c r="O130" s="24">
        <f t="shared" si="24"/>
        <v>1</v>
      </c>
      <c r="P130" s="718"/>
      <c r="Q130" s="24">
        <f t="shared" si="25"/>
        <v>1</v>
      </c>
      <c r="R130" s="714">
        <f t="shared" si="26"/>
        <v>0</v>
      </c>
      <c r="S130" s="361">
        <f t="shared" si="17"/>
        <v>0</v>
      </c>
    </row>
    <row r="131" spans="1:19">
      <c r="A131" s="159"/>
      <c r="B131" s="59"/>
      <c r="C131" s="24">
        <f t="shared" si="18"/>
        <v>1</v>
      </c>
      <c r="D131" s="718"/>
      <c r="E131" s="24">
        <f t="shared" si="19"/>
        <v>0.02</v>
      </c>
      <c r="F131" s="718"/>
      <c r="G131" s="24">
        <f t="shared" si="20"/>
        <v>0.1</v>
      </c>
      <c r="H131" s="718"/>
      <c r="I131" s="24">
        <f t="shared" si="21"/>
        <v>0.05</v>
      </c>
      <c r="J131" s="718"/>
      <c r="K131" s="24">
        <f t="shared" si="22"/>
        <v>0.2</v>
      </c>
      <c r="L131" s="718"/>
      <c r="M131" s="24">
        <f t="shared" si="23"/>
        <v>1</v>
      </c>
      <c r="N131" s="718"/>
      <c r="O131" s="24">
        <f t="shared" si="24"/>
        <v>1</v>
      </c>
      <c r="P131" s="718"/>
      <c r="Q131" s="24">
        <f t="shared" si="25"/>
        <v>1</v>
      </c>
      <c r="R131" s="714">
        <f t="shared" si="26"/>
        <v>0</v>
      </c>
      <c r="S131" s="361">
        <f t="shared" si="17"/>
        <v>0</v>
      </c>
    </row>
    <row r="132" spans="1:19">
      <c r="A132" s="159"/>
      <c r="B132" s="59"/>
      <c r="C132" s="24">
        <f t="shared" si="18"/>
        <v>1</v>
      </c>
      <c r="D132" s="718"/>
      <c r="E132" s="24">
        <f t="shared" si="19"/>
        <v>0.02</v>
      </c>
      <c r="F132" s="718"/>
      <c r="G132" s="24">
        <f t="shared" si="20"/>
        <v>0.1</v>
      </c>
      <c r="H132" s="718"/>
      <c r="I132" s="24">
        <f t="shared" si="21"/>
        <v>0.05</v>
      </c>
      <c r="J132" s="718"/>
      <c r="K132" s="24">
        <f t="shared" si="22"/>
        <v>0.2</v>
      </c>
      <c r="L132" s="718"/>
      <c r="M132" s="24">
        <f t="shared" si="23"/>
        <v>1</v>
      </c>
      <c r="N132" s="718"/>
      <c r="O132" s="24">
        <f t="shared" si="24"/>
        <v>1</v>
      </c>
      <c r="P132" s="718"/>
      <c r="Q132" s="24">
        <f t="shared" si="25"/>
        <v>1</v>
      </c>
      <c r="R132" s="714">
        <f t="shared" si="26"/>
        <v>0</v>
      </c>
      <c r="S132" s="361">
        <f t="shared" si="17"/>
        <v>0</v>
      </c>
    </row>
    <row r="133" spans="1:19">
      <c r="A133" s="159"/>
      <c r="B133" s="59"/>
      <c r="C133" s="24">
        <f t="shared" si="18"/>
        <v>1</v>
      </c>
      <c r="D133" s="718"/>
      <c r="E133" s="24">
        <f t="shared" si="19"/>
        <v>0.02</v>
      </c>
      <c r="F133" s="718"/>
      <c r="G133" s="24">
        <f t="shared" si="20"/>
        <v>0.1</v>
      </c>
      <c r="H133" s="718"/>
      <c r="I133" s="24">
        <f t="shared" si="21"/>
        <v>0.05</v>
      </c>
      <c r="J133" s="718"/>
      <c r="K133" s="24">
        <f t="shared" si="22"/>
        <v>0.2</v>
      </c>
      <c r="L133" s="718"/>
      <c r="M133" s="24">
        <f t="shared" si="23"/>
        <v>1</v>
      </c>
      <c r="N133" s="718"/>
      <c r="O133" s="24">
        <f t="shared" si="24"/>
        <v>1</v>
      </c>
      <c r="P133" s="718"/>
      <c r="Q133" s="24">
        <f t="shared" si="25"/>
        <v>1</v>
      </c>
      <c r="R133" s="714">
        <f t="shared" si="26"/>
        <v>0</v>
      </c>
      <c r="S133" s="361">
        <f t="shared" si="17"/>
        <v>0</v>
      </c>
    </row>
    <row r="134" spans="1:19">
      <c r="A134" s="159"/>
      <c r="B134" s="59"/>
      <c r="C134" s="24">
        <f t="shared" si="18"/>
        <v>1</v>
      </c>
      <c r="D134" s="718"/>
      <c r="E134" s="24">
        <f t="shared" si="19"/>
        <v>0.02</v>
      </c>
      <c r="F134" s="718"/>
      <c r="G134" s="24">
        <f t="shared" si="20"/>
        <v>0.1</v>
      </c>
      <c r="H134" s="718"/>
      <c r="I134" s="24">
        <f t="shared" si="21"/>
        <v>0.05</v>
      </c>
      <c r="J134" s="718"/>
      <c r="K134" s="24">
        <f t="shared" si="22"/>
        <v>0.2</v>
      </c>
      <c r="L134" s="718"/>
      <c r="M134" s="24">
        <f t="shared" si="23"/>
        <v>1</v>
      </c>
      <c r="N134" s="718"/>
      <c r="O134" s="24">
        <f t="shared" si="24"/>
        <v>1</v>
      </c>
      <c r="P134" s="718"/>
      <c r="Q134" s="24">
        <f t="shared" si="25"/>
        <v>1</v>
      </c>
      <c r="R134" s="714">
        <f t="shared" si="26"/>
        <v>0</v>
      </c>
      <c r="S134" s="361">
        <f t="shared" si="17"/>
        <v>0</v>
      </c>
    </row>
    <row r="135" spans="1:19">
      <c r="A135" s="159"/>
      <c r="B135" s="59"/>
      <c r="C135" s="24">
        <f t="shared" si="18"/>
        <v>1</v>
      </c>
      <c r="D135" s="718"/>
      <c r="E135" s="24">
        <f t="shared" si="19"/>
        <v>0.02</v>
      </c>
      <c r="F135" s="718"/>
      <c r="G135" s="24">
        <f t="shared" si="20"/>
        <v>0.1</v>
      </c>
      <c r="H135" s="718"/>
      <c r="I135" s="24">
        <f t="shared" si="21"/>
        <v>0.05</v>
      </c>
      <c r="J135" s="718"/>
      <c r="K135" s="24">
        <f t="shared" si="22"/>
        <v>0.2</v>
      </c>
      <c r="L135" s="718"/>
      <c r="M135" s="24">
        <f t="shared" si="23"/>
        <v>1</v>
      </c>
      <c r="N135" s="718"/>
      <c r="O135" s="24">
        <f t="shared" si="24"/>
        <v>1</v>
      </c>
      <c r="P135" s="718"/>
      <c r="Q135" s="24">
        <f t="shared" si="25"/>
        <v>1</v>
      </c>
      <c r="R135" s="714">
        <f t="shared" si="26"/>
        <v>0</v>
      </c>
      <c r="S135" s="361">
        <f t="shared" si="17"/>
        <v>0</v>
      </c>
    </row>
    <row r="136" spans="1:19">
      <c r="A136" s="159"/>
      <c r="B136" s="59"/>
      <c r="C136" s="24">
        <f t="shared" si="18"/>
        <v>1</v>
      </c>
      <c r="D136" s="718"/>
      <c r="E136" s="24">
        <f t="shared" si="19"/>
        <v>0.02</v>
      </c>
      <c r="F136" s="718"/>
      <c r="G136" s="24">
        <f t="shared" si="20"/>
        <v>0.1</v>
      </c>
      <c r="H136" s="718"/>
      <c r="I136" s="24">
        <f t="shared" si="21"/>
        <v>0.05</v>
      </c>
      <c r="J136" s="718"/>
      <c r="K136" s="24">
        <f t="shared" si="22"/>
        <v>0.2</v>
      </c>
      <c r="L136" s="718"/>
      <c r="M136" s="24">
        <f t="shared" si="23"/>
        <v>1</v>
      </c>
      <c r="N136" s="718"/>
      <c r="O136" s="24">
        <f t="shared" si="24"/>
        <v>1</v>
      </c>
      <c r="P136" s="718"/>
      <c r="Q136" s="24">
        <f t="shared" si="25"/>
        <v>1</v>
      </c>
      <c r="R136" s="714">
        <f t="shared" si="26"/>
        <v>0</v>
      </c>
      <c r="S136" s="361">
        <f t="shared" si="17"/>
        <v>0</v>
      </c>
    </row>
    <row r="137" spans="1:19">
      <c r="A137" s="159"/>
      <c r="B137" s="59"/>
      <c r="C137" s="24">
        <f t="shared" si="18"/>
        <v>1</v>
      </c>
      <c r="D137" s="718"/>
      <c r="E137" s="24">
        <f t="shared" si="19"/>
        <v>0.02</v>
      </c>
      <c r="F137" s="718"/>
      <c r="G137" s="24">
        <f t="shared" si="20"/>
        <v>0.1</v>
      </c>
      <c r="H137" s="718"/>
      <c r="I137" s="24">
        <f t="shared" si="21"/>
        <v>0.05</v>
      </c>
      <c r="J137" s="718"/>
      <c r="K137" s="24">
        <f t="shared" si="22"/>
        <v>0.2</v>
      </c>
      <c r="L137" s="718"/>
      <c r="M137" s="24">
        <f t="shared" si="23"/>
        <v>1</v>
      </c>
      <c r="N137" s="718"/>
      <c r="O137" s="24">
        <f t="shared" si="24"/>
        <v>1</v>
      </c>
      <c r="P137" s="718"/>
      <c r="Q137" s="24">
        <f t="shared" si="25"/>
        <v>1</v>
      </c>
      <c r="R137" s="714">
        <f t="shared" si="26"/>
        <v>0</v>
      </c>
      <c r="S137" s="361">
        <f t="shared" si="17"/>
        <v>0</v>
      </c>
    </row>
    <row r="138" spans="1:19">
      <c r="A138" s="159"/>
      <c r="B138" s="59"/>
      <c r="C138" s="24">
        <f t="shared" si="18"/>
        <v>1</v>
      </c>
      <c r="D138" s="718"/>
      <c r="E138" s="24">
        <f t="shared" si="19"/>
        <v>0.02</v>
      </c>
      <c r="F138" s="718"/>
      <c r="G138" s="24">
        <f t="shared" si="20"/>
        <v>0.1</v>
      </c>
      <c r="H138" s="718"/>
      <c r="I138" s="24">
        <f t="shared" si="21"/>
        <v>0.05</v>
      </c>
      <c r="J138" s="718"/>
      <c r="K138" s="24">
        <f t="shared" si="22"/>
        <v>0.2</v>
      </c>
      <c r="L138" s="718"/>
      <c r="M138" s="24">
        <f t="shared" si="23"/>
        <v>1</v>
      </c>
      <c r="N138" s="718"/>
      <c r="O138" s="24">
        <f t="shared" si="24"/>
        <v>1</v>
      </c>
      <c r="P138" s="718"/>
      <c r="Q138" s="24">
        <f t="shared" si="25"/>
        <v>1</v>
      </c>
      <c r="R138" s="714">
        <f t="shared" si="26"/>
        <v>0</v>
      </c>
      <c r="S138" s="361">
        <f t="shared" si="17"/>
        <v>0</v>
      </c>
    </row>
    <row r="139" spans="1:19">
      <c r="A139" s="159"/>
      <c r="B139" s="59"/>
      <c r="C139" s="24">
        <f t="shared" si="18"/>
        <v>1</v>
      </c>
      <c r="D139" s="718"/>
      <c r="E139" s="24">
        <f t="shared" si="19"/>
        <v>0.02</v>
      </c>
      <c r="F139" s="718"/>
      <c r="G139" s="24">
        <f t="shared" si="20"/>
        <v>0.1</v>
      </c>
      <c r="H139" s="718"/>
      <c r="I139" s="24">
        <f t="shared" si="21"/>
        <v>0.05</v>
      </c>
      <c r="J139" s="718"/>
      <c r="K139" s="24">
        <f t="shared" si="22"/>
        <v>0.2</v>
      </c>
      <c r="L139" s="718"/>
      <c r="M139" s="24">
        <f t="shared" si="23"/>
        <v>1</v>
      </c>
      <c r="N139" s="718"/>
      <c r="O139" s="24">
        <f t="shared" si="24"/>
        <v>1</v>
      </c>
      <c r="P139" s="718"/>
      <c r="Q139" s="24">
        <f t="shared" si="25"/>
        <v>1</v>
      </c>
      <c r="R139" s="714">
        <f t="shared" si="26"/>
        <v>0</v>
      </c>
      <c r="S139" s="361">
        <f t="shared" si="17"/>
        <v>0</v>
      </c>
    </row>
    <row r="140" spans="1:19">
      <c r="A140" s="159"/>
      <c r="B140" s="59"/>
      <c r="C140" s="24">
        <f t="shared" si="18"/>
        <v>1</v>
      </c>
      <c r="D140" s="718"/>
      <c r="E140" s="24">
        <f t="shared" si="19"/>
        <v>0.02</v>
      </c>
      <c r="F140" s="718"/>
      <c r="G140" s="24">
        <f t="shared" si="20"/>
        <v>0.1</v>
      </c>
      <c r="H140" s="718"/>
      <c r="I140" s="24">
        <f t="shared" si="21"/>
        <v>0.05</v>
      </c>
      <c r="J140" s="718"/>
      <c r="K140" s="24">
        <f t="shared" si="22"/>
        <v>0.2</v>
      </c>
      <c r="L140" s="718"/>
      <c r="M140" s="24">
        <f t="shared" si="23"/>
        <v>1</v>
      </c>
      <c r="N140" s="718"/>
      <c r="O140" s="24">
        <f t="shared" si="24"/>
        <v>1</v>
      </c>
      <c r="P140" s="718"/>
      <c r="Q140" s="24">
        <f t="shared" si="25"/>
        <v>1</v>
      </c>
      <c r="R140" s="714">
        <f t="shared" si="26"/>
        <v>0</v>
      </c>
      <c r="S140" s="361">
        <f t="shared" si="17"/>
        <v>0</v>
      </c>
    </row>
    <row r="141" spans="1:19">
      <c r="A141" s="159"/>
      <c r="B141" s="59"/>
      <c r="C141" s="24">
        <f t="shared" si="18"/>
        <v>1</v>
      </c>
      <c r="D141" s="718"/>
      <c r="E141" s="24">
        <f t="shared" si="19"/>
        <v>0.02</v>
      </c>
      <c r="F141" s="718"/>
      <c r="G141" s="24">
        <f t="shared" si="20"/>
        <v>0.1</v>
      </c>
      <c r="H141" s="718"/>
      <c r="I141" s="24">
        <f t="shared" si="21"/>
        <v>0.05</v>
      </c>
      <c r="J141" s="718"/>
      <c r="K141" s="24">
        <f t="shared" si="22"/>
        <v>0.2</v>
      </c>
      <c r="L141" s="718"/>
      <c r="M141" s="24">
        <f t="shared" si="23"/>
        <v>1</v>
      </c>
      <c r="N141" s="718"/>
      <c r="O141" s="24">
        <f t="shared" si="24"/>
        <v>1</v>
      </c>
      <c r="P141" s="718"/>
      <c r="Q141" s="24">
        <f t="shared" si="25"/>
        <v>1</v>
      </c>
      <c r="R141" s="714">
        <f t="shared" si="26"/>
        <v>0</v>
      </c>
      <c r="S141" s="361">
        <f t="shared" si="17"/>
        <v>0</v>
      </c>
    </row>
    <row r="142" spans="1:19">
      <c r="A142" s="159"/>
      <c r="B142" s="59"/>
      <c r="C142" s="24">
        <f t="shared" si="18"/>
        <v>1</v>
      </c>
      <c r="D142" s="718"/>
      <c r="E142" s="24">
        <f t="shared" si="19"/>
        <v>0.02</v>
      </c>
      <c r="F142" s="718"/>
      <c r="G142" s="24">
        <f t="shared" si="20"/>
        <v>0.1</v>
      </c>
      <c r="H142" s="718"/>
      <c r="I142" s="24">
        <f t="shared" si="21"/>
        <v>0.05</v>
      </c>
      <c r="J142" s="718"/>
      <c r="K142" s="24">
        <f t="shared" si="22"/>
        <v>0.2</v>
      </c>
      <c r="L142" s="718"/>
      <c r="M142" s="24">
        <f t="shared" si="23"/>
        <v>1</v>
      </c>
      <c r="N142" s="718"/>
      <c r="O142" s="24">
        <f t="shared" si="24"/>
        <v>1</v>
      </c>
      <c r="P142" s="718"/>
      <c r="Q142" s="24">
        <f t="shared" si="25"/>
        <v>1</v>
      </c>
      <c r="R142" s="714">
        <f t="shared" si="26"/>
        <v>0</v>
      </c>
      <c r="S142" s="361">
        <f t="shared" si="17"/>
        <v>0</v>
      </c>
    </row>
    <row r="143" spans="1:19">
      <c r="A143" s="159"/>
      <c r="B143" s="59"/>
      <c r="C143" s="24">
        <f t="shared" si="18"/>
        <v>1</v>
      </c>
      <c r="D143" s="718"/>
      <c r="E143" s="24">
        <f t="shared" si="19"/>
        <v>0.02</v>
      </c>
      <c r="F143" s="718"/>
      <c r="G143" s="24">
        <f t="shared" si="20"/>
        <v>0.1</v>
      </c>
      <c r="H143" s="718"/>
      <c r="I143" s="24">
        <f t="shared" si="21"/>
        <v>0.05</v>
      </c>
      <c r="J143" s="718"/>
      <c r="K143" s="24">
        <f t="shared" si="22"/>
        <v>0.2</v>
      </c>
      <c r="L143" s="718"/>
      <c r="M143" s="24">
        <f t="shared" si="23"/>
        <v>1</v>
      </c>
      <c r="N143" s="718"/>
      <c r="O143" s="24">
        <f t="shared" si="24"/>
        <v>1</v>
      </c>
      <c r="P143" s="718"/>
      <c r="Q143" s="24">
        <f t="shared" si="25"/>
        <v>1</v>
      </c>
      <c r="R143" s="714">
        <f t="shared" si="26"/>
        <v>0</v>
      </c>
      <c r="S143" s="361">
        <f t="shared" si="17"/>
        <v>0</v>
      </c>
    </row>
    <row r="144" spans="1:19">
      <c r="A144" s="159"/>
      <c r="B144" s="59"/>
      <c r="C144" s="24">
        <f t="shared" si="18"/>
        <v>1</v>
      </c>
      <c r="D144" s="718"/>
      <c r="E144" s="24">
        <f t="shared" si="19"/>
        <v>0.02</v>
      </c>
      <c r="F144" s="718"/>
      <c r="G144" s="24">
        <f t="shared" si="20"/>
        <v>0.1</v>
      </c>
      <c r="H144" s="718"/>
      <c r="I144" s="24">
        <f t="shared" si="21"/>
        <v>0.05</v>
      </c>
      <c r="J144" s="718"/>
      <c r="K144" s="24">
        <f t="shared" si="22"/>
        <v>0.2</v>
      </c>
      <c r="L144" s="718"/>
      <c r="M144" s="24">
        <f t="shared" si="23"/>
        <v>1</v>
      </c>
      <c r="N144" s="718"/>
      <c r="O144" s="24">
        <f t="shared" si="24"/>
        <v>1</v>
      </c>
      <c r="P144" s="718"/>
      <c r="Q144" s="24">
        <f t="shared" si="25"/>
        <v>1</v>
      </c>
      <c r="R144" s="714">
        <f t="shared" si="26"/>
        <v>0</v>
      </c>
      <c r="S144" s="361">
        <f t="shared" si="17"/>
        <v>0</v>
      </c>
    </row>
    <row r="145" spans="1:19">
      <c r="A145" s="159"/>
      <c r="B145" s="59"/>
      <c r="C145" s="24">
        <f t="shared" si="18"/>
        <v>1</v>
      </c>
      <c r="D145" s="718"/>
      <c r="E145" s="24">
        <f t="shared" si="19"/>
        <v>0.02</v>
      </c>
      <c r="F145" s="718"/>
      <c r="G145" s="24">
        <f t="shared" si="20"/>
        <v>0.1</v>
      </c>
      <c r="H145" s="718"/>
      <c r="I145" s="24">
        <f t="shared" si="21"/>
        <v>0.05</v>
      </c>
      <c r="J145" s="718"/>
      <c r="K145" s="24">
        <f t="shared" si="22"/>
        <v>0.2</v>
      </c>
      <c r="L145" s="718"/>
      <c r="M145" s="24">
        <f t="shared" si="23"/>
        <v>1</v>
      </c>
      <c r="N145" s="718"/>
      <c r="O145" s="24">
        <f t="shared" si="24"/>
        <v>1</v>
      </c>
      <c r="P145" s="718"/>
      <c r="Q145" s="24">
        <f t="shared" si="25"/>
        <v>1</v>
      </c>
      <c r="R145" s="714">
        <f t="shared" si="26"/>
        <v>0</v>
      </c>
      <c r="S145" s="361">
        <f t="shared" si="17"/>
        <v>0</v>
      </c>
    </row>
    <row r="146" spans="1:19">
      <c r="A146" s="159"/>
      <c r="B146" s="59"/>
      <c r="C146" s="24">
        <f t="shared" si="18"/>
        <v>1</v>
      </c>
      <c r="D146" s="718"/>
      <c r="E146" s="24">
        <f t="shared" si="19"/>
        <v>0.02</v>
      </c>
      <c r="F146" s="718"/>
      <c r="G146" s="24">
        <f t="shared" si="20"/>
        <v>0.1</v>
      </c>
      <c r="H146" s="718"/>
      <c r="I146" s="24">
        <f t="shared" si="21"/>
        <v>0.05</v>
      </c>
      <c r="J146" s="718"/>
      <c r="K146" s="24">
        <f t="shared" si="22"/>
        <v>0.2</v>
      </c>
      <c r="L146" s="718"/>
      <c r="M146" s="24">
        <f t="shared" si="23"/>
        <v>1</v>
      </c>
      <c r="N146" s="718"/>
      <c r="O146" s="24">
        <f t="shared" si="24"/>
        <v>1</v>
      </c>
      <c r="P146" s="718"/>
      <c r="Q146" s="24">
        <f t="shared" si="25"/>
        <v>1</v>
      </c>
      <c r="R146" s="714">
        <f t="shared" si="26"/>
        <v>0</v>
      </c>
      <c r="S146" s="361">
        <f t="shared" si="17"/>
        <v>0</v>
      </c>
    </row>
    <row r="147" spans="1:19">
      <c r="A147" s="159"/>
      <c r="B147" s="59"/>
      <c r="C147" s="24">
        <f t="shared" si="18"/>
        <v>1</v>
      </c>
      <c r="D147" s="718"/>
      <c r="E147" s="24">
        <f t="shared" si="19"/>
        <v>0.02</v>
      </c>
      <c r="F147" s="718"/>
      <c r="G147" s="24">
        <f t="shared" si="20"/>
        <v>0.1</v>
      </c>
      <c r="H147" s="718"/>
      <c r="I147" s="24">
        <f t="shared" si="21"/>
        <v>0.05</v>
      </c>
      <c r="J147" s="718"/>
      <c r="K147" s="24">
        <f t="shared" si="22"/>
        <v>0.2</v>
      </c>
      <c r="L147" s="718"/>
      <c r="M147" s="24">
        <f t="shared" si="23"/>
        <v>1</v>
      </c>
      <c r="N147" s="718"/>
      <c r="O147" s="24">
        <f t="shared" si="24"/>
        <v>1</v>
      </c>
      <c r="P147" s="718"/>
      <c r="Q147" s="24">
        <f t="shared" si="25"/>
        <v>1</v>
      </c>
      <c r="R147" s="714">
        <f t="shared" si="26"/>
        <v>0</v>
      </c>
      <c r="S147" s="361">
        <f t="shared" si="17"/>
        <v>0</v>
      </c>
    </row>
    <row r="148" spans="1:19">
      <c r="A148" s="159"/>
      <c r="B148" s="59"/>
      <c r="C148" s="24">
        <f t="shared" si="18"/>
        <v>1</v>
      </c>
      <c r="D148" s="718"/>
      <c r="E148" s="24">
        <f t="shared" si="19"/>
        <v>0.02</v>
      </c>
      <c r="F148" s="718"/>
      <c r="G148" s="24">
        <f t="shared" si="20"/>
        <v>0.1</v>
      </c>
      <c r="H148" s="718"/>
      <c r="I148" s="24">
        <f t="shared" si="21"/>
        <v>0.05</v>
      </c>
      <c r="J148" s="718"/>
      <c r="K148" s="24">
        <f t="shared" si="22"/>
        <v>0.2</v>
      </c>
      <c r="L148" s="718"/>
      <c r="M148" s="24">
        <f t="shared" si="23"/>
        <v>1</v>
      </c>
      <c r="N148" s="718"/>
      <c r="O148" s="24">
        <f t="shared" si="24"/>
        <v>1</v>
      </c>
      <c r="P148" s="718"/>
      <c r="Q148" s="24">
        <f t="shared" si="25"/>
        <v>1</v>
      </c>
      <c r="R148" s="714">
        <f t="shared" si="26"/>
        <v>0</v>
      </c>
      <c r="S148" s="361">
        <f t="shared" si="17"/>
        <v>0</v>
      </c>
    </row>
    <row r="149" spans="1:19">
      <c r="A149" s="159"/>
      <c r="B149" s="59"/>
      <c r="C149" s="24">
        <f t="shared" si="18"/>
        <v>1</v>
      </c>
      <c r="D149" s="718"/>
      <c r="E149" s="24">
        <f t="shared" si="19"/>
        <v>0.02</v>
      </c>
      <c r="F149" s="718"/>
      <c r="G149" s="24">
        <f t="shared" si="20"/>
        <v>0.1</v>
      </c>
      <c r="H149" s="718"/>
      <c r="I149" s="24">
        <f t="shared" si="21"/>
        <v>0.05</v>
      </c>
      <c r="J149" s="718"/>
      <c r="K149" s="24">
        <f t="shared" si="22"/>
        <v>0.2</v>
      </c>
      <c r="L149" s="718"/>
      <c r="M149" s="24">
        <f t="shared" si="23"/>
        <v>1</v>
      </c>
      <c r="N149" s="718"/>
      <c r="O149" s="24">
        <f t="shared" si="24"/>
        <v>1</v>
      </c>
      <c r="P149" s="718"/>
      <c r="Q149" s="24">
        <f t="shared" si="25"/>
        <v>1</v>
      </c>
      <c r="R149" s="714">
        <f t="shared" si="26"/>
        <v>0</v>
      </c>
      <c r="S149" s="361">
        <f t="shared" si="17"/>
        <v>0</v>
      </c>
    </row>
    <row r="150" spans="1:19">
      <c r="A150" s="159"/>
      <c r="B150" s="59"/>
      <c r="C150" s="24">
        <f t="shared" si="18"/>
        <v>1</v>
      </c>
      <c r="D150" s="718"/>
      <c r="E150" s="24">
        <f t="shared" si="19"/>
        <v>0.02</v>
      </c>
      <c r="F150" s="718"/>
      <c r="G150" s="24">
        <f t="shared" si="20"/>
        <v>0.1</v>
      </c>
      <c r="H150" s="718"/>
      <c r="I150" s="24">
        <f t="shared" si="21"/>
        <v>0.05</v>
      </c>
      <c r="J150" s="718"/>
      <c r="K150" s="24">
        <f t="shared" si="22"/>
        <v>0.2</v>
      </c>
      <c r="L150" s="718"/>
      <c r="M150" s="24">
        <f t="shared" si="23"/>
        <v>1</v>
      </c>
      <c r="N150" s="718"/>
      <c r="O150" s="24">
        <f t="shared" si="24"/>
        <v>1</v>
      </c>
      <c r="P150" s="718"/>
      <c r="Q150" s="24">
        <f t="shared" si="25"/>
        <v>1</v>
      </c>
      <c r="R150" s="714">
        <f t="shared" si="26"/>
        <v>0</v>
      </c>
      <c r="S150" s="361">
        <f t="shared" si="17"/>
        <v>0</v>
      </c>
    </row>
    <row r="151" spans="1:19">
      <c r="A151" s="159"/>
      <c r="B151" s="59"/>
      <c r="C151" s="24">
        <f t="shared" si="18"/>
        <v>1</v>
      </c>
      <c r="D151" s="718"/>
      <c r="E151" s="24">
        <f t="shared" si="19"/>
        <v>0.02</v>
      </c>
      <c r="F151" s="718"/>
      <c r="G151" s="24">
        <f t="shared" si="20"/>
        <v>0.1</v>
      </c>
      <c r="H151" s="718"/>
      <c r="I151" s="24">
        <f t="shared" si="21"/>
        <v>0.05</v>
      </c>
      <c r="J151" s="718"/>
      <c r="K151" s="24">
        <f t="shared" si="22"/>
        <v>0.2</v>
      </c>
      <c r="L151" s="718"/>
      <c r="M151" s="24">
        <f t="shared" si="23"/>
        <v>1</v>
      </c>
      <c r="N151" s="718"/>
      <c r="O151" s="24">
        <f t="shared" si="24"/>
        <v>1</v>
      </c>
      <c r="P151" s="718"/>
      <c r="Q151" s="24">
        <f t="shared" si="25"/>
        <v>1</v>
      </c>
      <c r="R151" s="714">
        <f t="shared" si="26"/>
        <v>0</v>
      </c>
      <c r="S151" s="361">
        <f t="shared" si="17"/>
        <v>0</v>
      </c>
    </row>
    <row r="152" spans="1:19">
      <c r="A152" s="159"/>
      <c r="B152" s="59"/>
      <c r="C152" s="24">
        <f t="shared" si="18"/>
        <v>1</v>
      </c>
      <c r="D152" s="718"/>
      <c r="E152" s="24">
        <f t="shared" si="19"/>
        <v>0.02</v>
      </c>
      <c r="F152" s="718"/>
      <c r="G152" s="24">
        <f t="shared" si="20"/>
        <v>0.1</v>
      </c>
      <c r="H152" s="718"/>
      <c r="I152" s="24">
        <f t="shared" si="21"/>
        <v>0.05</v>
      </c>
      <c r="J152" s="718"/>
      <c r="K152" s="24">
        <f t="shared" si="22"/>
        <v>0.2</v>
      </c>
      <c r="L152" s="718"/>
      <c r="M152" s="24">
        <f t="shared" si="23"/>
        <v>1</v>
      </c>
      <c r="N152" s="718"/>
      <c r="O152" s="24">
        <f t="shared" si="24"/>
        <v>1</v>
      </c>
      <c r="P152" s="718"/>
      <c r="Q152" s="24">
        <f t="shared" si="25"/>
        <v>1</v>
      </c>
      <c r="R152" s="714">
        <f t="shared" si="26"/>
        <v>0</v>
      </c>
      <c r="S152" s="361">
        <f t="shared" ref="S152:S215" si="27">ROUND(R152*B152/10000,0)</f>
        <v>0</v>
      </c>
    </row>
    <row r="153" spans="1:19">
      <c r="A153" s="159"/>
      <c r="B153" s="59"/>
      <c r="C153" s="24">
        <f t="shared" si="18"/>
        <v>1</v>
      </c>
      <c r="D153" s="718"/>
      <c r="E153" s="24">
        <f t="shared" si="19"/>
        <v>0.02</v>
      </c>
      <c r="F153" s="718"/>
      <c r="G153" s="24">
        <f t="shared" si="20"/>
        <v>0.1</v>
      </c>
      <c r="H153" s="718"/>
      <c r="I153" s="24">
        <f t="shared" si="21"/>
        <v>0.05</v>
      </c>
      <c r="J153" s="718"/>
      <c r="K153" s="24">
        <f t="shared" si="22"/>
        <v>0.2</v>
      </c>
      <c r="L153" s="718"/>
      <c r="M153" s="24">
        <f t="shared" si="23"/>
        <v>1</v>
      </c>
      <c r="N153" s="718"/>
      <c r="O153" s="24">
        <f t="shared" si="24"/>
        <v>1</v>
      </c>
      <c r="P153" s="718"/>
      <c r="Q153" s="24">
        <f t="shared" si="25"/>
        <v>1</v>
      </c>
      <c r="R153" s="714">
        <f t="shared" si="26"/>
        <v>0</v>
      </c>
      <c r="S153" s="361">
        <f t="shared" si="27"/>
        <v>0</v>
      </c>
    </row>
    <row r="154" spans="1:19">
      <c r="A154" s="159"/>
      <c r="B154" s="59"/>
      <c r="C154" s="24">
        <f t="shared" ref="C154:C217" si="28">IF(B154="",1,(LOOKUP(B154,$3:$3,$4:$4)-LOOKUP($B$24,$3:$3,$4:$4)+100)/100)</f>
        <v>1</v>
      </c>
      <c r="D154" s="718"/>
      <c r="E154" s="24">
        <f t="shared" ref="E154:E217" si="29">(SUMIF($5:$5,D154,$6:$6)-SUMIF($5:$5,$D$24,$6:$6)+100)/100</f>
        <v>0.02</v>
      </c>
      <c r="F154" s="718"/>
      <c r="G154" s="24">
        <f t="shared" ref="G154:G217" si="30">(SUMIF($7:$7,F154,$8:$8)-SUMIF($7:$7,$F$24,$8:$8)+100)/100</f>
        <v>0.1</v>
      </c>
      <c r="H154" s="718"/>
      <c r="I154" s="24">
        <f t="shared" ref="I154:I217" si="31">(SUMIF($9:$9,H154,$10:$10)-SUMIF($9:$9,$H$24,$10:$10)+100)/100</f>
        <v>0.05</v>
      </c>
      <c r="J154" s="718"/>
      <c r="K154" s="24">
        <f t="shared" ref="K154:K217" si="32">(SUMIF($11:$11,J154,$12:$12)-SUMIF($11:$11,$J$24,$12:$12)+100)/100</f>
        <v>0.2</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61">
        <f t="shared" si="27"/>
        <v>0</v>
      </c>
    </row>
    <row r="155" spans="1:19">
      <c r="A155" s="159"/>
      <c r="B155" s="59"/>
      <c r="C155" s="24">
        <f t="shared" si="28"/>
        <v>1</v>
      </c>
      <c r="D155" s="718"/>
      <c r="E155" s="24">
        <f t="shared" si="29"/>
        <v>0.02</v>
      </c>
      <c r="F155" s="718"/>
      <c r="G155" s="24">
        <f t="shared" si="30"/>
        <v>0.1</v>
      </c>
      <c r="H155" s="718"/>
      <c r="I155" s="24">
        <f t="shared" si="31"/>
        <v>0.05</v>
      </c>
      <c r="J155" s="718"/>
      <c r="K155" s="24">
        <f t="shared" si="32"/>
        <v>0.2</v>
      </c>
      <c r="L155" s="718"/>
      <c r="M155" s="24">
        <f t="shared" si="33"/>
        <v>1</v>
      </c>
      <c r="N155" s="718"/>
      <c r="O155" s="24">
        <f t="shared" si="34"/>
        <v>1</v>
      </c>
      <c r="P155" s="718"/>
      <c r="Q155" s="24">
        <f t="shared" si="35"/>
        <v>1</v>
      </c>
      <c r="R155" s="714">
        <f t="shared" si="36"/>
        <v>0</v>
      </c>
      <c r="S155" s="361">
        <f t="shared" si="27"/>
        <v>0</v>
      </c>
    </row>
    <row r="156" spans="1:19">
      <c r="A156" s="159"/>
      <c r="B156" s="59"/>
      <c r="C156" s="24">
        <f t="shared" si="28"/>
        <v>1</v>
      </c>
      <c r="D156" s="718"/>
      <c r="E156" s="24">
        <f t="shared" si="29"/>
        <v>0.02</v>
      </c>
      <c r="F156" s="718"/>
      <c r="G156" s="24">
        <f t="shared" si="30"/>
        <v>0.1</v>
      </c>
      <c r="H156" s="718"/>
      <c r="I156" s="24">
        <f t="shared" si="31"/>
        <v>0.05</v>
      </c>
      <c r="J156" s="718"/>
      <c r="K156" s="24">
        <f t="shared" si="32"/>
        <v>0.2</v>
      </c>
      <c r="L156" s="718"/>
      <c r="M156" s="24">
        <f t="shared" si="33"/>
        <v>1</v>
      </c>
      <c r="N156" s="718"/>
      <c r="O156" s="24">
        <f t="shared" si="34"/>
        <v>1</v>
      </c>
      <c r="P156" s="718"/>
      <c r="Q156" s="24">
        <f t="shared" si="35"/>
        <v>1</v>
      </c>
      <c r="R156" s="714">
        <f t="shared" si="36"/>
        <v>0</v>
      </c>
      <c r="S156" s="361">
        <f t="shared" si="27"/>
        <v>0</v>
      </c>
    </row>
    <row r="157" spans="1:19">
      <c r="A157" s="159"/>
      <c r="B157" s="59"/>
      <c r="C157" s="24">
        <f t="shared" si="28"/>
        <v>1</v>
      </c>
      <c r="D157" s="718"/>
      <c r="E157" s="24">
        <f t="shared" si="29"/>
        <v>0.02</v>
      </c>
      <c r="F157" s="718"/>
      <c r="G157" s="24">
        <f t="shared" si="30"/>
        <v>0.1</v>
      </c>
      <c r="H157" s="718"/>
      <c r="I157" s="24">
        <f t="shared" si="31"/>
        <v>0.05</v>
      </c>
      <c r="J157" s="718"/>
      <c r="K157" s="24">
        <f t="shared" si="32"/>
        <v>0.2</v>
      </c>
      <c r="L157" s="718"/>
      <c r="M157" s="24">
        <f t="shared" si="33"/>
        <v>1</v>
      </c>
      <c r="N157" s="718"/>
      <c r="O157" s="24">
        <f t="shared" si="34"/>
        <v>1</v>
      </c>
      <c r="P157" s="718"/>
      <c r="Q157" s="24">
        <f t="shared" si="35"/>
        <v>1</v>
      </c>
      <c r="R157" s="714">
        <f t="shared" si="36"/>
        <v>0</v>
      </c>
      <c r="S157" s="361">
        <f t="shared" si="27"/>
        <v>0</v>
      </c>
    </row>
    <row r="158" spans="1:19">
      <c r="A158" s="159"/>
      <c r="B158" s="59"/>
      <c r="C158" s="24">
        <f t="shared" si="28"/>
        <v>1</v>
      </c>
      <c r="D158" s="718"/>
      <c r="E158" s="24">
        <f t="shared" si="29"/>
        <v>0.02</v>
      </c>
      <c r="F158" s="718"/>
      <c r="G158" s="24">
        <f t="shared" si="30"/>
        <v>0.1</v>
      </c>
      <c r="H158" s="718"/>
      <c r="I158" s="24">
        <f t="shared" si="31"/>
        <v>0.05</v>
      </c>
      <c r="J158" s="718"/>
      <c r="K158" s="24">
        <f t="shared" si="32"/>
        <v>0.2</v>
      </c>
      <c r="L158" s="718"/>
      <c r="M158" s="24">
        <f t="shared" si="33"/>
        <v>1</v>
      </c>
      <c r="N158" s="718"/>
      <c r="O158" s="24">
        <f t="shared" si="34"/>
        <v>1</v>
      </c>
      <c r="P158" s="718"/>
      <c r="Q158" s="24">
        <f t="shared" si="35"/>
        <v>1</v>
      </c>
      <c r="R158" s="714">
        <f t="shared" si="36"/>
        <v>0</v>
      </c>
      <c r="S158" s="361">
        <f t="shared" si="27"/>
        <v>0</v>
      </c>
    </row>
    <row r="159" spans="1:19">
      <c r="A159" s="159"/>
      <c r="B159" s="59"/>
      <c r="C159" s="24">
        <f t="shared" si="28"/>
        <v>1</v>
      </c>
      <c r="D159" s="718"/>
      <c r="E159" s="24">
        <f t="shared" si="29"/>
        <v>0.02</v>
      </c>
      <c r="F159" s="718"/>
      <c r="G159" s="24">
        <f t="shared" si="30"/>
        <v>0.1</v>
      </c>
      <c r="H159" s="718"/>
      <c r="I159" s="24">
        <f t="shared" si="31"/>
        <v>0.05</v>
      </c>
      <c r="J159" s="718"/>
      <c r="K159" s="24">
        <f t="shared" si="32"/>
        <v>0.2</v>
      </c>
      <c r="L159" s="718"/>
      <c r="M159" s="24">
        <f t="shared" si="33"/>
        <v>1</v>
      </c>
      <c r="N159" s="718"/>
      <c r="O159" s="24">
        <f t="shared" si="34"/>
        <v>1</v>
      </c>
      <c r="P159" s="718"/>
      <c r="Q159" s="24">
        <f t="shared" si="35"/>
        <v>1</v>
      </c>
      <c r="R159" s="714">
        <f t="shared" si="36"/>
        <v>0</v>
      </c>
      <c r="S159" s="361">
        <f t="shared" si="27"/>
        <v>0</v>
      </c>
    </row>
    <row r="160" spans="1:19">
      <c r="A160" s="159"/>
      <c r="B160" s="59"/>
      <c r="C160" s="24">
        <f t="shared" si="28"/>
        <v>1</v>
      </c>
      <c r="D160" s="718"/>
      <c r="E160" s="24">
        <f t="shared" si="29"/>
        <v>0.02</v>
      </c>
      <c r="F160" s="718"/>
      <c r="G160" s="24">
        <f t="shared" si="30"/>
        <v>0.1</v>
      </c>
      <c r="H160" s="718"/>
      <c r="I160" s="24">
        <f t="shared" si="31"/>
        <v>0.05</v>
      </c>
      <c r="J160" s="718"/>
      <c r="K160" s="24">
        <f t="shared" si="32"/>
        <v>0.2</v>
      </c>
      <c r="L160" s="718"/>
      <c r="M160" s="24">
        <f t="shared" si="33"/>
        <v>1</v>
      </c>
      <c r="N160" s="718"/>
      <c r="O160" s="24">
        <f t="shared" si="34"/>
        <v>1</v>
      </c>
      <c r="P160" s="718"/>
      <c r="Q160" s="24">
        <f t="shared" si="35"/>
        <v>1</v>
      </c>
      <c r="R160" s="714">
        <f t="shared" si="36"/>
        <v>0</v>
      </c>
      <c r="S160" s="361">
        <f t="shared" si="27"/>
        <v>0</v>
      </c>
    </row>
    <row r="161" spans="1:19">
      <c r="A161" s="159"/>
      <c r="B161" s="59"/>
      <c r="C161" s="24">
        <f t="shared" si="28"/>
        <v>1</v>
      </c>
      <c r="D161" s="718"/>
      <c r="E161" s="24">
        <f t="shared" si="29"/>
        <v>0.02</v>
      </c>
      <c r="F161" s="718"/>
      <c r="G161" s="24">
        <f t="shared" si="30"/>
        <v>0.1</v>
      </c>
      <c r="H161" s="718"/>
      <c r="I161" s="24">
        <f t="shared" si="31"/>
        <v>0.05</v>
      </c>
      <c r="J161" s="718"/>
      <c r="K161" s="24">
        <f t="shared" si="32"/>
        <v>0.2</v>
      </c>
      <c r="L161" s="718"/>
      <c r="M161" s="24">
        <f t="shared" si="33"/>
        <v>1</v>
      </c>
      <c r="N161" s="718"/>
      <c r="O161" s="24">
        <f t="shared" si="34"/>
        <v>1</v>
      </c>
      <c r="P161" s="718"/>
      <c r="Q161" s="24">
        <f t="shared" si="35"/>
        <v>1</v>
      </c>
      <c r="R161" s="714">
        <f t="shared" si="36"/>
        <v>0</v>
      </c>
      <c r="S161" s="361">
        <f t="shared" si="27"/>
        <v>0</v>
      </c>
    </row>
    <row r="162" spans="1:19">
      <c r="A162" s="159"/>
      <c r="B162" s="59"/>
      <c r="C162" s="24">
        <f t="shared" si="28"/>
        <v>1</v>
      </c>
      <c r="D162" s="718"/>
      <c r="E162" s="24">
        <f t="shared" si="29"/>
        <v>0.02</v>
      </c>
      <c r="F162" s="718"/>
      <c r="G162" s="24">
        <f t="shared" si="30"/>
        <v>0.1</v>
      </c>
      <c r="H162" s="718"/>
      <c r="I162" s="24">
        <f t="shared" si="31"/>
        <v>0.05</v>
      </c>
      <c r="J162" s="718"/>
      <c r="K162" s="24">
        <f t="shared" si="32"/>
        <v>0.2</v>
      </c>
      <c r="L162" s="718"/>
      <c r="M162" s="24">
        <f t="shared" si="33"/>
        <v>1</v>
      </c>
      <c r="N162" s="718"/>
      <c r="O162" s="24">
        <f t="shared" si="34"/>
        <v>1</v>
      </c>
      <c r="P162" s="718"/>
      <c r="Q162" s="24">
        <f t="shared" si="35"/>
        <v>1</v>
      </c>
      <c r="R162" s="714">
        <f t="shared" si="36"/>
        <v>0</v>
      </c>
      <c r="S162" s="361">
        <f t="shared" si="27"/>
        <v>0</v>
      </c>
    </row>
    <row r="163" spans="1:19">
      <c r="A163" s="159"/>
      <c r="B163" s="59"/>
      <c r="C163" s="24">
        <f t="shared" si="28"/>
        <v>1</v>
      </c>
      <c r="D163" s="718"/>
      <c r="E163" s="24">
        <f t="shared" si="29"/>
        <v>0.02</v>
      </c>
      <c r="F163" s="718"/>
      <c r="G163" s="24">
        <f t="shared" si="30"/>
        <v>0.1</v>
      </c>
      <c r="H163" s="718"/>
      <c r="I163" s="24">
        <f t="shared" si="31"/>
        <v>0.05</v>
      </c>
      <c r="J163" s="718"/>
      <c r="K163" s="24">
        <f t="shared" si="32"/>
        <v>0.2</v>
      </c>
      <c r="L163" s="718"/>
      <c r="M163" s="24">
        <f t="shared" si="33"/>
        <v>1</v>
      </c>
      <c r="N163" s="718"/>
      <c r="O163" s="24">
        <f t="shared" si="34"/>
        <v>1</v>
      </c>
      <c r="P163" s="718"/>
      <c r="Q163" s="24">
        <f t="shared" si="35"/>
        <v>1</v>
      </c>
      <c r="R163" s="714">
        <f t="shared" si="36"/>
        <v>0</v>
      </c>
      <c r="S163" s="361">
        <f t="shared" si="27"/>
        <v>0</v>
      </c>
    </row>
    <row r="164" spans="1:19">
      <c r="A164" s="159"/>
      <c r="B164" s="59"/>
      <c r="C164" s="24">
        <f t="shared" si="28"/>
        <v>1</v>
      </c>
      <c r="D164" s="718"/>
      <c r="E164" s="24">
        <f t="shared" si="29"/>
        <v>0.02</v>
      </c>
      <c r="F164" s="718"/>
      <c r="G164" s="24">
        <f t="shared" si="30"/>
        <v>0.1</v>
      </c>
      <c r="H164" s="718"/>
      <c r="I164" s="24">
        <f t="shared" si="31"/>
        <v>0.05</v>
      </c>
      <c r="J164" s="718"/>
      <c r="K164" s="24">
        <f t="shared" si="32"/>
        <v>0.2</v>
      </c>
      <c r="L164" s="718"/>
      <c r="M164" s="24">
        <f t="shared" si="33"/>
        <v>1</v>
      </c>
      <c r="N164" s="718"/>
      <c r="O164" s="24">
        <f t="shared" si="34"/>
        <v>1</v>
      </c>
      <c r="P164" s="718"/>
      <c r="Q164" s="24">
        <f t="shared" si="35"/>
        <v>1</v>
      </c>
      <c r="R164" s="714">
        <f t="shared" si="36"/>
        <v>0</v>
      </c>
      <c r="S164" s="361">
        <f t="shared" si="27"/>
        <v>0</v>
      </c>
    </row>
    <row r="165" spans="1:19">
      <c r="A165" s="159"/>
      <c r="B165" s="59"/>
      <c r="C165" s="24">
        <f t="shared" si="28"/>
        <v>1</v>
      </c>
      <c r="D165" s="718"/>
      <c r="E165" s="24">
        <f t="shared" si="29"/>
        <v>0.02</v>
      </c>
      <c r="F165" s="718"/>
      <c r="G165" s="24">
        <f t="shared" si="30"/>
        <v>0.1</v>
      </c>
      <c r="H165" s="718"/>
      <c r="I165" s="24">
        <f t="shared" si="31"/>
        <v>0.05</v>
      </c>
      <c r="J165" s="718"/>
      <c r="K165" s="24">
        <f t="shared" si="32"/>
        <v>0.2</v>
      </c>
      <c r="L165" s="718"/>
      <c r="M165" s="24">
        <f t="shared" si="33"/>
        <v>1</v>
      </c>
      <c r="N165" s="718"/>
      <c r="O165" s="24">
        <f t="shared" si="34"/>
        <v>1</v>
      </c>
      <c r="P165" s="718"/>
      <c r="Q165" s="24">
        <f t="shared" si="35"/>
        <v>1</v>
      </c>
      <c r="R165" s="714">
        <f t="shared" si="36"/>
        <v>0</v>
      </c>
      <c r="S165" s="361">
        <f t="shared" si="27"/>
        <v>0</v>
      </c>
    </row>
    <row r="166" spans="1:19">
      <c r="A166" s="159"/>
      <c r="B166" s="59"/>
      <c r="C166" s="24">
        <f t="shared" si="28"/>
        <v>1</v>
      </c>
      <c r="D166" s="718"/>
      <c r="E166" s="24">
        <f t="shared" si="29"/>
        <v>0.02</v>
      </c>
      <c r="F166" s="718"/>
      <c r="G166" s="24">
        <f t="shared" si="30"/>
        <v>0.1</v>
      </c>
      <c r="H166" s="718"/>
      <c r="I166" s="24">
        <f t="shared" si="31"/>
        <v>0.05</v>
      </c>
      <c r="J166" s="718"/>
      <c r="K166" s="24">
        <f t="shared" si="32"/>
        <v>0.2</v>
      </c>
      <c r="L166" s="718"/>
      <c r="M166" s="24">
        <f t="shared" si="33"/>
        <v>1</v>
      </c>
      <c r="N166" s="718"/>
      <c r="O166" s="24">
        <f t="shared" si="34"/>
        <v>1</v>
      </c>
      <c r="P166" s="718"/>
      <c r="Q166" s="24">
        <f t="shared" si="35"/>
        <v>1</v>
      </c>
      <c r="R166" s="714">
        <f t="shared" si="36"/>
        <v>0</v>
      </c>
      <c r="S166" s="361">
        <f t="shared" si="27"/>
        <v>0</v>
      </c>
    </row>
    <row r="167" spans="1:19">
      <c r="A167" s="159"/>
      <c r="B167" s="59"/>
      <c r="C167" s="24">
        <f t="shared" si="28"/>
        <v>1</v>
      </c>
      <c r="D167" s="718"/>
      <c r="E167" s="24">
        <f t="shared" si="29"/>
        <v>0.02</v>
      </c>
      <c r="F167" s="718"/>
      <c r="G167" s="24">
        <f t="shared" si="30"/>
        <v>0.1</v>
      </c>
      <c r="H167" s="718"/>
      <c r="I167" s="24">
        <f t="shared" si="31"/>
        <v>0.05</v>
      </c>
      <c r="J167" s="718"/>
      <c r="K167" s="24">
        <f t="shared" si="32"/>
        <v>0.2</v>
      </c>
      <c r="L167" s="718"/>
      <c r="M167" s="24">
        <f t="shared" si="33"/>
        <v>1</v>
      </c>
      <c r="N167" s="718"/>
      <c r="O167" s="24">
        <f t="shared" si="34"/>
        <v>1</v>
      </c>
      <c r="P167" s="718"/>
      <c r="Q167" s="24">
        <f t="shared" si="35"/>
        <v>1</v>
      </c>
      <c r="R167" s="714">
        <f t="shared" si="36"/>
        <v>0</v>
      </c>
      <c r="S167" s="361">
        <f t="shared" si="27"/>
        <v>0</v>
      </c>
    </row>
    <row r="168" spans="1:19">
      <c r="A168" s="159"/>
      <c r="B168" s="59"/>
      <c r="C168" s="24">
        <f t="shared" si="28"/>
        <v>1</v>
      </c>
      <c r="D168" s="718"/>
      <c r="E168" s="24">
        <f t="shared" si="29"/>
        <v>0.02</v>
      </c>
      <c r="F168" s="718"/>
      <c r="G168" s="24">
        <f t="shared" si="30"/>
        <v>0.1</v>
      </c>
      <c r="H168" s="718"/>
      <c r="I168" s="24">
        <f t="shared" si="31"/>
        <v>0.05</v>
      </c>
      <c r="J168" s="718"/>
      <c r="K168" s="24">
        <f t="shared" si="32"/>
        <v>0.2</v>
      </c>
      <c r="L168" s="718"/>
      <c r="M168" s="24">
        <f t="shared" si="33"/>
        <v>1</v>
      </c>
      <c r="N168" s="718"/>
      <c r="O168" s="24">
        <f t="shared" si="34"/>
        <v>1</v>
      </c>
      <c r="P168" s="718"/>
      <c r="Q168" s="24">
        <f t="shared" si="35"/>
        <v>1</v>
      </c>
      <c r="R168" s="714">
        <f t="shared" si="36"/>
        <v>0</v>
      </c>
      <c r="S168" s="361">
        <f t="shared" si="27"/>
        <v>0</v>
      </c>
    </row>
    <row r="169" spans="1:19">
      <c r="A169" s="159"/>
      <c r="B169" s="59"/>
      <c r="C169" s="24">
        <f t="shared" si="28"/>
        <v>1</v>
      </c>
      <c r="D169" s="718"/>
      <c r="E169" s="24">
        <f t="shared" si="29"/>
        <v>0.02</v>
      </c>
      <c r="F169" s="718"/>
      <c r="G169" s="24">
        <f t="shared" si="30"/>
        <v>0.1</v>
      </c>
      <c r="H169" s="718"/>
      <c r="I169" s="24">
        <f t="shared" si="31"/>
        <v>0.05</v>
      </c>
      <c r="J169" s="718"/>
      <c r="K169" s="24">
        <f t="shared" si="32"/>
        <v>0.2</v>
      </c>
      <c r="L169" s="718"/>
      <c r="M169" s="24">
        <f t="shared" si="33"/>
        <v>1</v>
      </c>
      <c r="N169" s="718"/>
      <c r="O169" s="24">
        <f t="shared" si="34"/>
        <v>1</v>
      </c>
      <c r="P169" s="718"/>
      <c r="Q169" s="24">
        <f t="shared" si="35"/>
        <v>1</v>
      </c>
      <c r="R169" s="714">
        <f t="shared" si="36"/>
        <v>0</v>
      </c>
      <c r="S169" s="361">
        <f t="shared" si="27"/>
        <v>0</v>
      </c>
    </row>
    <row r="170" spans="1:19">
      <c r="A170" s="159"/>
      <c r="B170" s="59"/>
      <c r="C170" s="24">
        <f t="shared" si="28"/>
        <v>1</v>
      </c>
      <c r="D170" s="718"/>
      <c r="E170" s="24">
        <f t="shared" si="29"/>
        <v>0.02</v>
      </c>
      <c r="F170" s="718"/>
      <c r="G170" s="24">
        <f t="shared" si="30"/>
        <v>0.1</v>
      </c>
      <c r="H170" s="718"/>
      <c r="I170" s="24">
        <f t="shared" si="31"/>
        <v>0.05</v>
      </c>
      <c r="J170" s="718"/>
      <c r="K170" s="24">
        <f t="shared" si="32"/>
        <v>0.2</v>
      </c>
      <c r="L170" s="718"/>
      <c r="M170" s="24">
        <f t="shared" si="33"/>
        <v>1</v>
      </c>
      <c r="N170" s="718"/>
      <c r="O170" s="24">
        <f t="shared" si="34"/>
        <v>1</v>
      </c>
      <c r="P170" s="718"/>
      <c r="Q170" s="24">
        <f t="shared" si="35"/>
        <v>1</v>
      </c>
      <c r="R170" s="714">
        <f t="shared" si="36"/>
        <v>0</v>
      </c>
      <c r="S170" s="361">
        <f t="shared" si="27"/>
        <v>0</v>
      </c>
    </row>
    <row r="171" spans="1:19">
      <c r="A171" s="159"/>
      <c r="B171" s="59"/>
      <c r="C171" s="24">
        <f t="shared" si="28"/>
        <v>1</v>
      </c>
      <c r="D171" s="718"/>
      <c r="E171" s="24">
        <f t="shared" si="29"/>
        <v>0.02</v>
      </c>
      <c r="F171" s="718"/>
      <c r="G171" s="24">
        <f t="shared" si="30"/>
        <v>0.1</v>
      </c>
      <c r="H171" s="718"/>
      <c r="I171" s="24">
        <f t="shared" si="31"/>
        <v>0.05</v>
      </c>
      <c r="J171" s="718"/>
      <c r="K171" s="24">
        <f t="shared" si="32"/>
        <v>0.2</v>
      </c>
      <c r="L171" s="718"/>
      <c r="M171" s="24">
        <f t="shared" si="33"/>
        <v>1</v>
      </c>
      <c r="N171" s="718"/>
      <c r="O171" s="24">
        <f t="shared" si="34"/>
        <v>1</v>
      </c>
      <c r="P171" s="718"/>
      <c r="Q171" s="24">
        <f t="shared" si="35"/>
        <v>1</v>
      </c>
      <c r="R171" s="714">
        <f t="shared" si="36"/>
        <v>0</v>
      </c>
      <c r="S171" s="361">
        <f t="shared" si="27"/>
        <v>0</v>
      </c>
    </row>
    <row r="172" spans="1:19">
      <c r="A172" s="159"/>
      <c r="B172" s="59"/>
      <c r="C172" s="24">
        <f t="shared" si="28"/>
        <v>1</v>
      </c>
      <c r="D172" s="718"/>
      <c r="E172" s="24">
        <f t="shared" si="29"/>
        <v>0.02</v>
      </c>
      <c r="F172" s="718"/>
      <c r="G172" s="24">
        <f t="shared" si="30"/>
        <v>0.1</v>
      </c>
      <c r="H172" s="718"/>
      <c r="I172" s="24">
        <f t="shared" si="31"/>
        <v>0.05</v>
      </c>
      <c r="J172" s="718"/>
      <c r="K172" s="24">
        <f t="shared" si="32"/>
        <v>0.2</v>
      </c>
      <c r="L172" s="718"/>
      <c r="M172" s="24">
        <f t="shared" si="33"/>
        <v>1</v>
      </c>
      <c r="N172" s="718"/>
      <c r="O172" s="24">
        <f t="shared" si="34"/>
        <v>1</v>
      </c>
      <c r="P172" s="718"/>
      <c r="Q172" s="24">
        <f t="shared" si="35"/>
        <v>1</v>
      </c>
      <c r="R172" s="714">
        <f t="shared" si="36"/>
        <v>0</v>
      </c>
      <c r="S172" s="361">
        <f t="shared" si="27"/>
        <v>0</v>
      </c>
    </row>
    <row r="173" spans="1:19">
      <c r="A173" s="159"/>
      <c r="B173" s="59"/>
      <c r="C173" s="24">
        <f t="shared" si="28"/>
        <v>1</v>
      </c>
      <c r="D173" s="718"/>
      <c r="E173" s="24">
        <f t="shared" si="29"/>
        <v>0.02</v>
      </c>
      <c r="F173" s="718"/>
      <c r="G173" s="24">
        <f t="shared" si="30"/>
        <v>0.1</v>
      </c>
      <c r="H173" s="718"/>
      <c r="I173" s="24">
        <f t="shared" si="31"/>
        <v>0.05</v>
      </c>
      <c r="J173" s="718"/>
      <c r="K173" s="24">
        <f t="shared" si="32"/>
        <v>0.2</v>
      </c>
      <c r="L173" s="718"/>
      <c r="M173" s="24">
        <f t="shared" si="33"/>
        <v>1</v>
      </c>
      <c r="N173" s="718"/>
      <c r="O173" s="24">
        <f t="shared" si="34"/>
        <v>1</v>
      </c>
      <c r="P173" s="718"/>
      <c r="Q173" s="24">
        <f t="shared" si="35"/>
        <v>1</v>
      </c>
      <c r="R173" s="714">
        <f t="shared" si="36"/>
        <v>0</v>
      </c>
      <c r="S173" s="361">
        <f t="shared" si="27"/>
        <v>0</v>
      </c>
    </row>
    <row r="174" spans="1:19">
      <c r="A174" s="159"/>
      <c r="B174" s="59"/>
      <c r="C174" s="24">
        <f t="shared" si="28"/>
        <v>1</v>
      </c>
      <c r="D174" s="718"/>
      <c r="E174" s="24">
        <f t="shared" si="29"/>
        <v>0.02</v>
      </c>
      <c r="F174" s="718"/>
      <c r="G174" s="24">
        <f t="shared" si="30"/>
        <v>0.1</v>
      </c>
      <c r="H174" s="718"/>
      <c r="I174" s="24">
        <f t="shared" si="31"/>
        <v>0.05</v>
      </c>
      <c r="J174" s="718"/>
      <c r="K174" s="24">
        <f t="shared" si="32"/>
        <v>0.2</v>
      </c>
      <c r="L174" s="718"/>
      <c r="M174" s="24">
        <f t="shared" si="33"/>
        <v>1</v>
      </c>
      <c r="N174" s="718"/>
      <c r="O174" s="24">
        <f t="shared" si="34"/>
        <v>1</v>
      </c>
      <c r="P174" s="718"/>
      <c r="Q174" s="24">
        <f t="shared" si="35"/>
        <v>1</v>
      </c>
      <c r="R174" s="714">
        <f t="shared" si="36"/>
        <v>0</v>
      </c>
      <c r="S174" s="361">
        <f t="shared" si="27"/>
        <v>0</v>
      </c>
    </row>
    <row r="175" spans="1:19">
      <c r="A175" s="159"/>
      <c r="B175" s="59"/>
      <c r="C175" s="24">
        <f t="shared" si="28"/>
        <v>1</v>
      </c>
      <c r="D175" s="718"/>
      <c r="E175" s="24">
        <f t="shared" si="29"/>
        <v>0.02</v>
      </c>
      <c r="F175" s="718"/>
      <c r="G175" s="24">
        <f t="shared" si="30"/>
        <v>0.1</v>
      </c>
      <c r="H175" s="718"/>
      <c r="I175" s="24">
        <f t="shared" si="31"/>
        <v>0.05</v>
      </c>
      <c r="J175" s="718"/>
      <c r="K175" s="24">
        <f t="shared" si="32"/>
        <v>0.2</v>
      </c>
      <c r="L175" s="718"/>
      <c r="M175" s="24">
        <f t="shared" si="33"/>
        <v>1</v>
      </c>
      <c r="N175" s="718"/>
      <c r="O175" s="24">
        <f t="shared" si="34"/>
        <v>1</v>
      </c>
      <c r="P175" s="718"/>
      <c r="Q175" s="24">
        <f t="shared" si="35"/>
        <v>1</v>
      </c>
      <c r="R175" s="714">
        <f t="shared" si="36"/>
        <v>0</v>
      </c>
      <c r="S175" s="361">
        <f t="shared" si="27"/>
        <v>0</v>
      </c>
    </row>
    <row r="176" spans="1:19">
      <c r="A176" s="159"/>
      <c r="B176" s="59"/>
      <c r="C176" s="24">
        <f t="shared" si="28"/>
        <v>1</v>
      </c>
      <c r="D176" s="718"/>
      <c r="E176" s="24">
        <f t="shared" si="29"/>
        <v>0.02</v>
      </c>
      <c r="F176" s="718"/>
      <c r="G176" s="24">
        <f t="shared" si="30"/>
        <v>0.1</v>
      </c>
      <c r="H176" s="718"/>
      <c r="I176" s="24">
        <f t="shared" si="31"/>
        <v>0.05</v>
      </c>
      <c r="J176" s="718"/>
      <c r="K176" s="24">
        <f t="shared" si="32"/>
        <v>0.2</v>
      </c>
      <c r="L176" s="718"/>
      <c r="M176" s="24">
        <f t="shared" si="33"/>
        <v>1</v>
      </c>
      <c r="N176" s="718"/>
      <c r="O176" s="24">
        <f t="shared" si="34"/>
        <v>1</v>
      </c>
      <c r="P176" s="718"/>
      <c r="Q176" s="24">
        <f t="shared" si="35"/>
        <v>1</v>
      </c>
      <c r="R176" s="714">
        <f t="shared" si="36"/>
        <v>0</v>
      </c>
      <c r="S176" s="361">
        <f t="shared" si="27"/>
        <v>0</v>
      </c>
    </row>
    <row r="177" spans="1:19">
      <c r="A177" s="159"/>
      <c r="B177" s="59"/>
      <c r="C177" s="24">
        <f t="shared" si="28"/>
        <v>1</v>
      </c>
      <c r="D177" s="718"/>
      <c r="E177" s="24">
        <f t="shared" si="29"/>
        <v>0.02</v>
      </c>
      <c r="F177" s="718"/>
      <c r="G177" s="24">
        <f t="shared" si="30"/>
        <v>0.1</v>
      </c>
      <c r="H177" s="718"/>
      <c r="I177" s="24">
        <f t="shared" si="31"/>
        <v>0.05</v>
      </c>
      <c r="J177" s="718"/>
      <c r="K177" s="24">
        <f t="shared" si="32"/>
        <v>0.2</v>
      </c>
      <c r="L177" s="718"/>
      <c r="M177" s="24">
        <f t="shared" si="33"/>
        <v>1</v>
      </c>
      <c r="N177" s="718"/>
      <c r="O177" s="24">
        <f t="shared" si="34"/>
        <v>1</v>
      </c>
      <c r="P177" s="718"/>
      <c r="Q177" s="24">
        <f t="shared" si="35"/>
        <v>1</v>
      </c>
      <c r="R177" s="714">
        <f t="shared" si="36"/>
        <v>0</v>
      </c>
      <c r="S177" s="361">
        <f t="shared" si="27"/>
        <v>0</v>
      </c>
    </row>
    <row r="178" spans="1:19">
      <c r="A178" s="159"/>
      <c r="B178" s="59"/>
      <c r="C178" s="24">
        <f t="shared" si="28"/>
        <v>1</v>
      </c>
      <c r="D178" s="718"/>
      <c r="E178" s="24">
        <f t="shared" si="29"/>
        <v>0.02</v>
      </c>
      <c r="F178" s="718"/>
      <c r="G178" s="24">
        <f t="shared" si="30"/>
        <v>0.1</v>
      </c>
      <c r="H178" s="718"/>
      <c r="I178" s="24">
        <f t="shared" si="31"/>
        <v>0.05</v>
      </c>
      <c r="J178" s="718"/>
      <c r="K178" s="24">
        <f t="shared" si="32"/>
        <v>0.2</v>
      </c>
      <c r="L178" s="718"/>
      <c r="M178" s="24">
        <f t="shared" si="33"/>
        <v>1</v>
      </c>
      <c r="N178" s="718"/>
      <c r="O178" s="24">
        <f t="shared" si="34"/>
        <v>1</v>
      </c>
      <c r="P178" s="718"/>
      <c r="Q178" s="24">
        <f t="shared" si="35"/>
        <v>1</v>
      </c>
      <c r="R178" s="714">
        <f t="shared" si="36"/>
        <v>0</v>
      </c>
      <c r="S178" s="361">
        <f t="shared" si="27"/>
        <v>0</v>
      </c>
    </row>
    <row r="179" spans="1:19">
      <c r="A179" s="159"/>
      <c r="B179" s="59"/>
      <c r="C179" s="24">
        <f t="shared" si="28"/>
        <v>1</v>
      </c>
      <c r="D179" s="718"/>
      <c r="E179" s="24">
        <f t="shared" si="29"/>
        <v>0.02</v>
      </c>
      <c r="F179" s="718"/>
      <c r="G179" s="24">
        <f t="shared" si="30"/>
        <v>0.1</v>
      </c>
      <c r="H179" s="718"/>
      <c r="I179" s="24">
        <f t="shared" si="31"/>
        <v>0.05</v>
      </c>
      <c r="J179" s="718"/>
      <c r="K179" s="24">
        <f t="shared" si="32"/>
        <v>0.2</v>
      </c>
      <c r="L179" s="718"/>
      <c r="M179" s="24">
        <f t="shared" si="33"/>
        <v>1</v>
      </c>
      <c r="N179" s="718"/>
      <c r="O179" s="24">
        <f t="shared" si="34"/>
        <v>1</v>
      </c>
      <c r="P179" s="718"/>
      <c r="Q179" s="24">
        <f t="shared" si="35"/>
        <v>1</v>
      </c>
      <c r="R179" s="714">
        <f t="shared" si="36"/>
        <v>0</v>
      </c>
      <c r="S179" s="361">
        <f t="shared" si="27"/>
        <v>0</v>
      </c>
    </row>
    <row r="180" spans="1:19">
      <c r="A180" s="159"/>
      <c r="B180" s="59"/>
      <c r="C180" s="24">
        <f t="shared" si="28"/>
        <v>1</v>
      </c>
      <c r="D180" s="718"/>
      <c r="E180" s="24">
        <f t="shared" si="29"/>
        <v>0.02</v>
      </c>
      <c r="F180" s="718"/>
      <c r="G180" s="24">
        <f t="shared" si="30"/>
        <v>0.1</v>
      </c>
      <c r="H180" s="718"/>
      <c r="I180" s="24">
        <f t="shared" si="31"/>
        <v>0.05</v>
      </c>
      <c r="J180" s="718"/>
      <c r="K180" s="24">
        <f t="shared" si="32"/>
        <v>0.2</v>
      </c>
      <c r="L180" s="718"/>
      <c r="M180" s="24">
        <f t="shared" si="33"/>
        <v>1</v>
      </c>
      <c r="N180" s="718"/>
      <c r="O180" s="24">
        <f t="shared" si="34"/>
        <v>1</v>
      </c>
      <c r="P180" s="718"/>
      <c r="Q180" s="24">
        <f t="shared" si="35"/>
        <v>1</v>
      </c>
      <c r="R180" s="714">
        <f t="shared" si="36"/>
        <v>0</v>
      </c>
      <c r="S180" s="361">
        <f t="shared" si="27"/>
        <v>0</v>
      </c>
    </row>
    <row r="181" spans="1:19">
      <c r="A181" s="159"/>
      <c r="B181" s="59"/>
      <c r="C181" s="24">
        <f t="shared" si="28"/>
        <v>1</v>
      </c>
      <c r="D181" s="718"/>
      <c r="E181" s="24">
        <f t="shared" si="29"/>
        <v>0.02</v>
      </c>
      <c r="F181" s="718"/>
      <c r="G181" s="24">
        <f t="shared" si="30"/>
        <v>0.1</v>
      </c>
      <c r="H181" s="718"/>
      <c r="I181" s="24">
        <f t="shared" si="31"/>
        <v>0.05</v>
      </c>
      <c r="J181" s="718"/>
      <c r="K181" s="24">
        <f t="shared" si="32"/>
        <v>0.2</v>
      </c>
      <c r="L181" s="718"/>
      <c r="M181" s="24">
        <f t="shared" si="33"/>
        <v>1</v>
      </c>
      <c r="N181" s="718"/>
      <c r="O181" s="24">
        <f t="shared" si="34"/>
        <v>1</v>
      </c>
      <c r="P181" s="718"/>
      <c r="Q181" s="24">
        <f t="shared" si="35"/>
        <v>1</v>
      </c>
      <c r="R181" s="714">
        <f t="shared" si="36"/>
        <v>0</v>
      </c>
      <c r="S181" s="361">
        <f t="shared" si="27"/>
        <v>0</v>
      </c>
    </row>
    <row r="182" spans="1:19">
      <c r="A182" s="159"/>
      <c r="B182" s="59"/>
      <c r="C182" s="24">
        <f t="shared" si="28"/>
        <v>1</v>
      </c>
      <c r="D182" s="718"/>
      <c r="E182" s="24">
        <f t="shared" si="29"/>
        <v>0.02</v>
      </c>
      <c r="F182" s="718"/>
      <c r="G182" s="24">
        <f t="shared" si="30"/>
        <v>0.1</v>
      </c>
      <c r="H182" s="718"/>
      <c r="I182" s="24">
        <f t="shared" si="31"/>
        <v>0.05</v>
      </c>
      <c r="J182" s="718"/>
      <c r="K182" s="24">
        <f t="shared" si="32"/>
        <v>0.2</v>
      </c>
      <c r="L182" s="718"/>
      <c r="M182" s="24">
        <f t="shared" si="33"/>
        <v>1</v>
      </c>
      <c r="N182" s="718"/>
      <c r="O182" s="24">
        <f t="shared" si="34"/>
        <v>1</v>
      </c>
      <c r="P182" s="718"/>
      <c r="Q182" s="24">
        <f t="shared" si="35"/>
        <v>1</v>
      </c>
      <c r="R182" s="714">
        <f t="shared" si="36"/>
        <v>0</v>
      </c>
      <c r="S182" s="361">
        <f t="shared" si="27"/>
        <v>0</v>
      </c>
    </row>
    <row r="183" spans="1:19">
      <c r="A183" s="159"/>
      <c r="B183" s="59"/>
      <c r="C183" s="24">
        <f t="shared" si="28"/>
        <v>1</v>
      </c>
      <c r="D183" s="718"/>
      <c r="E183" s="24">
        <f t="shared" si="29"/>
        <v>0.02</v>
      </c>
      <c r="F183" s="718"/>
      <c r="G183" s="24">
        <f t="shared" si="30"/>
        <v>0.1</v>
      </c>
      <c r="H183" s="718"/>
      <c r="I183" s="24">
        <f t="shared" si="31"/>
        <v>0.05</v>
      </c>
      <c r="J183" s="718"/>
      <c r="K183" s="24">
        <f t="shared" si="32"/>
        <v>0.2</v>
      </c>
      <c r="L183" s="718"/>
      <c r="M183" s="24">
        <f t="shared" si="33"/>
        <v>1</v>
      </c>
      <c r="N183" s="718"/>
      <c r="O183" s="24">
        <f t="shared" si="34"/>
        <v>1</v>
      </c>
      <c r="P183" s="718"/>
      <c r="Q183" s="24">
        <f t="shared" si="35"/>
        <v>1</v>
      </c>
      <c r="R183" s="714">
        <f t="shared" si="36"/>
        <v>0</v>
      </c>
      <c r="S183" s="361">
        <f t="shared" si="27"/>
        <v>0</v>
      </c>
    </row>
    <row r="184" spans="1:19">
      <c r="A184" s="159"/>
      <c r="B184" s="59"/>
      <c r="C184" s="24">
        <f t="shared" si="28"/>
        <v>1</v>
      </c>
      <c r="D184" s="718"/>
      <c r="E184" s="24">
        <f t="shared" si="29"/>
        <v>0.02</v>
      </c>
      <c r="F184" s="718"/>
      <c r="G184" s="24">
        <f t="shared" si="30"/>
        <v>0.1</v>
      </c>
      <c r="H184" s="718"/>
      <c r="I184" s="24">
        <f t="shared" si="31"/>
        <v>0.05</v>
      </c>
      <c r="J184" s="718"/>
      <c r="K184" s="24">
        <f t="shared" si="32"/>
        <v>0.2</v>
      </c>
      <c r="L184" s="718"/>
      <c r="M184" s="24">
        <f t="shared" si="33"/>
        <v>1</v>
      </c>
      <c r="N184" s="718"/>
      <c r="O184" s="24">
        <f t="shared" si="34"/>
        <v>1</v>
      </c>
      <c r="P184" s="718"/>
      <c r="Q184" s="24">
        <f t="shared" si="35"/>
        <v>1</v>
      </c>
      <c r="R184" s="714">
        <f t="shared" si="36"/>
        <v>0</v>
      </c>
      <c r="S184" s="361">
        <f t="shared" si="27"/>
        <v>0</v>
      </c>
    </row>
    <row r="185" spans="1:19">
      <c r="A185" s="159"/>
      <c r="B185" s="59"/>
      <c r="C185" s="24">
        <f t="shared" si="28"/>
        <v>1</v>
      </c>
      <c r="D185" s="718"/>
      <c r="E185" s="24">
        <f t="shared" si="29"/>
        <v>0.02</v>
      </c>
      <c r="F185" s="718"/>
      <c r="G185" s="24">
        <f t="shared" si="30"/>
        <v>0.1</v>
      </c>
      <c r="H185" s="718"/>
      <c r="I185" s="24">
        <f t="shared" si="31"/>
        <v>0.05</v>
      </c>
      <c r="J185" s="718"/>
      <c r="K185" s="24">
        <f t="shared" si="32"/>
        <v>0.2</v>
      </c>
      <c r="L185" s="718"/>
      <c r="M185" s="24">
        <f t="shared" si="33"/>
        <v>1</v>
      </c>
      <c r="N185" s="718"/>
      <c r="O185" s="24">
        <f t="shared" si="34"/>
        <v>1</v>
      </c>
      <c r="P185" s="718"/>
      <c r="Q185" s="24">
        <f t="shared" si="35"/>
        <v>1</v>
      </c>
      <c r="R185" s="714">
        <f t="shared" si="36"/>
        <v>0</v>
      </c>
      <c r="S185" s="361">
        <f t="shared" si="27"/>
        <v>0</v>
      </c>
    </row>
    <row r="186" spans="1:19">
      <c r="A186" s="159"/>
      <c r="B186" s="59"/>
      <c r="C186" s="24">
        <f t="shared" si="28"/>
        <v>1</v>
      </c>
      <c r="D186" s="718"/>
      <c r="E186" s="24">
        <f t="shared" si="29"/>
        <v>0.02</v>
      </c>
      <c r="F186" s="718"/>
      <c r="G186" s="24">
        <f t="shared" si="30"/>
        <v>0.1</v>
      </c>
      <c r="H186" s="718"/>
      <c r="I186" s="24">
        <f t="shared" si="31"/>
        <v>0.05</v>
      </c>
      <c r="J186" s="718"/>
      <c r="K186" s="24">
        <f t="shared" si="32"/>
        <v>0.2</v>
      </c>
      <c r="L186" s="718"/>
      <c r="M186" s="24">
        <f t="shared" si="33"/>
        <v>1</v>
      </c>
      <c r="N186" s="718"/>
      <c r="O186" s="24">
        <f t="shared" si="34"/>
        <v>1</v>
      </c>
      <c r="P186" s="718"/>
      <c r="Q186" s="24">
        <f t="shared" si="35"/>
        <v>1</v>
      </c>
      <c r="R186" s="714">
        <f t="shared" si="36"/>
        <v>0</v>
      </c>
      <c r="S186" s="361">
        <f t="shared" si="27"/>
        <v>0</v>
      </c>
    </row>
    <row r="187" spans="1:19">
      <c r="A187" s="159"/>
      <c r="B187" s="59"/>
      <c r="C187" s="24">
        <f t="shared" si="28"/>
        <v>1</v>
      </c>
      <c r="D187" s="718"/>
      <c r="E187" s="24">
        <f t="shared" si="29"/>
        <v>0.02</v>
      </c>
      <c r="F187" s="718"/>
      <c r="G187" s="24">
        <f t="shared" si="30"/>
        <v>0.1</v>
      </c>
      <c r="H187" s="718"/>
      <c r="I187" s="24">
        <f t="shared" si="31"/>
        <v>0.05</v>
      </c>
      <c r="J187" s="718"/>
      <c r="K187" s="24">
        <f t="shared" si="32"/>
        <v>0.2</v>
      </c>
      <c r="L187" s="718"/>
      <c r="M187" s="24">
        <f t="shared" si="33"/>
        <v>1</v>
      </c>
      <c r="N187" s="718"/>
      <c r="O187" s="24">
        <f t="shared" si="34"/>
        <v>1</v>
      </c>
      <c r="P187" s="718"/>
      <c r="Q187" s="24">
        <f t="shared" si="35"/>
        <v>1</v>
      </c>
      <c r="R187" s="714">
        <f t="shared" si="36"/>
        <v>0</v>
      </c>
      <c r="S187" s="361">
        <f t="shared" si="27"/>
        <v>0</v>
      </c>
    </row>
    <row r="188" spans="1:19">
      <c r="A188" s="159"/>
      <c r="B188" s="59"/>
      <c r="C188" s="24">
        <f t="shared" si="28"/>
        <v>1</v>
      </c>
      <c r="D188" s="718"/>
      <c r="E188" s="24">
        <f t="shared" si="29"/>
        <v>0.02</v>
      </c>
      <c r="F188" s="718"/>
      <c r="G188" s="24">
        <f t="shared" si="30"/>
        <v>0.1</v>
      </c>
      <c r="H188" s="718"/>
      <c r="I188" s="24">
        <f t="shared" si="31"/>
        <v>0.05</v>
      </c>
      <c r="J188" s="718"/>
      <c r="K188" s="24">
        <f t="shared" si="32"/>
        <v>0.2</v>
      </c>
      <c r="L188" s="718"/>
      <c r="M188" s="24">
        <f t="shared" si="33"/>
        <v>1</v>
      </c>
      <c r="N188" s="718"/>
      <c r="O188" s="24">
        <f t="shared" si="34"/>
        <v>1</v>
      </c>
      <c r="P188" s="718"/>
      <c r="Q188" s="24">
        <f t="shared" si="35"/>
        <v>1</v>
      </c>
      <c r="R188" s="714">
        <f t="shared" si="36"/>
        <v>0</v>
      </c>
      <c r="S188" s="361">
        <f t="shared" si="27"/>
        <v>0</v>
      </c>
    </row>
    <row r="189" spans="1:19">
      <c r="A189" s="159"/>
      <c r="B189" s="59"/>
      <c r="C189" s="24">
        <f t="shared" si="28"/>
        <v>1</v>
      </c>
      <c r="D189" s="718"/>
      <c r="E189" s="24">
        <f t="shared" si="29"/>
        <v>0.02</v>
      </c>
      <c r="F189" s="718"/>
      <c r="G189" s="24">
        <f t="shared" si="30"/>
        <v>0.1</v>
      </c>
      <c r="H189" s="718"/>
      <c r="I189" s="24">
        <f t="shared" si="31"/>
        <v>0.05</v>
      </c>
      <c r="J189" s="718"/>
      <c r="K189" s="24">
        <f t="shared" si="32"/>
        <v>0.2</v>
      </c>
      <c r="L189" s="718"/>
      <c r="M189" s="24">
        <f t="shared" si="33"/>
        <v>1</v>
      </c>
      <c r="N189" s="718"/>
      <c r="O189" s="24">
        <f t="shared" si="34"/>
        <v>1</v>
      </c>
      <c r="P189" s="718"/>
      <c r="Q189" s="24">
        <f t="shared" si="35"/>
        <v>1</v>
      </c>
      <c r="R189" s="714">
        <f t="shared" si="36"/>
        <v>0</v>
      </c>
      <c r="S189" s="361">
        <f t="shared" si="27"/>
        <v>0</v>
      </c>
    </row>
    <row r="190" spans="1:19">
      <c r="A190" s="159"/>
      <c r="B190" s="59"/>
      <c r="C190" s="24">
        <f t="shared" si="28"/>
        <v>1</v>
      </c>
      <c r="D190" s="718"/>
      <c r="E190" s="24">
        <f t="shared" si="29"/>
        <v>0.02</v>
      </c>
      <c r="F190" s="718"/>
      <c r="G190" s="24">
        <f t="shared" si="30"/>
        <v>0.1</v>
      </c>
      <c r="H190" s="718"/>
      <c r="I190" s="24">
        <f t="shared" si="31"/>
        <v>0.05</v>
      </c>
      <c r="J190" s="718"/>
      <c r="K190" s="24">
        <f t="shared" si="32"/>
        <v>0.2</v>
      </c>
      <c r="L190" s="718"/>
      <c r="M190" s="24">
        <f t="shared" si="33"/>
        <v>1</v>
      </c>
      <c r="N190" s="718"/>
      <c r="O190" s="24">
        <f t="shared" si="34"/>
        <v>1</v>
      </c>
      <c r="P190" s="718"/>
      <c r="Q190" s="24">
        <f t="shared" si="35"/>
        <v>1</v>
      </c>
      <c r="R190" s="714">
        <f t="shared" si="36"/>
        <v>0</v>
      </c>
      <c r="S190" s="361">
        <f t="shared" si="27"/>
        <v>0</v>
      </c>
    </row>
    <row r="191" spans="1:19">
      <c r="A191" s="159"/>
      <c r="B191" s="59"/>
      <c r="C191" s="24">
        <f t="shared" si="28"/>
        <v>1</v>
      </c>
      <c r="D191" s="718"/>
      <c r="E191" s="24">
        <f t="shared" si="29"/>
        <v>0.02</v>
      </c>
      <c r="F191" s="718"/>
      <c r="G191" s="24">
        <f t="shared" si="30"/>
        <v>0.1</v>
      </c>
      <c r="H191" s="718"/>
      <c r="I191" s="24">
        <f t="shared" si="31"/>
        <v>0.05</v>
      </c>
      <c r="J191" s="718"/>
      <c r="K191" s="24">
        <f t="shared" si="32"/>
        <v>0.2</v>
      </c>
      <c r="L191" s="718"/>
      <c r="M191" s="24">
        <f t="shared" si="33"/>
        <v>1</v>
      </c>
      <c r="N191" s="718"/>
      <c r="O191" s="24">
        <f t="shared" si="34"/>
        <v>1</v>
      </c>
      <c r="P191" s="718"/>
      <c r="Q191" s="24">
        <f t="shared" si="35"/>
        <v>1</v>
      </c>
      <c r="R191" s="714">
        <f t="shared" si="36"/>
        <v>0</v>
      </c>
      <c r="S191" s="361">
        <f t="shared" si="27"/>
        <v>0</v>
      </c>
    </row>
    <row r="192" spans="1:19">
      <c r="A192" s="159"/>
      <c r="B192" s="59"/>
      <c r="C192" s="24">
        <f t="shared" si="28"/>
        <v>1</v>
      </c>
      <c r="D192" s="718"/>
      <c r="E192" s="24">
        <f t="shared" si="29"/>
        <v>0.02</v>
      </c>
      <c r="F192" s="718"/>
      <c r="G192" s="24">
        <f t="shared" si="30"/>
        <v>0.1</v>
      </c>
      <c r="H192" s="718"/>
      <c r="I192" s="24">
        <f t="shared" si="31"/>
        <v>0.05</v>
      </c>
      <c r="J192" s="718"/>
      <c r="K192" s="24">
        <f t="shared" si="32"/>
        <v>0.2</v>
      </c>
      <c r="L192" s="718"/>
      <c r="M192" s="24">
        <f t="shared" si="33"/>
        <v>1</v>
      </c>
      <c r="N192" s="718"/>
      <c r="O192" s="24">
        <f t="shared" si="34"/>
        <v>1</v>
      </c>
      <c r="P192" s="718"/>
      <c r="Q192" s="24">
        <f t="shared" si="35"/>
        <v>1</v>
      </c>
      <c r="R192" s="714">
        <f t="shared" si="36"/>
        <v>0</v>
      </c>
      <c r="S192" s="361">
        <f t="shared" si="27"/>
        <v>0</v>
      </c>
    </row>
    <row r="193" spans="1:19">
      <c r="A193" s="159"/>
      <c r="B193" s="59"/>
      <c r="C193" s="24">
        <f t="shared" si="28"/>
        <v>1</v>
      </c>
      <c r="D193" s="718"/>
      <c r="E193" s="24">
        <f t="shared" si="29"/>
        <v>0.02</v>
      </c>
      <c r="F193" s="718"/>
      <c r="G193" s="24">
        <f t="shared" si="30"/>
        <v>0.1</v>
      </c>
      <c r="H193" s="718"/>
      <c r="I193" s="24">
        <f t="shared" si="31"/>
        <v>0.05</v>
      </c>
      <c r="J193" s="718"/>
      <c r="K193" s="24">
        <f t="shared" si="32"/>
        <v>0.2</v>
      </c>
      <c r="L193" s="718"/>
      <c r="M193" s="24">
        <f t="shared" si="33"/>
        <v>1</v>
      </c>
      <c r="N193" s="718"/>
      <c r="O193" s="24">
        <f t="shared" si="34"/>
        <v>1</v>
      </c>
      <c r="P193" s="718"/>
      <c r="Q193" s="24">
        <f t="shared" si="35"/>
        <v>1</v>
      </c>
      <c r="R193" s="714">
        <f t="shared" si="36"/>
        <v>0</v>
      </c>
      <c r="S193" s="361">
        <f t="shared" si="27"/>
        <v>0</v>
      </c>
    </row>
    <row r="194" spans="1:19">
      <c r="A194" s="159"/>
      <c r="B194" s="59"/>
      <c r="C194" s="24">
        <f t="shared" si="28"/>
        <v>1</v>
      </c>
      <c r="D194" s="718"/>
      <c r="E194" s="24">
        <f t="shared" si="29"/>
        <v>0.02</v>
      </c>
      <c r="F194" s="718"/>
      <c r="G194" s="24">
        <f t="shared" si="30"/>
        <v>0.1</v>
      </c>
      <c r="H194" s="718"/>
      <c r="I194" s="24">
        <f t="shared" si="31"/>
        <v>0.05</v>
      </c>
      <c r="J194" s="718"/>
      <c r="K194" s="24">
        <f t="shared" si="32"/>
        <v>0.2</v>
      </c>
      <c r="L194" s="718"/>
      <c r="M194" s="24">
        <f t="shared" si="33"/>
        <v>1</v>
      </c>
      <c r="N194" s="718"/>
      <c r="O194" s="24">
        <f t="shared" si="34"/>
        <v>1</v>
      </c>
      <c r="P194" s="718"/>
      <c r="Q194" s="24">
        <f t="shared" si="35"/>
        <v>1</v>
      </c>
      <c r="R194" s="714">
        <f t="shared" si="36"/>
        <v>0</v>
      </c>
      <c r="S194" s="361">
        <f t="shared" si="27"/>
        <v>0</v>
      </c>
    </row>
    <row r="195" spans="1:19">
      <c r="A195" s="159"/>
      <c r="B195" s="59"/>
      <c r="C195" s="24">
        <f t="shared" si="28"/>
        <v>1</v>
      </c>
      <c r="D195" s="718"/>
      <c r="E195" s="24">
        <f t="shared" si="29"/>
        <v>0.02</v>
      </c>
      <c r="F195" s="718"/>
      <c r="G195" s="24">
        <f t="shared" si="30"/>
        <v>0.1</v>
      </c>
      <c r="H195" s="718"/>
      <c r="I195" s="24">
        <f t="shared" si="31"/>
        <v>0.05</v>
      </c>
      <c r="J195" s="718"/>
      <c r="K195" s="24">
        <f t="shared" si="32"/>
        <v>0.2</v>
      </c>
      <c r="L195" s="718"/>
      <c r="M195" s="24">
        <f t="shared" si="33"/>
        <v>1</v>
      </c>
      <c r="N195" s="718"/>
      <c r="O195" s="24">
        <f t="shared" si="34"/>
        <v>1</v>
      </c>
      <c r="P195" s="718"/>
      <c r="Q195" s="24">
        <f t="shared" si="35"/>
        <v>1</v>
      </c>
      <c r="R195" s="714">
        <f t="shared" si="36"/>
        <v>0</v>
      </c>
      <c r="S195" s="361">
        <f t="shared" si="27"/>
        <v>0</v>
      </c>
    </row>
    <row r="196" spans="1:19">
      <c r="A196" s="159"/>
      <c r="B196" s="59"/>
      <c r="C196" s="24">
        <f t="shared" si="28"/>
        <v>1</v>
      </c>
      <c r="D196" s="718"/>
      <c r="E196" s="24">
        <f t="shared" si="29"/>
        <v>0.02</v>
      </c>
      <c r="F196" s="718"/>
      <c r="G196" s="24">
        <f t="shared" si="30"/>
        <v>0.1</v>
      </c>
      <c r="H196" s="718"/>
      <c r="I196" s="24">
        <f t="shared" si="31"/>
        <v>0.05</v>
      </c>
      <c r="J196" s="718"/>
      <c r="K196" s="24">
        <f t="shared" si="32"/>
        <v>0.2</v>
      </c>
      <c r="L196" s="718"/>
      <c r="M196" s="24">
        <f t="shared" si="33"/>
        <v>1</v>
      </c>
      <c r="N196" s="718"/>
      <c r="O196" s="24">
        <f t="shared" si="34"/>
        <v>1</v>
      </c>
      <c r="P196" s="718"/>
      <c r="Q196" s="24">
        <f t="shared" si="35"/>
        <v>1</v>
      </c>
      <c r="R196" s="714">
        <f t="shared" si="36"/>
        <v>0</v>
      </c>
      <c r="S196" s="361">
        <f t="shared" si="27"/>
        <v>0</v>
      </c>
    </row>
    <row r="197" spans="1:19">
      <c r="A197" s="159"/>
      <c r="B197" s="59"/>
      <c r="C197" s="24">
        <f t="shared" si="28"/>
        <v>1</v>
      </c>
      <c r="D197" s="718"/>
      <c r="E197" s="24">
        <f t="shared" si="29"/>
        <v>0.02</v>
      </c>
      <c r="F197" s="718"/>
      <c r="G197" s="24">
        <f t="shared" si="30"/>
        <v>0.1</v>
      </c>
      <c r="H197" s="718"/>
      <c r="I197" s="24">
        <f t="shared" si="31"/>
        <v>0.05</v>
      </c>
      <c r="J197" s="718"/>
      <c r="K197" s="24">
        <f t="shared" si="32"/>
        <v>0.2</v>
      </c>
      <c r="L197" s="718"/>
      <c r="M197" s="24">
        <f t="shared" si="33"/>
        <v>1</v>
      </c>
      <c r="N197" s="718"/>
      <c r="O197" s="24">
        <f t="shared" si="34"/>
        <v>1</v>
      </c>
      <c r="P197" s="718"/>
      <c r="Q197" s="24">
        <f t="shared" si="35"/>
        <v>1</v>
      </c>
      <c r="R197" s="714">
        <f t="shared" si="36"/>
        <v>0</v>
      </c>
      <c r="S197" s="361">
        <f t="shared" si="27"/>
        <v>0</v>
      </c>
    </row>
    <row r="198" spans="1:19">
      <c r="A198" s="159"/>
      <c r="B198" s="59"/>
      <c r="C198" s="24">
        <f t="shared" si="28"/>
        <v>1</v>
      </c>
      <c r="D198" s="718"/>
      <c r="E198" s="24">
        <f t="shared" si="29"/>
        <v>0.02</v>
      </c>
      <c r="F198" s="718"/>
      <c r="G198" s="24">
        <f t="shared" si="30"/>
        <v>0.1</v>
      </c>
      <c r="H198" s="718"/>
      <c r="I198" s="24">
        <f t="shared" si="31"/>
        <v>0.05</v>
      </c>
      <c r="J198" s="718"/>
      <c r="K198" s="24">
        <f t="shared" si="32"/>
        <v>0.2</v>
      </c>
      <c r="L198" s="718"/>
      <c r="M198" s="24">
        <f t="shared" si="33"/>
        <v>1</v>
      </c>
      <c r="N198" s="718"/>
      <c r="O198" s="24">
        <f t="shared" si="34"/>
        <v>1</v>
      </c>
      <c r="P198" s="718"/>
      <c r="Q198" s="24">
        <f t="shared" si="35"/>
        <v>1</v>
      </c>
      <c r="R198" s="714">
        <f t="shared" si="36"/>
        <v>0</v>
      </c>
      <c r="S198" s="361">
        <f t="shared" si="27"/>
        <v>0</v>
      </c>
    </row>
    <row r="199" spans="1:19">
      <c r="A199" s="159"/>
      <c r="B199" s="59"/>
      <c r="C199" s="24">
        <f t="shared" si="28"/>
        <v>1</v>
      </c>
      <c r="D199" s="718"/>
      <c r="E199" s="24">
        <f t="shared" si="29"/>
        <v>0.02</v>
      </c>
      <c r="F199" s="718"/>
      <c r="G199" s="24">
        <f t="shared" si="30"/>
        <v>0.1</v>
      </c>
      <c r="H199" s="718"/>
      <c r="I199" s="24">
        <f t="shared" si="31"/>
        <v>0.05</v>
      </c>
      <c r="J199" s="718"/>
      <c r="K199" s="24">
        <f t="shared" si="32"/>
        <v>0.2</v>
      </c>
      <c r="L199" s="718"/>
      <c r="M199" s="24">
        <f t="shared" si="33"/>
        <v>1</v>
      </c>
      <c r="N199" s="718"/>
      <c r="O199" s="24">
        <f t="shared" si="34"/>
        <v>1</v>
      </c>
      <c r="P199" s="718"/>
      <c r="Q199" s="24">
        <f t="shared" si="35"/>
        <v>1</v>
      </c>
      <c r="R199" s="714">
        <f t="shared" si="36"/>
        <v>0</v>
      </c>
      <c r="S199" s="361">
        <f t="shared" si="27"/>
        <v>0</v>
      </c>
    </row>
    <row r="200" spans="1:19">
      <c r="A200" s="159"/>
      <c r="B200" s="59"/>
      <c r="C200" s="24">
        <f t="shared" si="28"/>
        <v>1</v>
      </c>
      <c r="D200" s="718"/>
      <c r="E200" s="24">
        <f t="shared" si="29"/>
        <v>0.02</v>
      </c>
      <c r="F200" s="718"/>
      <c r="G200" s="24">
        <f t="shared" si="30"/>
        <v>0.1</v>
      </c>
      <c r="H200" s="718"/>
      <c r="I200" s="24">
        <f t="shared" si="31"/>
        <v>0.05</v>
      </c>
      <c r="J200" s="718"/>
      <c r="K200" s="24">
        <f t="shared" si="32"/>
        <v>0.2</v>
      </c>
      <c r="L200" s="718"/>
      <c r="M200" s="24">
        <f t="shared" si="33"/>
        <v>1</v>
      </c>
      <c r="N200" s="718"/>
      <c r="O200" s="24">
        <f t="shared" si="34"/>
        <v>1</v>
      </c>
      <c r="P200" s="718"/>
      <c r="Q200" s="24">
        <f t="shared" si="35"/>
        <v>1</v>
      </c>
      <c r="R200" s="714">
        <f t="shared" si="36"/>
        <v>0</v>
      </c>
      <c r="S200" s="361">
        <f t="shared" si="27"/>
        <v>0</v>
      </c>
    </row>
    <row r="201" spans="1:19">
      <c r="A201" s="159"/>
      <c r="B201" s="59"/>
      <c r="C201" s="24">
        <f t="shared" si="28"/>
        <v>1</v>
      </c>
      <c r="D201" s="718"/>
      <c r="E201" s="24">
        <f t="shared" si="29"/>
        <v>0.02</v>
      </c>
      <c r="F201" s="718"/>
      <c r="G201" s="24">
        <f t="shared" si="30"/>
        <v>0.1</v>
      </c>
      <c r="H201" s="718"/>
      <c r="I201" s="24">
        <f t="shared" si="31"/>
        <v>0.05</v>
      </c>
      <c r="J201" s="718"/>
      <c r="K201" s="24">
        <f t="shared" si="32"/>
        <v>0.2</v>
      </c>
      <c r="L201" s="718"/>
      <c r="M201" s="24">
        <f t="shared" si="33"/>
        <v>1</v>
      </c>
      <c r="N201" s="718"/>
      <c r="O201" s="24">
        <f t="shared" si="34"/>
        <v>1</v>
      </c>
      <c r="P201" s="718"/>
      <c r="Q201" s="24">
        <f t="shared" si="35"/>
        <v>1</v>
      </c>
      <c r="R201" s="714">
        <f t="shared" si="36"/>
        <v>0</v>
      </c>
      <c r="S201" s="361">
        <f t="shared" si="27"/>
        <v>0</v>
      </c>
    </row>
    <row r="202" spans="1:19">
      <c r="A202" s="159"/>
      <c r="B202" s="59"/>
      <c r="C202" s="24">
        <f t="shared" si="28"/>
        <v>1</v>
      </c>
      <c r="D202" s="718"/>
      <c r="E202" s="24">
        <f t="shared" si="29"/>
        <v>0.02</v>
      </c>
      <c r="F202" s="718"/>
      <c r="G202" s="24">
        <f t="shared" si="30"/>
        <v>0.1</v>
      </c>
      <c r="H202" s="718"/>
      <c r="I202" s="24">
        <f t="shared" si="31"/>
        <v>0.05</v>
      </c>
      <c r="J202" s="718"/>
      <c r="K202" s="24">
        <f t="shared" si="32"/>
        <v>0.2</v>
      </c>
      <c r="L202" s="718"/>
      <c r="M202" s="24">
        <f t="shared" si="33"/>
        <v>1</v>
      </c>
      <c r="N202" s="718"/>
      <c r="O202" s="24">
        <f t="shared" si="34"/>
        <v>1</v>
      </c>
      <c r="P202" s="718"/>
      <c r="Q202" s="24">
        <f t="shared" si="35"/>
        <v>1</v>
      </c>
      <c r="R202" s="714">
        <f t="shared" si="36"/>
        <v>0</v>
      </c>
      <c r="S202" s="361">
        <f t="shared" si="27"/>
        <v>0</v>
      </c>
    </row>
    <row r="203" spans="1:19">
      <c r="A203" s="159"/>
      <c r="B203" s="59"/>
      <c r="C203" s="24">
        <f t="shared" si="28"/>
        <v>1</v>
      </c>
      <c r="D203" s="718"/>
      <c r="E203" s="24">
        <f t="shared" si="29"/>
        <v>0.02</v>
      </c>
      <c r="F203" s="718"/>
      <c r="G203" s="24">
        <f t="shared" si="30"/>
        <v>0.1</v>
      </c>
      <c r="H203" s="718"/>
      <c r="I203" s="24">
        <f t="shared" si="31"/>
        <v>0.05</v>
      </c>
      <c r="J203" s="718"/>
      <c r="K203" s="24">
        <f t="shared" si="32"/>
        <v>0.2</v>
      </c>
      <c r="L203" s="718"/>
      <c r="M203" s="24">
        <f t="shared" si="33"/>
        <v>1</v>
      </c>
      <c r="N203" s="718"/>
      <c r="O203" s="24">
        <f t="shared" si="34"/>
        <v>1</v>
      </c>
      <c r="P203" s="718"/>
      <c r="Q203" s="24">
        <f t="shared" si="35"/>
        <v>1</v>
      </c>
      <c r="R203" s="714">
        <f t="shared" si="36"/>
        <v>0</v>
      </c>
      <c r="S203" s="361">
        <f t="shared" si="27"/>
        <v>0</v>
      </c>
    </row>
    <row r="204" spans="1:19">
      <c r="A204" s="159"/>
      <c r="B204" s="59"/>
      <c r="C204" s="24">
        <f t="shared" si="28"/>
        <v>1</v>
      </c>
      <c r="D204" s="718"/>
      <c r="E204" s="24">
        <f t="shared" si="29"/>
        <v>0.02</v>
      </c>
      <c r="F204" s="718"/>
      <c r="G204" s="24">
        <f t="shared" si="30"/>
        <v>0.1</v>
      </c>
      <c r="H204" s="718"/>
      <c r="I204" s="24">
        <f t="shared" si="31"/>
        <v>0.05</v>
      </c>
      <c r="J204" s="718"/>
      <c r="K204" s="24">
        <f t="shared" si="32"/>
        <v>0.2</v>
      </c>
      <c r="L204" s="718"/>
      <c r="M204" s="24">
        <f t="shared" si="33"/>
        <v>1</v>
      </c>
      <c r="N204" s="718"/>
      <c r="O204" s="24">
        <f t="shared" si="34"/>
        <v>1</v>
      </c>
      <c r="P204" s="718"/>
      <c r="Q204" s="24">
        <f t="shared" si="35"/>
        <v>1</v>
      </c>
      <c r="R204" s="714">
        <f t="shared" si="36"/>
        <v>0</v>
      </c>
      <c r="S204" s="361">
        <f t="shared" si="27"/>
        <v>0</v>
      </c>
    </row>
    <row r="205" spans="1:19">
      <c r="A205" s="159"/>
      <c r="B205" s="59"/>
      <c r="C205" s="24">
        <f t="shared" si="28"/>
        <v>1</v>
      </c>
      <c r="D205" s="718"/>
      <c r="E205" s="24">
        <f t="shared" si="29"/>
        <v>0.02</v>
      </c>
      <c r="F205" s="718"/>
      <c r="G205" s="24">
        <f t="shared" si="30"/>
        <v>0.1</v>
      </c>
      <c r="H205" s="718"/>
      <c r="I205" s="24">
        <f t="shared" si="31"/>
        <v>0.05</v>
      </c>
      <c r="J205" s="718"/>
      <c r="K205" s="24">
        <f t="shared" si="32"/>
        <v>0.2</v>
      </c>
      <c r="L205" s="718"/>
      <c r="M205" s="24">
        <f t="shared" si="33"/>
        <v>1</v>
      </c>
      <c r="N205" s="718"/>
      <c r="O205" s="24">
        <f t="shared" si="34"/>
        <v>1</v>
      </c>
      <c r="P205" s="718"/>
      <c r="Q205" s="24">
        <f t="shared" si="35"/>
        <v>1</v>
      </c>
      <c r="R205" s="714">
        <f t="shared" si="36"/>
        <v>0</v>
      </c>
      <c r="S205" s="361">
        <f t="shared" si="27"/>
        <v>0</v>
      </c>
    </row>
    <row r="206" spans="1:19">
      <c r="A206" s="159"/>
      <c r="B206" s="59"/>
      <c r="C206" s="24">
        <f t="shared" si="28"/>
        <v>1</v>
      </c>
      <c r="D206" s="718"/>
      <c r="E206" s="24">
        <f t="shared" si="29"/>
        <v>0.02</v>
      </c>
      <c r="F206" s="718"/>
      <c r="G206" s="24">
        <f t="shared" si="30"/>
        <v>0.1</v>
      </c>
      <c r="H206" s="718"/>
      <c r="I206" s="24">
        <f t="shared" si="31"/>
        <v>0.05</v>
      </c>
      <c r="J206" s="718"/>
      <c r="K206" s="24">
        <f t="shared" si="32"/>
        <v>0.2</v>
      </c>
      <c r="L206" s="718"/>
      <c r="M206" s="24">
        <f t="shared" si="33"/>
        <v>1</v>
      </c>
      <c r="N206" s="718"/>
      <c r="O206" s="24">
        <f t="shared" si="34"/>
        <v>1</v>
      </c>
      <c r="P206" s="718"/>
      <c r="Q206" s="24">
        <f t="shared" si="35"/>
        <v>1</v>
      </c>
      <c r="R206" s="714">
        <f t="shared" si="36"/>
        <v>0</v>
      </c>
      <c r="S206" s="361">
        <f t="shared" si="27"/>
        <v>0</v>
      </c>
    </row>
    <row r="207" spans="1:19">
      <c r="A207" s="159"/>
      <c r="B207" s="59"/>
      <c r="C207" s="24">
        <f t="shared" si="28"/>
        <v>1</v>
      </c>
      <c r="D207" s="718"/>
      <c r="E207" s="24">
        <f t="shared" si="29"/>
        <v>0.02</v>
      </c>
      <c r="F207" s="718"/>
      <c r="G207" s="24">
        <f t="shared" si="30"/>
        <v>0.1</v>
      </c>
      <c r="H207" s="718"/>
      <c r="I207" s="24">
        <f t="shared" si="31"/>
        <v>0.05</v>
      </c>
      <c r="J207" s="718"/>
      <c r="K207" s="24">
        <f t="shared" si="32"/>
        <v>0.2</v>
      </c>
      <c r="L207" s="718"/>
      <c r="M207" s="24">
        <f t="shared" si="33"/>
        <v>1</v>
      </c>
      <c r="N207" s="718"/>
      <c r="O207" s="24">
        <f t="shared" si="34"/>
        <v>1</v>
      </c>
      <c r="P207" s="718"/>
      <c r="Q207" s="24">
        <f t="shared" si="35"/>
        <v>1</v>
      </c>
      <c r="R207" s="714">
        <f t="shared" si="36"/>
        <v>0</v>
      </c>
      <c r="S207" s="361">
        <f t="shared" si="27"/>
        <v>0</v>
      </c>
    </row>
    <row r="208" spans="1:19">
      <c r="A208" s="159"/>
      <c r="B208" s="59"/>
      <c r="C208" s="24">
        <f t="shared" si="28"/>
        <v>1</v>
      </c>
      <c r="D208" s="718"/>
      <c r="E208" s="24">
        <f t="shared" si="29"/>
        <v>0.02</v>
      </c>
      <c r="F208" s="718"/>
      <c r="G208" s="24">
        <f t="shared" si="30"/>
        <v>0.1</v>
      </c>
      <c r="H208" s="718"/>
      <c r="I208" s="24">
        <f t="shared" si="31"/>
        <v>0.05</v>
      </c>
      <c r="J208" s="718"/>
      <c r="K208" s="24">
        <f t="shared" si="32"/>
        <v>0.2</v>
      </c>
      <c r="L208" s="718"/>
      <c r="M208" s="24">
        <f t="shared" si="33"/>
        <v>1</v>
      </c>
      <c r="N208" s="718"/>
      <c r="O208" s="24">
        <f t="shared" si="34"/>
        <v>1</v>
      </c>
      <c r="P208" s="718"/>
      <c r="Q208" s="24">
        <f t="shared" si="35"/>
        <v>1</v>
      </c>
      <c r="R208" s="714">
        <f t="shared" si="36"/>
        <v>0</v>
      </c>
      <c r="S208" s="361">
        <f t="shared" si="27"/>
        <v>0</v>
      </c>
    </row>
    <row r="209" spans="1:19">
      <c r="A209" s="159"/>
      <c r="B209" s="59"/>
      <c r="C209" s="24">
        <f t="shared" si="28"/>
        <v>1</v>
      </c>
      <c r="D209" s="718"/>
      <c r="E209" s="24">
        <f t="shared" si="29"/>
        <v>0.02</v>
      </c>
      <c r="F209" s="718"/>
      <c r="G209" s="24">
        <f t="shared" si="30"/>
        <v>0.1</v>
      </c>
      <c r="H209" s="718"/>
      <c r="I209" s="24">
        <f t="shared" si="31"/>
        <v>0.05</v>
      </c>
      <c r="J209" s="718"/>
      <c r="K209" s="24">
        <f t="shared" si="32"/>
        <v>0.2</v>
      </c>
      <c r="L209" s="718"/>
      <c r="M209" s="24">
        <f t="shared" si="33"/>
        <v>1</v>
      </c>
      <c r="N209" s="718"/>
      <c r="O209" s="24">
        <f t="shared" si="34"/>
        <v>1</v>
      </c>
      <c r="P209" s="718"/>
      <c r="Q209" s="24">
        <f t="shared" si="35"/>
        <v>1</v>
      </c>
      <c r="R209" s="714">
        <f t="shared" si="36"/>
        <v>0</v>
      </c>
      <c r="S209" s="361">
        <f t="shared" si="27"/>
        <v>0</v>
      </c>
    </row>
    <row r="210" spans="1:19">
      <c r="A210" s="159"/>
      <c r="B210" s="59"/>
      <c r="C210" s="24">
        <f t="shared" si="28"/>
        <v>1</v>
      </c>
      <c r="D210" s="718"/>
      <c r="E210" s="24">
        <f t="shared" si="29"/>
        <v>0.02</v>
      </c>
      <c r="F210" s="718"/>
      <c r="G210" s="24">
        <f t="shared" si="30"/>
        <v>0.1</v>
      </c>
      <c r="H210" s="718"/>
      <c r="I210" s="24">
        <f t="shared" si="31"/>
        <v>0.05</v>
      </c>
      <c r="J210" s="718"/>
      <c r="K210" s="24">
        <f t="shared" si="32"/>
        <v>0.2</v>
      </c>
      <c r="L210" s="718"/>
      <c r="M210" s="24">
        <f t="shared" si="33"/>
        <v>1</v>
      </c>
      <c r="N210" s="718"/>
      <c r="O210" s="24">
        <f t="shared" si="34"/>
        <v>1</v>
      </c>
      <c r="P210" s="718"/>
      <c r="Q210" s="24">
        <f t="shared" si="35"/>
        <v>1</v>
      </c>
      <c r="R210" s="714">
        <f t="shared" si="36"/>
        <v>0</v>
      </c>
      <c r="S210" s="361">
        <f t="shared" si="27"/>
        <v>0</v>
      </c>
    </row>
    <row r="211" spans="1:19">
      <c r="A211" s="159"/>
      <c r="B211" s="59"/>
      <c r="C211" s="24">
        <f t="shared" si="28"/>
        <v>1</v>
      </c>
      <c r="D211" s="718"/>
      <c r="E211" s="24">
        <f t="shared" si="29"/>
        <v>0.02</v>
      </c>
      <c r="F211" s="718"/>
      <c r="G211" s="24">
        <f t="shared" si="30"/>
        <v>0.1</v>
      </c>
      <c r="H211" s="718"/>
      <c r="I211" s="24">
        <f t="shared" si="31"/>
        <v>0.05</v>
      </c>
      <c r="J211" s="718"/>
      <c r="K211" s="24">
        <f t="shared" si="32"/>
        <v>0.2</v>
      </c>
      <c r="L211" s="718"/>
      <c r="M211" s="24">
        <f t="shared" si="33"/>
        <v>1</v>
      </c>
      <c r="N211" s="718"/>
      <c r="O211" s="24">
        <f t="shared" si="34"/>
        <v>1</v>
      </c>
      <c r="P211" s="718"/>
      <c r="Q211" s="24">
        <f t="shared" si="35"/>
        <v>1</v>
      </c>
      <c r="R211" s="714">
        <f t="shared" si="36"/>
        <v>0</v>
      </c>
      <c r="S211" s="361">
        <f t="shared" si="27"/>
        <v>0</v>
      </c>
    </row>
    <row r="212" spans="1:19">
      <c r="A212" s="159"/>
      <c r="B212" s="59"/>
      <c r="C212" s="24">
        <f t="shared" si="28"/>
        <v>1</v>
      </c>
      <c r="D212" s="718"/>
      <c r="E212" s="24">
        <f t="shared" si="29"/>
        <v>0.02</v>
      </c>
      <c r="F212" s="718"/>
      <c r="G212" s="24">
        <f t="shared" si="30"/>
        <v>0.1</v>
      </c>
      <c r="H212" s="718"/>
      <c r="I212" s="24">
        <f t="shared" si="31"/>
        <v>0.05</v>
      </c>
      <c r="J212" s="718"/>
      <c r="K212" s="24">
        <f t="shared" si="32"/>
        <v>0.2</v>
      </c>
      <c r="L212" s="718"/>
      <c r="M212" s="24">
        <f t="shared" si="33"/>
        <v>1</v>
      </c>
      <c r="N212" s="718"/>
      <c r="O212" s="24">
        <f t="shared" si="34"/>
        <v>1</v>
      </c>
      <c r="P212" s="718"/>
      <c r="Q212" s="24">
        <f t="shared" si="35"/>
        <v>1</v>
      </c>
      <c r="R212" s="714">
        <f t="shared" si="36"/>
        <v>0</v>
      </c>
      <c r="S212" s="361">
        <f t="shared" si="27"/>
        <v>0</v>
      </c>
    </row>
    <row r="213" spans="1:19">
      <c r="A213" s="159"/>
      <c r="B213" s="59"/>
      <c r="C213" s="24">
        <f t="shared" si="28"/>
        <v>1</v>
      </c>
      <c r="D213" s="718"/>
      <c r="E213" s="24">
        <f t="shared" si="29"/>
        <v>0.02</v>
      </c>
      <c r="F213" s="718"/>
      <c r="G213" s="24">
        <f t="shared" si="30"/>
        <v>0.1</v>
      </c>
      <c r="H213" s="718"/>
      <c r="I213" s="24">
        <f t="shared" si="31"/>
        <v>0.05</v>
      </c>
      <c r="J213" s="718"/>
      <c r="K213" s="24">
        <f t="shared" si="32"/>
        <v>0.2</v>
      </c>
      <c r="L213" s="718"/>
      <c r="M213" s="24">
        <f t="shared" si="33"/>
        <v>1</v>
      </c>
      <c r="N213" s="718"/>
      <c r="O213" s="24">
        <f t="shared" si="34"/>
        <v>1</v>
      </c>
      <c r="P213" s="718"/>
      <c r="Q213" s="24">
        <f t="shared" si="35"/>
        <v>1</v>
      </c>
      <c r="R213" s="714">
        <f t="shared" si="36"/>
        <v>0</v>
      </c>
      <c r="S213" s="361">
        <f t="shared" si="27"/>
        <v>0</v>
      </c>
    </row>
    <row r="214" spans="1:19">
      <c r="A214" s="159"/>
      <c r="B214" s="59"/>
      <c r="C214" s="24">
        <f t="shared" si="28"/>
        <v>1</v>
      </c>
      <c r="D214" s="718"/>
      <c r="E214" s="24">
        <f t="shared" si="29"/>
        <v>0.02</v>
      </c>
      <c r="F214" s="718"/>
      <c r="G214" s="24">
        <f t="shared" si="30"/>
        <v>0.1</v>
      </c>
      <c r="H214" s="718"/>
      <c r="I214" s="24">
        <f t="shared" si="31"/>
        <v>0.05</v>
      </c>
      <c r="J214" s="718"/>
      <c r="K214" s="24">
        <f t="shared" si="32"/>
        <v>0.2</v>
      </c>
      <c r="L214" s="718"/>
      <c r="M214" s="24">
        <f t="shared" si="33"/>
        <v>1</v>
      </c>
      <c r="N214" s="718"/>
      <c r="O214" s="24">
        <f t="shared" si="34"/>
        <v>1</v>
      </c>
      <c r="P214" s="718"/>
      <c r="Q214" s="24">
        <f t="shared" si="35"/>
        <v>1</v>
      </c>
      <c r="R214" s="714">
        <f t="shared" si="36"/>
        <v>0</v>
      </c>
      <c r="S214" s="361">
        <f t="shared" si="27"/>
        <v>0</v>
      </c>
    </row>
    <row r="215" spans="1:19">
      <c r="A215" s="159"/>
      <c r="B215" s="59"/>
      <c r="C215" s="24">
        <f t="shared" si="28"/>
        <v>1</v>
      </c>
      <c r="D215" s="718"/>
      <c r="E215" s="24">
        <f t="shared" si="29"/>
        <v>0.02</v>
      </c>
      <c r="F215" s="718"/>
      <c r="G215" s="24">
        <f t="shared" si="30"/>
        <v>0.1</v>
      </c>
      <c r="H215" s="718"/>
      <c r="I215" s="24">
        <f t="shared" si="31"/>
        <v>0.05</v>
      </c>
      <c r="J215" s="718"/>
      <c r="K215" s="24">
        <f t="shared" si="32"/>
        <v>0.2</v>
      </c>
      <c r="L215" s="718"/>
      <c r="M215" s="24">
        <f t="shared" si="33"/>
        <v>1</v>
      </c>
      <c r="N215" s="718"/>
      <c r="O215" s="24">
        <f t="shared" si="34"/>
        <v>1</v>
      </c>
      <c r="P215" s="718"/>
      <c r="Q215" s="24">
        <f t="shared" si="35"/>
        <v>1</v>
      </c>
      <c r="R215" s="714">
        <f t="shared" si="36"/>
        <v>0</v>
      </c>
      <c r="S215" s="361">
        <f t="shared" si="27"/>
        <v>0</v>
      </c>
    </row>
    <row r="216" spans="1:19">
      <c r="A216" s="159"/>
      <c r="B216" s="59"/>
      <c r="C216" s="24">
        <f t="shared" si="28"/>
        <v>1</v>
      </c>
      <c r="D216" s="718"/>
      <c r="E216" s="24">
        <f t="shared" si="29"/>
        <v>0.02</v>
      </c>
      <c r="F216" s="718"/>
      <c r="G216" s="24">
        <f t="shared" si="30"/>
        <v>0.1</v>
      </c>
      <c r="H216" s="718"/>
      <c r="I216" s="24">
        <f t="shared" si="31"/>
        <v>0.05</v>
      </c>
      <c r="J216" s="718"/>
      <c r="K216" s="24">
        <f t="shared" si="32"/>
        <v>0.2</v>
      </c>
      <c r="L216" s="718"/>
      <c r="M216" s="24">
        <f t="shared" si="33"/>
        <v>1</v>
      </c>
      <c r="N216" s="718"/>
      <c r="O216" s="24">
        <f t="shared" si="34"/>
        <v>1</v>
      </c>
      <c r="P216" s="718"/>
      <c r="Q216" s="24">
        <f t="shared" si="35"/>
        <v>1</v>
      </c>
      <c r="R216" s="714">
        <f t="shared" si="36"/>
        <v>0</v>
      </c>
      <c r="S216" s="361">
        <f t="shared" ref="S216:S279" si="37">ROUND(R216*B216/10000,0)</f>
        <v>0</v>
      </c>
    </row>
    <row r="217" spans="1:19">
      <c r="A217" s="159"/>
      <c r="B217" s="59"/>
      <c r="C217" s="24">
        <f t="shared" si="28"/>
        <v>1</v>
      </c>
      <c r="D217" s="718"/>
      <c r="E217" s="24">
        <f t="shared" si="29"/>
        <v>0.02</v>
      </c>
      <c r="F217" s="718"/>
      <c r="G217" s="24">
        <f t="shared" si="30"/>
        <v>0.1</v>
      </c>
      <c r="H217" s="718"/>
      <c r="I217" s="24">
        <f t="shared" si="31"/>
        <v>0.05</v>
      </c>
      <c r="J217" s="718"/>
      <c r="K217" s="24">
        <f t="shared" si="32"/>
        <v>0.2</v>
      </c>
      <c r="L217" s="718"/>
      <c r="M217" s="24">
        <f t="shared" si="33"/>
        <v>1</v>
      </c>
      <c r="N217" s="718"/>
      <c r="O217" s="24">
        <f t="shared" si="34"/>
        <v>1</v>
      </c>
      <c r="P217" s="718"/>
      <c r="Q217" s="24">
        <f t="shared" si="35"/>
        <v>1</v>
      </c>
      <c r="R217" s="714">
        <f t="shared" si="36"/>
        <v>0</v>
      </c>
      <c r="S217" s="361">
        <f t="shared" si="37"/>
        <v>0</v>
      </c>
    </row>
    <row r="218" spans="1:19">
      <c r="A218" s="159"/>
      <c r="B218" s="59"/>
      <c r="C218" s="24">
        <f t="shared" ref="C218:C281" si="38">IF(B218="",1,(LOOKUP(B218,$3:$3,$4:$4)-LOOKUP($B$24,$3:$3,$4:$4)+100)/100)</f>
        <v>1</v>
      </c>
      <c r="D218" s="718"/>
      <c r="E218" s="24">
        <f t="shared" ref="E218:E281" si="39">(SUMIF($5:$5,D218,$6:$6)-SUMIF($5:$5,$D$24,$6:$6)+100)/100</f>
        <v>0.02</v>
      </c>
      <c r="F218" s="718"/>
      <c r="G218" s="24">
        <f t="shared" ref="G218:G281" si="40">(SUMIF($7:$7,F218,$8:$8)-SUMIF($7:$7,$F$24,$8:$8)+100)/100</f>
        <v>0.1</v>
      </c>
      <c r="H218" s="718"/>
      <c r="I218" s="24">
        <f t="shared" ref="I218:I281" si="41">(SUMIF($9:$9,H218,$10:$10)-SUMIF($9:$9,$H$24,$10:$10)+100)/100</f>
        <v>0.05</v>
      </c>
      <c r="J218" s="718"/>
      <c r="K218" s="24">
        <f t="shared" ref="K218:K281" si="42">(SUMIF($11:$11,J218,$12:$12)-SUMIF($11:$11,$J$24,$12:$12)+100)/100</f>
        <v>0.2</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61">
        <f t="shared" si="37"/>
        <v>0</v>
      </c>
    </row>
    <row r="219" spans="1:19">
      <c r="A219" s="159"/>
      <c r="B219" s="59"/>
      <c r="C219" s="24">
        <f t="shared" si="38"/>
        <v>1</v>
      </c>
      <c r="D219" s="718"/>
      <c r="E219" s="24">
        <f t="shared" si="39"/>
        <v>0.02</v>
      </c>
      <c r="F219" s="718"/>
      <c r="G219" s="24">
        <f t="shared" si="40"/>
        <v>0.1</v>
      </c>
      <c r="H219" s="718"/>
      <c r="I219" s="24">
        <f t="shared" si="41"/>
        <v>0.05</v>
      </c>
      <c r="J219" s="718"/>
      <c r="K219" s="24">
        <f t="shared" si="42"/>
        <v>0.2</v>
      </c>
      <c r="L219" s="718"/>
      <c r="M219" s="24">
        <f t="shared" si="43"/>
        <v>1</v>
      </c>
      <c r="N219" s="718"/>
      <c r="O219" s="24">
        <f t="shared" si="44"/>
        <v>1</v>
      </c>
      <c r="P219" s="718"/>
      <c r="Q219" s="24">
        <f t="shared" si="45"/>
        <v>1</v>
      </c>
      <c r="R219" s="714">
        <f t="shared" si="46"/>
        <v>0</v>
      </c>
      <c r="S219" s="361">
        <f t="shared" si="37"/>
        <v>0</v>
      </c>
    </row>
    <row r="220" spans="1:19">
      <c r="A220" s="159"/>
      <c r="B220" s="59"/>
      <c r="C220" s="24">
        <f t="shared" si="38"/>
        <v>1</v>
      </c>
      <c r="D220" s="718"/>
      <c r="E220" s="24">
        <f t="shared" si="39"/>
        <v>0.02</v>
      </c>
      <c r="F220" s="718"/>
      <c r="G220" s="24">
        <f t="shared" si="40"/>
        <v>0.1</v>
      </c>
      <c r="H220" s="718"/>
      <c r="I220" s="24">
        <f t="shared" si="41"/>
        <v>0.05</v>
      </c>
      <c r="J220" s="718"/>
      <c r="K220" s="24">
        <f t="shared" si="42"/>
        <v>0.2</v>
      </c>
      <c r="L220" s="718"/>
      <c r="M220" s="24">
        <f t="shared" si="43"/>
        <v>1</v>
      </c>
      <c r="N220" s="718"/>
      <c r="O220" s="24">
        <f t="shared" si="44"/>
        <v>1</v>
      </c>
      <c r="P220" s="718"/>
      <c r="Q220" s="24">
        <f t="shared" si="45"/>
        <v>1</v>
      </c>
      <c r="R220" s="714">
        <f t="shared" si="46"/>
        <v>0</v>
      </c>
      <c r="S220" s="361">
        <f t="shared" si="37"/>
        <v>0</v>
      </c>
    </row>
    <row r="221" spans="1:19">
      <c r="A221" s="159"/>
      <c r="B221" s="59"/>
      <c r="C221" s="24">
        <f t="shared" si="38"/>
        <v>1</v>
      </c>
      <c r="D221" s="718"/>
      <c r="E221" s="24">
        <f t="shared" si="39"/>
        <v>0.02</v>
      </c>
      <c r="F221" s="718"/>
      <c r="G221" s="24">
        <f t="shared" si="40"/>
        <v>0.1</v>
      </c>
      <c r="H221" s="718"/>
      <c r="I221" s="24">
        <f t="shared" si="41"/>
        <v>0.05</v>
      </c>
      <c r="J221" s="718"/>
      <c r="K221" s="24">
        <f t="shared" si="42"/>
        <v>0.2</v>
      </c>
      <c r="L221" s="718"/>
      <c r="M221" s="24">
        <f t="shared" si="43"/>
        <v>1</v>
      </c>
      <c r="N221" s="718"/>
      <c r="O221" s="24">
        <f t="shared" si="44"/>
        <v>1</v>
      </c>
      <c r="P221" s="718"/>
      <c r="Q221" s="24">
        <f t="shared" si="45"/>
        <v>1</v>
      </c>
      <c r="R221" s="714">
        <f t="shared" si="46"/>
        <v>0</v>
      </c>
      <c r="S221" s="361">
        <f t="shared" si="37"/>
        <v>0</v>
      </c>
    </row>
    <row r="222" spans="1:19">
      <c r="A222" s="159"/>
      <c r="B222" s="59"/>
      <c r="C222" s="24">
        <f t="shared" si="38"/>
        <v>1</v>
      </c>
      <c r="D222" s="718"/>
      <c r="E222" s="24">
        <f t="shared" si="39"/>
        <v>0.02</v>
      </c>
      <c r="F222" s="718"/>
      <c r="G222" s="24">
        <f t="shared" si="40"/>
        <v>0.1</v>
      </c>
      <c r="H222" s="718"/>
      <c r="I222" s="24">
        <f t="shared" si="41"/>
        <v>0.05</v>
      </c>
      <c r="J222" s="718"/>
      <c r="K222" s="24">
        <f t="shared" si="42"/>
        <v>0.2</v>
      </c>
      <c r="L222" s="718"/>
      <c r="M222" s="24">
        <f t="shared" si="43"/>
        <v>1</v>
      </c>
      <c r="N222" s="718"/>
      <c r="O222" s="24">
        <f t="shared" si="44"/>
        <v>1</v>
      </c>
      <c r="P222" s="718"/>
      <c r="Q222" s="24">
        <f t="shared" si="45"/>
        <v>1</v>
      </c>
      <c r="R222" s="714">
        <f t="shared" si="46"/>
        <v>0</v>
      </c>
      <c r="S222" s="361">
        <f t="shared" si="37"/>
        <v>0</v>
      </c>
    </row>
    <row r="223" spans="1:19">
      <c r="A223" s="159"/>
      <c r="B223" s="59"/>
      <c r="C223" s="24">
        <f t="shared" si="38"/>
        <v>1</v>
      </c>
      <c r="D223" s="718"/>
      <c r="E223" s="24">
        <f t="shared" si="39"/>
        <v>0.02</v>
      </c>
      <c r="F223" s="718"/>
      <c r="G223" s="24">
        <f t="shared" si="40"/>
        <v>0.1</v>
      </c>
      <c r="H223" s="718"/>
      <c r="I223" s="24">
        <f t="shared" si="41"/>
        <v>0.05</v>
      </c>
      <c r="J223" s="718"/>
      <c r="K223" s="24">
        <f t="shared" si="42"/>
        <v>0.2</v>
      </c>
      <c r="L223" s="718"/>
      <c r="M223" s="24">
        <f t="shared" si="43"/>
        <v>1</v>
      </c>
      <c r="N223" s="718"/>
      <c r="O223" s="24">
        <f t="shared" si="44"/>
        <v>1</v>
      </c>
      <c r="P223" s="718"/>
      <c r="Q223" s="24">
        <f t="shared" si="45"/>
        <v>1</v>
      </c>
      <c r="R223" s="714">
        <f t="shared" si="46"/>
        <v>0</v>
      </c>
      <c r="S223" s="361">
        <f t="shared" si="37"/>
        <v>0</v>
      </c>
    </row>
    <row r="224" spans="1:19">
      <c r="A224" s="159"/>
      <c r="B224" s="59"/>
      <c r="C224" s="24">
        <f t="shared" si="38"/>
        <v>1</v>
      </c>
      <c r="D224" s="718"/>
      <c r="E224" s="24">
        <f t="shared" si="39"/>
        <v>0.02</v>
      </c>
      <c r="F224" s="718"/>
      <c r="G224" s="24">
        <f t="shared" si="40"/>
        <v>0.1</v>
      </c>
      <c r="H224" s="718"/>
      <c r="I224" s="24">
        <f t="shared" si="41"/>
        <v>0.05</v>
      </c>
      <c r="J224" s="718"/>
      <c r="K224" s="24">
        <f t="shared" si="42"/>
        <v>0.2</v>
      </c>
      <c r="L224" s="718"/>
      <c r="M224" s="24">
        <f t="shared" si="43"/>
        <v>1</v>
      </c>
      <c r="N224" s="718"/>
      <c r="O224" s="24">
        <f t="shared" si="44"/>
        <v>1</v>
      </c>
      <c r="P224" s="718"/>
      <c r="Q224" s="24">
        <f t="shared" si="45"/>
        <v>1</v>
      </c>
      <c r="R224" s="714">
        <f t="shared" si="46"/>
        <v>0</v>
      </c>
      <c r="S224" s="361">
        <f t="shared" si="37"/>
        <v>0</v>
      </c>
    </row>
    <row r="225" spans="1:19">
      <c r="A225" s="159"/>
      <c r="B225" s="59"/>
      <c r="C225" s="24">
        <f t="shared" si="38"/>
        <v>1</v>
      </c>
      <c r="D225" s="718"/>
      <c r="E225" s="24">
        <f t="shared" si="39"/>
        <v>0.02</v>
      </c>
      <c r="F225" s="718"/>
      <c r="G225" s="24">
        <f t="shared" si="40"/>
        <v>0.1</v>
      </c>
      <c r="H225" s="718"/>
      <c r="I225" s="24">
        <f t="shared" si="41"/>
        <v>0.05</v>
      </c>
      <c r="J225" s="718"/>
      <c r="K225" s="24">
        <f t="shared" si="42"/>
        <v>0.2</v>
      </c>
      <c r="L225" s="718"/>
      <c r="M225" s="24">
        <f t="shared" si="43"/>
        <v>1</v>
      </c>
      <c r="N225" s="718"/>
      <c r="O225" s="24">
        <f t="shared" si="44"/>
        <v>1</v>
      </c>
      <c r="P225" s="718"/>
      <c r="Q225" s="24">
        <f t="shared" si="45"/>
        <v>1</v>
      </c>
      <c r="R225" s="714">
        <f t="shared" si="46"/>
        <v>0</v>
      </c>
      <c r="S225" s="361">
        <f t="shared" si="37"/>
        <v>0</v>
      </c>
    </row>
    <row r="226" spans="1:19">
      <c r="A226" s="159"/>
      <c r="B226" s="59"/>
      <c r="C226" s="24">
        <f t="shared" si="38"/>
        <v>1</v>
      </c>
      <c r="D226" s="718"/>
      <c r="E226" s="24">
        <f t="shared" si="39"/>
        <v>0.02</v>
      </c>
      <c r="F226" s="718"/>
      <c r="G226" s="24">
        <f t="shared" si="40"/>
        <v>0.1</v>
      </c>
      <c r="H226" s="718"/>
      <c r="I226" s="24">
        <f t="shared" si="41"/>
        <v>0.05</v>
      </c>
      <c r="J226" s="718"/>
      <c r="K226" s="24">
        <f t="shared" si="42"/>
        <v>0.2</v>
      </c>
      <c r="L226" s="718"/>
      <c r="M226" s="24">
        <f t="shared" si="43"/>
        <v>1</v>
      </c>
      <c r="N226" s="718"/>
      <c r="O226" s="24">
        <f t="shared" si="44"/>
        <v>1</v>
      </c>
      <c r="P226" s="718"/>
      <c r="Q226" s="24">
        <f t="shared" si="45"/>
        <v>1</v>
      </c>
      <c r="R226" s="714">
        <f t="shared" si="46"/>
        <v>0</v>
      </c>
      <c r="S226" s="361">
        <f t="shared" si="37"/>
        <v>0</v>
      </c>
    </row>
    <row r="227" spans="1:19">
      <c r="A227" s="159"/>
      <c r="B227" s="59"/>
      <c r="C227" s="24">
        <f t="shared" si="38"/>
        <v>1</v>
      </c>
      <c r="D227" s="718"/>
      <c r="E227" s="24">
        <f t="shared" si="39"/>
        <v>0.02</v>
      </c>
      <c r="F227" s="718"/>
      <c r="G227" s="24">
        <f t="shared" si="40"/>
        <v>0.1</v>
      </c>
      <c r="H227" s="718"/>
      <c r="I227" s="24">
        <f t="shared" si="41"/>
        <v>0.05</v>
      </c>
      <c r="J227" s="718"/>
      <c r="K227" s="24">
        <f t="shared" si="42"/>
        <v>0.2</v>
      </c>
      <c r="L227" s="718"/>
      <c r="M227" s="24">
        <f t="shared" si="43"/>
        <v>1</v>
      </c>
      <c r="N227" s="718"/>
      <c r="O227" s="24">
        <f t="shared" si="44"/>
        <v>1</v>
      </c>
      <c r="P227" s="718"/>
      <c r="Q227" s="24">
        <f t="shared" si="45"/>
        <v>1</v>
      </c>
      <c r="R227" s="714">
        <f t="shared" si="46"/>
        <v>0</v>
      </c>
      <c r="S227" s="361">
        <f t="shared" si="37"/>
        <v>0</v>
      </c>
    </row>
    <row r="228" spans="1:19">
      <c r="A228" s="159"/>
      <c r="B228" s="59"/>
      <c r="C228" s="24">
        <f t="shared" si="38"/>
        <v>1</v>
      </c>
      <c r="D228" s="718"/>
      <c r="E228" s="24">
        <f t="shared" si="39"/>
        <v>0.02</v>
      </c>
      <c r="F228" s="718"/>
      <c r="G228" s="24">
        <f t="shared" si="40"/>
        <v>0.1</v>
      </c>
      <c r="H228" s="718"/>
      <c r="I228" s="24">
        <f t="shared" si="41"/>
        <v>0.05</v>
      </c>
      <c r="J228" s="718"/>
      <c r="K228" s="24">
        <f t="shared" si="42"/>
        <v>0.2</v>
      </c>
      <c r="L228" s="718"/>
      <c r="M228" s="24">
        <f t="shared" si="43"/>
        <v>1</v>
      </c>
      <c r="N228" s="718"/>
      <c r="O228" s="24">
        <f t="shared" si="44"/>
        <v>1</v>
      </c>
      <c r="P228" s="718"/>
      <c r="Q228" s="24">
        <f t="shared" si="45"/>
        <v>1</v>
      </c>
      <c r="R228" s="714">
        <f t="shared" si="46"/>
        <v>0</v>
      </c>
      <c r="S228" s="361">
        <f t="shared" si="37"/>
        <v>0</v>
      </c>
    </row>
    <row r="229" spans="1:19">
      <c r="A229" s="159"/>
      <c r="B229" s="59"/>
      <c r="C229" s="24">
        <f t="shared" si="38"/>
        <v>1</v>
      </c>
      <c r="D229" s="718"/>
      <c r="E229" s="24">
        <f t="shared" si="39"/>
        <v>0.02</v>
      </c>
      <c r="F229" s="718"/>
      <c r="G229" s="24">
        <f t="shared" si="40"/>
        <v>0.1</v>
      </c>
      <c r="H229" s="718"/>
      <c r="I229" s="24">
        <f t="shared" si="41"/>
        <v>0.05</v>
      </c>
      <c r="J229" s="718"/>
      <c r="K229" s="24">
        <f t="shared" si="42"/>
        <v>0.2</v>
      </c>
      <c r="L229" s="718"/>
      <c r="M229" s="24">
        <f t="shared" si="43"/>
        <v>1</v>
      </c>
      <c r="N229" s="718"/>
      <c r="O229" s="24">
        <f t="shared" si="44"/>
        <v>1</v>
      </c>
      <c r="P229" s="718"/>
      <c r="Q229" s="24">
        <f t="shared" si="45"/>
        <v>1</v>
      </c>
      <c r="R229" s="714">
        <f t="shared" si="46"/>
        <v>0</v>
      </c>
      <c r="S229" s="361">
        <f t="shared" si="37"/>
        <v>0</v>
      </c>
    </row>
    <row r="230" spans="1:19">
      <c r="A230" s="159"/>
      <c r="B230" s="59"/>
      <c r="C230" s="24">
        <f t="shared" si="38"/>
        <v>1</v>
      </c>
      <c r="D230" s="718"/>
      <c r="E230" s="24">
        <f t="shared" si="39"/>
        <v>0.02</v>
      </c>
      <c r="F230" s="718"/>
      <c r="G230" s="24">
        <f t="shared" si="40"/>
        <v>0.1</v>
      </c>
      <c r="H230" s="718"/>
      <c r="I230" s="24">
        <f t="shared" si="41"/>
        <v>0.05</v>
      </c>
      <c r="J230" s="718"/>
      <c r="K230" s="24">
        <f t="shared" si="42"/>
        <v>0.2</v>
      </c>
      <c r="L230" s="718"/>
      <c r="M230" s="24">
        <f t="shared" si="43"/>
        <v>1</v>
      </c>
      <c r="N230" s="718"/>
      <c r="O230" s="24">
        <f t="shared" si="44"/>
        <v>1</v>
      </c>
      <c r="P230" s="718"/>
      <c r="Q230" s="24">
        <f t="shared" si="45"/>
        <v>1</v>
      </c>
      <c r="R230" s="714">
        <f t="shared" si="46"/>
        <v>0</v>
      </c>
      <c r="S230" s="361">
        <f t="shared" si="37"/>
        <v>0</v>
      </c>
    </row>
    <row r="231" spans="1:19">
      <c r="A231" s="159"/>
      <c r="B231" s="59"/>
      <c r="C231" s="24">
        <f t="shared" si="38"/>
        <v>1</v>
      </c>
      <c r="D231" s="718"/>
      <c r="E231" s="24">
        <f t="shared" si="39"/>
        <v>0.02</v>
      </c>
      <c r="F231" s="718"/>
      <c r="G231" s="24">
        <f t="shared" si="40"/>
        <v>0.1</v>
      </c>
      <c r="H231" s="718"/>
      <c r="I231" s="24">
        <f t="shared" si="41"/>
        <v>0.05</v>
      </c>
      <c r="J231" s="718"/>
      <c r="K231" s="24">
        <f t="shared" si="42"/>
        <v>0.2</v>
      </c>
      <c r="L231" s="718"/>
      <c r="M231" s="24">
        <f t="shared" si="43"/>
        <v>1</v>
      </c>
      <c r="N231" s="718"/>
      <c r="O231" s="24">
        <f t="shared" si="44"/>
        <v>1</v>
      </c>
      <c r="P231" s="718"/>
      <c r="Q231" s="24">
        <f t="shared" si="45"/>
        <v>1</v>
      </c>
      <c r="R231" s="714">
        <f t="shared" si="46"/>
        <v>0</v>
      </c>
      <c r="S231" s="361">
        <f t="shared" si="37"/>
        <v>0</v>
      </c>
    </row>
    <row r="232" spans="1:19">
      <c r="A232" s="159"/>
      <c r="B232" s="59"/>
      <c r="C232" s="24">
        <f t="shared" si="38"/>
        <v>1</v>
      </c>
      <c r="D232" s="718"/>
      <c r="E232" s="24">
        <f t="shared" si="39"/>
        <v>0.02</v>
      </c>
      <c r="F232" s="718"/>
      <c r="G232" s="24">
        <f t="shared" si="40"/>
        <v>0.1</v>
      </c>
      <c r="H232" s="718"/>
      <c r="I232" s="24">
        <f t="shared" si="41"/>
        <v>0.05</v>
      </c>
      <c r="J232" s="718"/>
      <c r="K232" s="24">
        <f t="shared" si="42"/>
        <v>0.2</v>
      </c>
      <c r="L232" s="718"/>
      <c r="M232" s="24">
        <f t="shared" si="43"/>
        <v>1</v>
      </c>
      <c r="N232" s="718"/>
      <c r="O232" s="24">
        <f t="shared" si="44"/>
        <v>1</v>
      </c>
      <c r="P232" s="718"/>
      <c r="Q232" s="24">
        <f t="shared" si="45"/>
        <v>1</v>
      </c>
      <c r="R232" s="714">
        <f t="shared" si="46"/>
        <v>0</v>
      </c>
      <c r="S232" s="361">
        <f t="shared" si="37"/>
        <v>0</v>
      </c>
    </row>
    <row r="233" spans="1:19">
      <c r="A233" s="159"/>
      <c r="B233" s="59"/>
      <c r="C233" s="24">
        <f t="shared" si="38"/>
        <v>1</v>
      </c>
      <c r="D233" s="718"/>
      <c r="E233" s="24">
        <f t="shared" si="39"/>
        <v>0.02</v>
      </c>
      <c r="F233" s="718"/>
      <c r="G233" s="24">
        <f t="shared" si="40"/>
        <v>0.1</v>
      </c>
      <c r="H233" s="718"/>
      <c r="I233" s="24">
        <f t="shared" si="41"/>
        <v>0.05</v>
      </c>
      <c r="J233" s="718"/>
      <c r="K233" s="24">
        <f t="shared" si="42"/>
        <v>0.2</v>
      </c>
      <c r="L233" s="718"/>
      <c r="M233" s="24">
        <f t="shared" si="43"/>
        <v>1</v>
      </c>
      <c r="N233" s="718"/>
      <c r="O233" s="24">
        <f t="shared" si="44"/>
        <v>1</v>
      </c>
      <c r="P233" s="718"/>
      <c r="Q233" s="24">
        <f t="shared" si="45"/>
        <v>1</v>
      </c>
      <c r="R233" s="714">
        <f t="shared" si="46"/>
        <v>0</v>
      </c>
      <c r="S233" s="361">
        <f t="shared" si="37"/>
        <v>0</v>
      </c>
    </row>
    <row r="234" spans="1:19">
      <c r="A234" s="159"/>
      <c r="B234" s="59"/>
      <c r="C234" s="24">
        <f t="shared" si="38"/>
        <v>1</v>
      </c>
      <c r="D234" s="718"/>
      <c r="E234" s="24">
        <f t="shared" si="39"/>
        <v>0.02</v>
      </c>
      <c r="F234" s="718"/>
      <c r="G234" s="24">
        <f t="shared" si="40"/>
        <v>0.1</v>
      </c>
      <c r="H234" s="718"/>
      <c r="I234" s="24">
        <f t="shared" si="41"/>
        <v>0.05</v>
      </c>
      <c r="J234" s="718"/>
      <c r="K234" s="24">
        <f t="shared" si="42"/>
        <v>0.2</v>
      </c>
      <c r="L234" s="718"/>
      <c r="M234" s="24">
        <f t="shared" si="43"/>
        <v>1</v>
      </c>
      <c r="N234" s="718"/>
      <c r="O234" s="24">
        <f t="shared" si="44"/>
        <v>1</v>
      </c>
      <c r="P234" s="718"/>
      <c r="Q234" s="24">
        <f t="shared" si="45"/>
        <v>1</v>
      </c>
      <c r="R234" s="714">
        <f t="shared" si="46"/>
        <v>0</v>
      </c>
      <c r="S234" s="361">
        <f t="shared" si="37"/>
        <v>0</v>
      </c>
    </row>
    <row r="235" spans="1:19">
      <c r="A235" s="159"/>
      <c r="B235" s="59"/>
      <c r="C235" s="24">
        <f t="shared" si="38"/>
        <v>1</v>
      </c>
      <c r="D235" s="718"/>
      <c r="E235" s="24">
        <f t="shared" si="39"/>
        <v>0.02</v>
      </c>
      <c r="F235" s="718"/>
      <c r="G235" s="24">
        <f t="shared" si="40"/>
        <v>0.1</v>
      </c>
      <c r="H235" s="718"/>
      <c r="I235" s="24">
        <f t="shared" si="41"/>
        <v>0.05</v>
      </c>
      <c r="J235" s="718"/>
      <c r="K235" s="24">
        <f t="shared" si="42"/>
        <v>0.2</v>
      </c>
      <c r="L235" s="718"/>
      <c r="M235" s="24">
        <f t="shared" si="43"/>
        <v>1</v>
      </c>
      <c r="N235" s="718"/>
      <c r="O235" s="24">
        <f t="shared" si="44"/>
        <v>1</v>
      </c>
      <c r="P235" s="718"/>
      <c r="Q235" s="24">
        <f t="shared" si="45"/>
        <v>1</v>
      </c>
      <c r="R235" s="714">
        <f t="shared" si="46"/>
        <v>0</v>
      </c>
      <c r="S235" s="361">
        <f t="shared" si="37"/>
        <v>0</v>
      </c>
    </row>
    <row r="236" spans="1:19">
      <c r="A236" s="159"/>
      <c r="B236" s="59"/>
      <c r="C236" s="24">
        <f t="shared" si="38"/>
        <v>1</v>
      </c>
      <c r="D236" s="718"/>
      <c r="E236" s="24">
        <f t="shared" si="39"/>
        <v>0.02</v>
      </c>
      <c r="F236" s="718"/>
      <c r="G236" s="24">
        <f t="shared" si="40"/>
        <v>0.1</v>
      </c>
      <c r="H236" s="718"/>
      <c r="I236" s="24">
        <f t="shared" si="41"/>
        <v>0.05</v>
      </c>
      <c r="J236" s="718"/>
      <c r="K236" s="24">
        <f t="shared" si="42"/>
        <v>0.2</v>
      </c>
      <c r="L236" s="718"/>
      <c r="M236" s="24">
        <f t="shared" si="43"/>
        <v>1</v>
      </c>
      <c r="N236" s="718"/>
      <c r="O236" s="24">
        <f t="shared" si="44"/>
        <v>1</v>
      </c>
      <c r="P236" s="718"/>
      <c r="Q236" s="24">
        <f t="shared" si="45"/>
        <v>1</v>
      </c>
      <c r="R236" s="714">
        <f t="shared" si="46"/>
        <v>0</v>
      </c>
      <c r="S236" s="361">
        <f t="shared" si="37"/>
        <v>0</v>
      </c>
    </row>
    <row r="237" spans="1:19">
      <c r="A237" s="159"/>
      <c r="B237" s="59"/>
      <c r="C237" s="24">
        <f t="shared" si="38"/>
        <v>1</v>
      </c>
      <c r="D237" s="718"/>
      <c r="E237" s="24">
        <f t="shared" si="39"/>
        <v>0.02</v>
      </c>
      <c r="F237" s="718"/>
      <c r="G237" s="24">
        <f t="shared" si="40"/>
        <v>0.1</v>
      </c>
      <c r="H237" s="718"/>
      <c r="I237" s="24">
        <f t="shared" si="41"/>
        <v>0.05</v>
      </c>
      <c r="J237" s="718"/>
      <c r="K237" s="24">
        <f t="shared" si="42"/>
        <v>0.2</v>
      </c>
      <c r="L237" s="718"/>
      <c r="M237" s="24">
        <f t="shared" si="43"/>
        <v>1</v>
      </c>
      <c r="N237" s="718"/>
      <c r="O237" s="24">
        <f t="shared" si="44"/>
        <v>1</v>
      </c>
      <c r="P237" s="718"/>
      <c r="Q237" s="24">
        <f t="shared" si="45"/>
        <v>1</v>
      </c>
      <c r="R237" s="714">
        <f t="shared" si="46"/>
        <v>0</v>
      </c>
      <c r="S237" s="361">
        <f t="shared" si="37"/>
        <v>0</v>
      </c>
    </row>
    <row r="238" spans="1:19">
      <c r="A238" s="159"/>
      <c r="B238" s="59"/>
      <c r="C238" s="24">
        <f t="shared" si="38"/>
        <v>1</v>
      </c>
      <c r="D238" s="718"/>
      <c r="E238" s="24">
        <f t="shared" si="39"/>
        <v>0.02</v>
      </c>
      <c r="F238" s="718"/>
      <c r="G238" s="24">
        <f t="shared" si="40"/>
        <v>0.1</v>
      </c>
      <c r="H238" s="718"/>
      <c r="I238" s="24">
        <f t="shared" si="41"/>
        <v>0.05</v>
      </c>
      <c r="J238" s="718"/>
      <c r="K238" s="24">
        <f t="shared" si="42"/>
        <v>0.2</v>
      </c>
      <c r="L238" s="718"/>
      <c r="M238" s="24">
        <f t="shared" si="43"/>
        <v>1</v>
      </c>
      <c r="N238" s="718"/>
      <c r="O238" s="24">
        <f t="shared" si="44"/>
        <v>1</v>
      </c>
      <c r="P238" s="718"/>
      <c r="Q238" s="24">
        <f t="shared" si="45"/>
        <v>1</v>
      </c>
      <c r="R238" s="714">
        <f t="shared" si="46"/>
        <v>0</v>
      </c>
      <c r="S238" s="361">
        <f t="shared" si="37"/>
        <v>0</v>
      </c>
    </row>
    <row r="239" spans="1:19">
      <c r="A239" s="159"/>
      <c r="B239" s="59"/>
      <c r="C239" s="24">
        <f t="shared" si="38"/>
        <v>1</v>
      </c>
      <c r="D239" s="718"/>
      <c r="E239" s="24">
        <f t="shared" si="39"/>
        <v>0.02</v>
      </c>
      <c r="F239" s="718"/>
      <c r="G239" s="24">
        <f t="shared" si="40"/>
        <v>0.1</v>
      </c>
      <c r="H239" s="718"/>
      <c r="I239" s="24">
        <f t="shared" si="41"/>
        <v>0.05</v>
      </c>
      <c r="J239" s="718"/>
      <c r="K239" s="24">
        <f t="shared" si="42"/>
        <v>0.2</v>
      </c>
      <c r="L239" s="718"/>
      <c r="M239" s="24">
        <f t="shared" si="43"/>
        <v>1</v>
      </c>
      <c r="N239" s="718"/>
      <c r="O239" s="24">
        <f t="shared" si="44"/>
        <v>1</v>
      </c>
      <c r="P239" s="718"/>
      <c r="Q239" s="24">
        <f t="shared" si="45"/>
        <v>1</v>
      </c>
      <c r="R239" s="714">
        <f t="shared" si="46"/>
        <v>0</v>
      </c>
      <c r="S239" s="361">
        <f t="shared" si="37"/>
        <v>0</v>
      </c>
    </row>
    <row r="240" spans="1:19">
      <c r="A240" s="159"/>
      <c r="B240" s="59"/>
      <c r="C240" s="24">
        <f t="shared" si="38"/>
        <v>1</v>
      </c>
      <c r="D240" s="718"/>
      <c r="E240" s="24">
        <f t="shared" si="39"/>
        <v>0.02</v>
      </c>
      <c r="F240" s="718"/>
      <c r="G240" s="24">
        <f t="shared" si="40"/>
        <v>0.1</v>
      </c>
      <c r="H240" s="718"/>
      <c r="I240" s="24">
        <f t="shared" si="41"/>
        <v>0.05</v>
      </c>
      <c r="J240" s="718"/>
      <c r="K240" s="24">
        <f t="shared" si="42"/>
        <v>0.2</v>
      </c>
      <c r="L240" s="718"/>
      <c r="M240" s="24">
        <f t="shared" si="43"/>
        <v>1</v>
      </c>
      <c r="N240" s="718"/>
      <c r="O240" s="24">
        <f t="shared" si="44"/>
        <v>1</v>
      </c>
      <c r="P240" s="718"/>
      <c r="Q240" s="24">
        <f t="shared" si="45"/>
        <v>1</v>
      </c>
      <c r="R240" s="714">
        <f t="shared" si="46"/>
        <v>0</v>
      </c>
      <c r="S240" s="361">
        <f t="shared" si="37"/>
        <v>0</v>
      </c>
    </row>
    <row r="241" spans="1:19">
      <c r="A241" s="159"/>
      <c r="B241" s="59"/>
      <c r="C241" s="24">
        <f t="shared" si="38"/>
        <v>1</v>
      </c>
      <c r="D241" s="718"/>
      <c r="E241" s="24">
        <f t="shared" si="39"/>
        <v>0.02</v>
      </c>
      <c r="F241" s="718"/>
      <c r="G241" s="24">
        <f t="shared" si="40"/>
        <v>0.1</v>
      </c>
      <c r="H241" s="718"/>
      <c r="I241" s="24">
        <f t="shared" si="41"/>
        <v>0.05</v>
      </c>
      <c r="J241" s="718"/>
      <c r="K241" s="24">
        <f t="shared" si="42"/>
        <v>0.2</v>
      </c>
      <c r="L241" s="718"/>
      <c r="M241" s="24">
        <f t="shared" si="43"/>
        <v>1</v>
      </c>
      <c r="N241" s="718"/>
      <c r="O241" s="24">
        <f t="shared" si="44"/>
        <v>1</v>
      </c>
      <c r="P241" s="718"/>
      <c r="Q241" s="24">
        <f t="shared" si="45"/>
        <v>1</v>
      </c>
      <c r="R241" s="714">
        <f t="shared" si="46"/>
        <v>0</v>
      </c>
      <c r="S241" s="361">
        <f t="shared" si="37"/>
        <v>0</v>
      </c>
    </row>
    <row r="242" spans="1:19">
      <c r="A242" s="159"/>
      <c r="B242" s="59"/>
      <c r="C242" s="24">
        <f t="shared" si="38"/>
        <v>1</v>
      </c>
      <c r="D242" s="718"/>
      <c r="E242" s="24">
        <f t="shared" si="39"/>
        <v>0.02</v>
      </c>
      <c r="F242" s="718"/>
      <c r="G242" s="24">
        <f t="shared" si="40"/>
        <v>0.1</v>
      </c>
      <c r="H242" s="718"/>
      <c r="I242" s="24">
        <f t="shared" si="41"/>
        <v>0.05</v>
      </c>
      <c r="J242" s="718"/>
      <c r="K242" s="24">
        <f t="shared" si="42"/>
        <v>0.2</v>
      </c>
      <c r="L242" s="718"/>
      <c r="M242" s="24">
        <f t="shared" si="43"/>
        <v>1</v>
      </c>
      <c r="N242" s="718"/>
      <c r="O242" s="24">
        <f t="shared" si="44"/>
        <v>1</v>
      </c>
      <c r="P242" s="718"/>
      <c r="Q242" s="24">
        <f t="shared" si="45"/>
        <v>1</v>
      </c>
      <c r="R242" s="714">
        <f t="shared" si="46"/>
        <v>0</v>
      </c>
      <c r="S242" s="361">
        <f t="shared" si="37"/>
        <v>0</v>
      </c>
    </row>
    <row r="243" spans="1:19">
      <c r="A243" s="159"/>
      <c r="B243" s="59"/>
      <c r="C243" s="24">
        <f t="shared" si="38"/>
        <v>1</v>
      </c>
      <c r="D243" s="718"/>
      <c r="E243" s="24">
        <f t="shared" si="39"/>
        <v>0.02</v>
      </c>
      <c r="F243" s="718"/>
      <c r="G243" s="24">
        <f t="shared" si="40"/>
        <v>0.1</v>
      </c>
      <c r="H243" s="718"/>
      <c r="I243" s="24">
        <f t="shared" si="41"/>
        <v>0.05</v>
      </c>
      <c r="J243" s="718"/>
      <c r="K243" s="24">
        <f t="shared" si="42"/>
        <v>0.2</v>
      </c>
      <c r="L243" s="718"/>
      <c r="M243" s="24">
        <f t="shared" si="43"/>
        <v>1</v>
      </c>
      <c r="N243" s="718"/>
      <c r="O243" s="24">
        <f t="shared" si="44"/>
        <v>1</v>
      </c>
      <c r="P243" s="718"/>
      <c r="Q243" s="24">
        <f t="shared" si="45"/>
        <v>1</v>
      </c>
      <c r="R243" s="714">
        <f t="shared" si="46"/>
        <v>0</v>
      </c>
      <c r="S243" s="361">
        <f t="shared" si="37"/>
        <v>0</v>
      </c>
    </row>
    <row r="244" spans="1:19">
      <c r="A244" s="159"/>
      <c r="B244" s="59"/>
      <c r="C244" s="24">
        <f t="shared" si="38"/>
        <v>1</v>
      </c>
      <c r="D244" s="718"/>
      <c r="E244" s="24">
        <f t="shared" si="39"/>
        <v>0.02</v>
      </c>
      <c r="F244" s="718"/>
      <c r="G244" s="24">
        <f t="shared" si="40"/>
        <v>0.1</v>
      </c>
      <c r="H244" s="718"/>
      <c r="I244" s="24">
        <f t="shared" si="41"/>
        <v>0.05</v>
      </c>
      <c r="J244" s="718"/>
      <c r="K244" s="24">
        <f t="shared" si="42"/>
        <v>0.2</v>
      </c>
      <c r="L244" s="718"/>
      <c r="M244" s="24">
        <f t="shared" si="43"/>
        <v>1</v>
      </c>
      <c r="N244" s="718"/>
      <c r="O244" s="24">
        <f t="shared" si="44"/>
        <v>1</v>
      </c>
      <c r="P244" s="718"/>
      <c r="Q244" s="24">
        <f t="shared" si="45"/>
        <v>1</v>
      </c>
      <c r="R244" s="714">
        <f t="shared" si="46"/>
        <v>0</v>
      </c>
      <c r="S244" s="361">
        <f t="shared" si="37"/>
        <v>0</v>
      </c>
    </row>
    <row r="245" spans="1:19">
      <c r="A245" s="159"/>
      <c r="B245" s="59"/>
      <c r="C245" s="24">
        <f t="shared" si="38"/>
        <v>1</v>
      </c>
      <c r="D245" s="718"/>
      <c r="E245" s="24">
        <f t="shared" si="39"/>
        <v>0.02</v>
      </c>
      <c r="F245" s="718"/>
      <c r="G245" s="24">
        <f t="shared" si="40"/>
        <v>0.1</v>
      </c>
      <c r="H245" s="718"/>
      <c r="I245" s="24">
        <f t="shared" si="41"/>
        <v>0.05</v>
      </c>
      <c r="J245" s="718"/>
      <c r="K245" s="24">
        <f t="shared" si="42"/>
        <v>0.2</v>
      </c>
      <c r="L245" s="718"/>
      <c r="M245" s="24">
        <f t="shared" si="43"/>
        <v>1</v>
      </c>
      <c r="N245" s="718"/>
      <c r="O245" s="24">
        <f t="shared" si="44"/>
        <v>1</v>
      </c>
      <c r="P245" s="718"/>
      <c r="Q245" s="24">
        <f t="shared" si="45"/>
        <v>1</v>
      </c>
      <c r="R245" s="714">
        <f t="shared" si="46"/>
        <v>0</v>
      </c>
      <c r="S245" s="361">
        <f t="shared" si="37"/>
        <v>0</v>
      </c>
    </row>
    <row r="246" spans="1:19">
      <c r="A246" s="159"/>
      <c r="B246" s="59"/>
      <c r="C246" s="24">
        <f t="shared" si="38"/>
        <v>1</v>
      </c>
      <c r="D246" s="718"/>
      <c r="E246" s="24">
        <f t="shared" si="39"/>
        <v>0.02</v>
      </c>
      <c r="F246" s="718"/>
      <c r="G246" s="24">
        <f t="shared" si="40"/>
        <v>0.1</v>
      </c>
      <c r="H246" s="718"/>
      <c r="I246" s="24">
        <f t="shared" si="41"/>
        <v>0.05</v>
      </c>
      <c r="J246" s="718"/>
      <c r="K246" s="24">
        <f t="shared" si="42"/>
        <v>0.2</v>
      </c>
      <c r="L246" s="718"/>
      <c r="M246" s="24">
        <f t="shared" si="43"/>
        <v>1</v>
      </c>
      <c r="N246" s="718"/>
      <c r="O246" s="24">
        <f t="shared" si="44"/>
        <v>1</v>
      </c>
      <c r="P246" s="718"/>
      <c r="Q246" s="24">
        <f t="shared" si="45"/>
        <v>1</v>
      </c>
      <c r="R246" s="714">
        <f t="shared" si="46"/>
        <v>0</v>
      </c>
      <c r="S246" s="361">
        <f t="shared" si="37"/>
        <v>0</v>
      </c>
    </row>
    <row r="247" spans="1:19">
      <c r="A247" s="159"/>
      <c r="B247" s="59"/>
      <c r="C247" s="24">
        <f t="shared" si="38"/>
        <v>1</v>
      </c>
      <c r="D247" s="718"/>
      <c r="E247" s="24">
        <f t="shared" si="39"/>
        <v>0.02</v>
      </c>
      <c r="F247" s="718"/>
      <c r="G247" s="24">
        <f t="shared" si="40"/>
        <v>0.1</v>
      </c>
      <c r="H247" s="718"/>
      <c r="I247" s="24">
        <f t="shared" si="41"/>
        <v>0.05</v>
      </c>
      <c r="J247" s="718"/>
      <c r="K247" s="24">
        <f t="shared" si="42"/>
        <v>0.2</v>
      </c>
      <c r="L247" s="718"/>
      <c r="M247" s="24">
        <f t="shared" si="43"/>
        <v>1</v>
      </c>
      <c r="N247" s="718"/>
      <c r="O247" s="24">
        <f t="shared" si="44"/>
        <v>1</v>
      </c>
      <c r="P247" s="718"/>
      <c r="Q247" s="24">
        <f t="shared" si="45"/>
        <v>1</v>
      </c>
      <c r="R247" s="714">
        <f t="shared" si="46"/>
        <v>0</v>
      </c>
      <c r="S247" s="361">
        <f t="shared" si="37"/>
        <v>0</v>
      </c>
    </row>
    <row r="248" spans="1:19">
      <c r="A248" s="159"/>
      <c r="B248" s="59"/>
      <c r="C248" s="24">
        <f t="shared" si="38"/>
        <v>1</v>
      </c>
      <c r="D248" s="718"/>
      <c r="E248" s="24">
        <f t="shared" si="39"/>
        <v>0.02</v>
      </c>
      <c r="F248" s="718"/>
      <c r="G248" s="24">
        <f t="shared" si="40"/>
        <v>0.1</v>
      </c>
      <c r="H248" s="718"/>
      <c r="I248" s="24">
        <f t="shared" si="41"/>
        <v>0.05</v>
      </c>
      <c r="J248" s="718"/>
      <c r="K248" s="24">
        <f t="shared" si="42"/>
        <v>0.2</v>
      </c>
      <c r="L248" s="718"/>
      <c r="M248" s="24">
        <f t="shared" si="43"/>
        <v>1</v>
      </c>
      <c r="N248" s="718"/>
      <c r="O248" s="24">
        <f t="shared" si="44"/>
        <v>1</v>
      </c>
      <c r="P248" s="718"/>
      <c r="Q248" s="24">
        <f t="shared" si="45"/>
        <v>1</v>
      </c>
      <c r="R248" s="714">
        <f t="shared" si="46"/>
        <v>0</v>
      </c>
      <c r="S248" s="361">
        <f t="shared" si="37"/>
        <v>0</v>
      </c>
    </row>
    <row r="249" spans="1:19">
      <c r="A249" s="159"/>
      <c r="B249" s="59"/>
      <c r="C249" s="24">
        <f t="shared" si="38"/>
        <v>1</v>
      </c>
      <c r="D249" s="718"/>
      <c r="E249" s="24">
        <f t="shared" si="39"/>
        <v>0.02</v>
      </c>
      <c r="F249" s="718"/>
      <c r="G249" s="24">
        <f t="shared" si="40"/>
        <v>0.1</v>
      </c>
      <c r="H249" s="718"/>
      <c r="I249" s="24">
        <f t="shared" si="41"/>
        <v>0.05</v>
      </c>
      <c r="J249" s="718"/>
      <c r="K249" s="24">
        <f t="shared" si="42"/>
        <v>0.2</v>
      </c>
      <c r="L249" s="718"/>
      <c r="M249" s="24">
        <f t="shared" si="43"/>
        <v>1</v>
      </c>
      <c r="N249" s="718"/>
      <c r="O249" s="24">
        <f t="shared" si="44"/>
        <v>1</v>
      </c>
      <c r="P249" s="718"/>
      <c r="Q249" s="24">
        <f t="shared" si="45"/>
        <v>1</v>
      </c>
      <c r="R249" s="714">
        <f t="shared" si="46"/>
        <v>0</v>
      </c>
      <c r="S249" s="361">
        <f t="shared" si="37"/>
        <v>0</v>
      </c>
    </row>
    <row r="250" spans="1:19">
      <c r="A250" s="159"/>
      <c r="B250" s="59"/>
      <c r="C250" s="24">
        <f t="shared" si="38"/>
        <v>1</v>
      </c>
      <c r="D250" s="718"/>
      <c r="E250" s="24">
        <f t="shared" si="39"/>
        <v>0.02</v>
      </c>
      <c r="F250" s="718"/>
      <c r="G250" s="24">
        <f t="shared" si="40"/>
        <v>0.1</v>
      </c>
      <c r="H250" s="718"/>
      <c r="I250" s="24">
        <f t="shared" si="41"/>
        <v>0.05</v>
      </c>
      <c r="J250" s="718"/>
      <c r="K250" s="24">
        <f t="shared" si="42"/>
        <v>0.2</v>
      </c>
      <c r="L250" s="718"/>
      <c r="M250" s="24">
        <f t="shared" si="43"/>
        <v>1</v>
      </c>
      <c r="N250" s="718"/>
      <c r="O250" s="24">
        <f t="shared" si="44"/>
        <v>1</v>
      </c>
      <c r="P250" s="718"/>
      <c r="Q250" s="24">
        <f t="shared" si="45"/>
        <v>1</v>
      </c>
      <c r="R250" s="714">
        <f t="shared" si="46"/>
        <v>0</v>
      </c>
      <c r="S250" s="361">
        <f t="shared" si="37"/>
        <v>0</v>
      </c>
    </row>
    <row r="251" spans="1:19">
      <c r="A251" s="159"/>
      <c r="B251" s="59"/>
      <c r="C251" s="24">
        <f t="shared" si="38"/>
        <v>1</v>
      </c>
      <c r="D251" s="718"/>
      <c r="E251" s="24">
        <f t="shared" si="39"/>
        <v>0.02</v>
      </c>
      <c r="F251" s="718"/>
      <c r="G251" s="24">
        <f t="shared" si="40"/>
        <v>0.1</v>
      </c>
      <c r="H251" s="718"/>
      <c r="I251" s="24">
        <f t="shared" si="41"/>
        <v>0.05</v>
      </c>
      <c r="J251" s="718"/>
      <c r="K251" s="24">
        <f t="shared" si="42"/>
        <v>0.2</v>
      </c>
      <c r="L251" s="718"/>
      <c r="M251" s="24">
        <f t="shared" si="43"/>
        <v>1</v>
      </c>
      <c r="N251" s="718"/>
      <c r="O251" s="24">
        <f t="shared" si="44"/>
        <v>1</v>
      </c>
      <c r="P251" s="718"/>
      <c r="Q251" s="24">
        <f t="shared" si="45"/>
        <v>1</v>
      </c>
      <c r="R251" s="714">
        <f t="shared" si="46"/>
        <v>0</v>
      </c>
      <c r="S251" s="361">
        <f t="shared" si="37"/>
        <v>0</v>
      </c>
    </row>
    <row r="252" spans="1:19">
      <c r="A252" s="159"/>
      <c r="B252" s="59"/>
      <c r="C252" s="24">
        <f t="shared" si="38"/>
        <v>1</v>
      </c>
      <c r="D252" s="718"/>
      <c r="E252" s="24">
        <f t="shared" si="39"/>
        <v>0.02</v>
      </c>
      <c r="F252" s="718"/>
      <c r="G252" s="24">
        <f t="shared" si="40"/>
        <v>0.1</v>
      </c>
      <c r="H252" s="718"/>
      <c r="I252" s="24">
        <f t="shared" si="41"/>
        <v>0.05</v>
      </c>
      <c r="J252" s="718"/>
      <c r="K252" s="24">
        <f t="shared" si="42"/>
        <v>0.2</v>
      </c>
      <c r="L252" s="718"/>
      <c r="M252" s="24">
        <f t="shared" si="43"/>
        <v>1</v>
      </c>
      <c r="N252" s="718"/>
      <c r="O252" s="24">
        <f t="shared" si="44"/>
        <v>1</v>
      </c>
      <c r="P252" s="718"/>
      <c r="Q252" s="24">
        <f t="shared" si="45"/>
        <v>1</v>
      </c>
      <c r="R252" s="714">
        <f t="shared" si="46"/>
        <v>0</v>
      </c>
      <c r="S252" s="361">
        <f t="shared" si="37"/>
        <v>0</v>
      </c>
    </row>
    <row r="253" spans="1:19">
      <c r="A253" s="159"/>
      <c r="B253" s="59"/>
      <c r="C253" s="24">
        <f t="shared" si="38"/>
        <v>1</v>
      </c>
      <c r="D253" s="718"/>
      <c r="E253" s="24">
        <f t="shared" si="39"/>
        <v>0.02</v>
      </c>
      <c r="F253" s="718"/>
      <c r="G253" s="24">
        <f t="shared" si="40"/>
        <v>0.1</v>
      </c>
      <c r="H253" s="718"/>
      <c r="I253" s="24">
        <f t="shared" si="41"/>
        <v>0.05</v>
      </c>
      <c r="J253" s="718"/>
      <c r="K253" s="24">
        <f t="shared" si="42"/>
        <v>0.2</v>
      </c>
      <c r="L253" s="718"/>
      <c r="M253" s="24">
        <f t="shared" si="43"/>
        <v>1</v>
      </c>
      <c r="N253" s="718"/>
      <c r="O253" s="24">
        <f t="shared" si="44"/>
        <v>1</v>
      </c>
      <c r="P253" s="718"/>
      <c r="Q253" s="24">
        <f t="shared" si="45"/>
        <v>1</v>
      </c>
      <c r="R253" s="714">
        <f t="shared" si="46"/>
        <v>0</v>
      </c>
      <c r="S253" s="361">
        <f t="shared" si="37"/>
        <v>0</v>
      </c>
    </row>
    <row r="254" spans="1:19">
      <c r="A254" s="159"/>
      <c r="B254" s="59"/>
      <c r="C254" s="24">
        <f t="shared" si="38"/>
        <v>1</v>
      </c>
      <c r="D254" s="718"/>
      <c r="E254" s="24">
        <f t="shared" si="39"/>
        <v>0.02</v>
      </c>
      <c r="F254" s="718"/>
      <c r="G254" s="24">
        <f t="shared" si="40"/>
        <v>0.1</v>
      </c>
      <c r="H254" s="718"/>
      <c r="I254" s="24">
        <f t="shared" si="41"/>
        <v>0.05</v>
      </c>
      <c r="J254" s="718"/>
      <c r="K254" s="24">
        <f t="shared" si="42"/>
        <v>0.2</v>
      </c>
      <c r="L254" s="718"/>
      <c r="M254" s="24">
        <f t="shared" si="43"/>
        <v>1</v>
      </c>
      <c r="N254" s="718"/>
      <c r="O254" s="24">
        <f t="shared" si="44"/>
        <v>1</v>
      </c>
      <c r="P254" s="718"/>
      <c r="Q254" s="24">
        <f t="shared" si="45"/>
        <v>1</v>
      </c>
      <c r="R254" s="714">
        <f t="shared" si="46"/>
        <v>0</v>
      </c>
      <c r="S254" s="361">
        <f t="shared" si="37"/>
        <v>0</v>
      </c>
    </row>
    <row r="255" spans="1:19">
      <c r="A255" s="159"/>
      <c r="B255" s="59"/>
      <c r="C255" s="24">
        <f t="shared" si="38"/>
        <v>1</v>
      </c>
      <c r="D255" s="718"/>
      <c r="E255" s="24">
        <f t="shared" si="39"/>
        <v>0.02</v>
      </c>
      <c r="F255" s="718"/>
      <c r="G255" s="24">
        <f t="shared" si="40"/>
        <v>0.1</v>
      </c>
      <c r="H255" s="718"/>
      <c r="I255" s="24">
        <f t="shared" si="41"/>
        <v>0.05</v>
      </c>
      <c r="J255" s="718"/>
      <c r="K255" s="24">
        <f t="shared" si="42"/>
        <v>0.2</v>
      </c>
      <c r="L255" s="718"/>
      <c r="M255" s="24">
        <f t="shared" si="43"/>
        <v>1</v>
      </c>
      <c r="N255" s="718"/>
      <c r="O255" s="24">
        <f t="shared" si="44"/>
        <v>1</v>
      </c>
      <c r="P255" s="718"/>
      <c r="Q255" s="24">
        <f t="shared" si="45"/>
        <v>1</v>
      </c>
      <c r="R255" s="714">
        <f t="shared" si="46"/>
        <v>0</v>
      </c>
      <c r="S255" s="361">
        <f t="shared" si="37"/>
        <v>0</v>
      </c>
    </row>
    <row r="256" spans="1:19">
      <c r="A256" s="159"/>
      <c r="B256" s="59"/>
      <c r="C256" s="24">
        <f t="shared" si="38"/>
        <v>1</v>
      </c>
      <c r="D256" s="718"/>
      <c r="E256" s="24">
        <f t="shared" si="39"/>
        <v>0.02</v>
      </c>
      <c r="F256" s="718"/>
      <c r="G256" s="24">
        <f t="shared" si="40"/>
        <v>0.1</v>
      </c>
      <c r="H256" s="718"/>
      <c r="I256" s="24">
        <f t="shared" si="41"/>
        <v>0.05</v>
      </c>
      <c r="J256" s="718"/>
      <c r="K256" s="24">
        <f t="shared" si="42"/>
        <v>0.2</v>
      </c>
      <c r="L256" s="718"/>
      <c r="M256" s="24">
        <f t="shared" si="43"/>
        <v>1</v>
      </c>
      <c r="N256" s="718"/>
      <c r="O256" s="24">
        <f t="shared" si="44"/>
        <v>1</v>
      </c>
      <c r="P256" s="718"/>
      <c r="Q256" s="24">
        <f t="shared" si="45"/>
        <v>1</v>
      </c>
      <c r="R256" s="714">
        <f t="shared" si="46"/>
        <v>0</v>
      </c>
      <c r="S256" s="361">
        <f t="shared" si="37"/>
        <v>0</v>
      </c>
    </row>
    <row r="257" spans="1:19">
      <c r="A257" s="159"/>
      <c r="B257" s="59"/>
      <c r="C257" s="24">
        <f t="shared" si="38"/>
        <v>1</v>
      </c>
      <c r="D257" s="718"/>
      <c r="E257" s="24">
        <f t="shared" si="39"/>
        <v>0.02</v>
      </c>
      <c r="F257" s="718"/>
      <c r="G257" s="24">
        <f t="shared" si="40"/>
        <v>0.1</v>
      </c>
      <c r="H257" s="718"/>
      <c r="I257" s="24">
        <f t="shared" si="41"/>
        <v>0.05</v>
      </c>
      <c r="J257" s="718"/>
      <c r="K257" s="24">
        <f t="shared" si="42"/>
        <v>0.2</v>
      </c>
      <c r="L257" s="718"/>
      <c r="M257" s="24">
        <f t="shared" si="43"/>
        <v>1</v>
      </c>
      <c r="N257" s="718"/>
      <c r="O257" s="24">
        <f t="shared" si="44"/>
        <v>1</v>
      </c>
      <c r="P257" s="718"/>
      <c r="Q257" s="24">
        <f t="shared" si="45"/>
        <v>1</v>
      </c>
      <c r="R257" s="714">
        <f t="shared" si="46"/>
        <v>0</v>
      </c>
      <c r="S257" s="361">
        <f t="shared" si="37"/>
        <v>0</v>
      </c>
    </row>
    <row r="258" spans="1:19">
      <c r="A258" s="159"/>
      <c r="B258" s="59"/>
      <c r="C258" s="24">
        <f t="shared" si="38"/>
        <v>1</v>
      </c>
      <c r="D258" s="718"/>
      <c r="E258" s="24">
        <f t="shared" si="39"/>
        <v>0.02</v>
      </c>
      <c r="F258" s="718"/>
      <c r="G258" s="24">
        <f t="shared" si="40"/>
        <v>0.1</v>
      </c>
      <c r="H258" s="718"/>
      <c r="I258" s="24">
        <f t="shared" si="41"/>
        <v>0.05</v>
      </c>
      <c r="J258" s="718"/>
      <c r="K258" s="24">
        <f t="shared" si="42"/>
        <v>0.2</v>
      </c>
      <c r="L258" s="718"/>
      <c r="M258" s="24">
        <f t="shared" si="43"/>
        <v>1</v>
      </c>
      <c r="N258" s="718"/>
      <c r="O258" s="24">
        <f t="shared" si="44"/>
        <v>1</v>
      </c>
      <c r="P258" s="718"/>
      <c r="Q258" s="24">
        <f t="shared" si="45"/>
        <v>1</v>
      </c>
      <c r="R258" s="714">
        <f t="shared" si="46"/>
        <v>0</v>
      </c>
      <c r="S258" s="361">
        <f t="shared" si="37"/>
        <v>0</v>
      </c>
    </row>
    <row r="259" spans="1:19">
      <c r="A259" s="159"/>
      <c r="B259" s="59"/>
      <c r="C259" s="24">
        <f t="shared" si="38"/>
        <v>1</v>
      </c>
      <c r="D259" s="718"/>
      <c r="E259" s="24">
        <f t="shared" si="39"/>
        <v>0.02</v>
      </c>
      <c r="F259" s="718"/>
      <c r="G259" s="24">
        <f t="shared" si="40"/>
        <v>0.1</v>
      </c>
      <c r="H259" s="718"/>
      <c r="I259" s="24">
        <f t="shared" si="41"/>
        <v>0.05</v>
      </c>
      <c r="J259" s="718"/>
      <c r="K259" s="24">
        <f t="shared" si="42"/>
        <v>0.2</v>
      </c>
      <c r="L259" s="718"/>
      <c r="M259" s="24">
        <f t="shared" si="43"/>
        <v>1</v>
      </c>
      <c r="N259" s="718"/>
      <c r="O259" s="24">
        <f t="shared" si="44"/>
        <v>1</v>
      </c>
      <c r="P259" s="718"/>
      <c r="Q259" s="24">
        <f t="shared" si="45"/>
        <v>1</v>
      </c>
      <c r="R259" s="714">
        <f t="shared" si="46"/>
        <v>0</v>
      </c>
      <c r="S259" s="361">
        <f t="shared" si="37"/>
        <v>0</v>
      </c>
    </row>
    <row r="260" spans="1:19">
      <c r="A260" s="159"/>
      <c r="B260" s="59"/>
      <c r="C260" s="24">
        <f t="shared" si="38"/>
        <v>1</v>
      </c>
      <c r="D260" s="718"/>
      <c r="E260" s="24">
        <f t="shared" si="39"/>
        <v>0.02</v>
      </c>
      <c r="F260" s="718"/>
      <c r="G260" s="24">
        <f t="shared" si="40"/>
        <v>0.1</v>
      </c>
      <c r="H260" s="718"/>
      <c r="I260" s="24">
        <f t="shared" si="41"/>
        <v>0.05</v>
      </c>
      <c r="J260" s="718"/>
      <c r="K260" s="24">
        <f t="shared" si="42"/>
        <v>0.2</v>
      </c>
      <c r="L260" s="718"/>
      <c r="M260" s="24">
        <f t="shared" si="43"/>
        <v>1</v>
      </c>
      <c r="N260" s="718"/>
      <c r="O260" s="24">
        <f t="shared" si="44"/>
        <v>1</v>
      </c>
      <c r="P260" s="718"/>
      <c r="Q260" s="24">
        <f t="shared" si="45"/>
        <v>1</v>
      </c>
      <c r="R260" s="714">
        <f t="shared" si="46"/>
        <v>0</v>
      </c>
      <c r="S260" s="361">
        <f t="shared" si="37"/>
        <v>0</v>
      </c>
    </row>
    <row r="261" spans="1:19">
      <c r="A261" s="159"/>
      <c r="B261" s="59"/>
      <c r="C261" s="24">
        <f t="shared" si="38"/>
        <v>1</v>
      </c>
      <c r="D261" s="718"/>
      <c r="E261" s="24">
        <f t="shared" si="39"/>
        <v>0.02</v>
      </c>
      <c r="F261" s="718"/>
      <c r="G261" s="24">
        <f t="shared" si="40"/>
        <v>0.1</v>
      </c>
      <c r="H261" s="718"/>
      <c r="I261" s="24">
        <f t="shared" si="41"/>
        <v>0.05</v>
      </c>
      <c r="J261" s="718"/>
      <c r="K261" s="24">
        <f t="shared" si="42"/>
        <v>0.2</v>
      </c>
      <c r="L261" s="718"/>
      <c r="M261" s="24">
        <f t="shared" si="43"/>
        <v>1</v>
      </c>
      <c r="N261" s="718"/>
      <c r="O261" s="24">
        <f t="shared" si="44"/>
        <v>1</v>
      </c>
      <c r="P261" s="718"/>
      <c r="Q261" s="24">
        <f t="shared" si="45"/>
        <v>1</v>
      </c>
      <c r="R261" s="714">
        <f t="shared" si="46"/>
        <v>0</v>
      </c>
      <c r="S261" s="361">
        <f t="shared" si="37"/>
        <v>0</v>
      </c>
    </row>
    <row r="262" spans="1:19">
      <c r="A262" s="159"/>
      <c r="B262" s="59"/>
      <c r="C262" s="24">
        <f t="shared" si="38"/>
        <v>1</v>
      </c>
      <c r="D262" s="718"/>
      <c r="E262" s="24">
        <f t="shared" si="39"/>
        <v>0.02</v>
      </c>
      <c r="F262" s="718"/>
      <c r="G262" s="24">
        <f t="shared" si="40"/>
        <v>0.1</v>
      </c>
      <c r="H262" s="718"/>
      <c r="I262" s="24">
        <f t="shared" si="41"/>
        <v>0.05</v>
      </c>
      <c r="J262" s="718"/>
      <c r="K262" s="24">
        <f t="shared" si="42"/>
        <v>0.2</v>
      </c>
      <c r="L262" s="718"/>
      <c r="M262" s="24">
        <f t="shared" si="43"/>
        <v>1</v>
      </c>
      <c r="N262" s="718"/>
      <c r="O262" s="24">
        <f t="shared" si="44"/>
        <v>1</v>
      </c>
      <c r="P262" s="718"/>
      <c r="Q262" s="24">
        <f t="shared" si="45"/>
        <v>1</v>
      </c>
      <c r="R262" s="714">
        <f t="shared" si="46"/>
        <v>0</v>
      </c>
      <c r="S262" s="361">
        <f t="shared" si="37"/>
        <v>0</v>
      </c>
    </row>
    <row r="263" spans="1:19">
      <c r="A263" s="159"/>
      <c r="B263" s="59"/>
      <c r="C263" s="24">
        <f t="shared" si="38"/>
        <v>1</v>
      </c>
      <c r="D263" s="718"/>
      <c r="E263" s="24">
        <f t="shared" si="39"/>
        <v>0.02</v>
      </c>
      <c r="F263" s="718"/>
      <c r="G263" s="24">
        <f t="shared" si="40"/>
        <v>0.1</v>
      </c>
      <c r="H263" s="718"/>
      <c r="I263" s="24">
        <f t="shared" si="41"/>
        <v>0.05</v>
      </c>
      <c r="J263" s="718"/>
      <c r="K263" s="24">
        <f t="shared" si="42"/>
        <v>0.2</v>
      </c>
      <c r="L263" s="718"/>
      <c r="M263" s="24">
        <f t="shared" si="43"/>
        <v>1</v>
      </c>
      <c r="N263" s="718"/>
      <c r="O263" s="24">
        <f t="shared" si="44"/>
        <v>1</v>
      </c>
      <c r="P263" s="718"/>
      <c r="Q263" s="24">
        <f t="shared" si="45"/>
        <v>1</v>
      </c>
      <c r="R263" s="714">
        <f t="shared" si="46"/>
        <v>0</v>
      </c>
      <c r="S263" s="361">
        <f t="shared" si="37"/>
        <v>0</v>
      </c>
    </row>
    <row r="264" spans="1:19">
      <c r="A264" s="159"/>
      <c r="B264" s="59"/>
      <c r="C264" s="24">
        <f t="shared" si="38"/>
        <v>1</v>
      </c>
      <c r="D264" s="718"/>
      <c r="E264" s="24">
        <f t="shared" si="39"/>
        <v>0.02</v>
      </c>
      <c r="F264" s="718"/>
      <c r="G264" s="24">
        <f t="shared" si="40"/>
        <v>0.1</v>
      </c>
      <c r="H264" s="718"/>
      <c r="I264" s="24">
        <f t="shared" si="41"/>
        <v>0.05</v>
      </c>
      <c r="J264" s="718"/>
      <c r="K264" s="24">
        <f t="shared" si="42"/>
        <v>0.2</v>
      </c>
      <c r="L264" s="718"/>
      <c r="M264" s="24">
        <f t="shared" si="43"/>
        <v>1</v>
      </c>
      <c r="N264" s="718"/>
      <c r="O264" s="24">
        <f t="shared" si="44"/>
        <v>1</v>
      </c>
      <c r="P264" s="718"/>
      <c r="Q264" s="24">
        <f t="shared" si="45"/>
        <v>1</v>
      </c>
      <c r="R264" s="714">
        <f t="shared" si="46"/>
        <v>0</v>
      </c>
      <c r="S264" s="361">
        <f t="shared" si="37"/>
        <v>0</v>
      </c>
    </row>
    <row r="265" spans="1:19">
      <c r="A265" s="159"/>
      <c r="B265" s="59"/>
      <c r="C265" s="24">
        <f t="shared" si="38"/>
        <v>1</v>
      </c>
      <c r="D265" s="718"/>
      <c r="E265" s="24">
        <f t="shared" si="39"/>
        <v>0.02</v>
      </c>
      <c r="F265" s="718"/>
      <c r="G265" s="24">
        <f t="shared" si="40"/>
        <v>0.1</v>
      </c>
      <c r="H265" s="718"/>
      <c r="I265" s="24">
        <f t="shared" si="41"/>
        <v>0.05</v>
      </c>
      <c r="J265" s="718"/>
      <c r="K265" s="24">
        <f t="shared" si="42"/>
        <v>0.2</v>
      </c>
      <c r="L265" s="718"/>
      <c r="M265" s="24">
        <f t="shared" si="43"/>
        <v>1</v>
      </c>
      <c r="N265" s="718"/>
      <c r="O265" s="24">
        <f t="shared" si="44"/>
        <v>1</v>
      </c>
      <c r="P265" s="718"/>
      <c r="Q265" s="24">
        <f t="shared" si="45"/>
        <v>1</v>
      </c>
      <c r="R265" s="714">
        <f t="shared" si="46"/>
        <v>0</v>
      </c>
      <c r="S265" s="361">
        <f t="shared" si="37"/>
        <v>0</v>
      </c>
    </row>
    <row r="266" spans="1:19">
      <c r="A266" s="159"/>
      <c r="B266" s="59"/>
      <c r="C266" s="24">
        <f t="shared" si="38"/>
        <v>1</v>
      </c>
      <c r="D266" s="718"/>
      <c r="E266" s="24">
        <f t="shared" si="39"/>
        <v>0.02</v>
      </c>
      <c r="F266" s="718"/>
      <c r="G266" s="24">
        <f t="shared" si="40"/>
        <v>0.1</v>
      </c>
      <c r="H266" s="718"/>
      <c r="I266" s="24">
        <f t="shared" si="41"/>
        <v>0.05</v>
      </c>
      <c r="J266" s="718"/>
      <c r="K266" s="24">
        <f t="shared" si="42"/>
        <v>0.2</v>
      </c>
      <c r="L266" s="718"/>
      <c r="M266" s="24">
        <f t="shared" si="43"/>
        <v>1</v>
      </c>
      <c r="N266" s="718"/>
      <c r="O266" s="24">
        <f t="shared" si="44"/>
        <v>1</v>
      </c>
      <c r="P266" s="718"/>
      <c r="Q266" s="24">
        <f t="shared" si="45"/>
        <v>1</v>
      </c>
      <c r="R266" s="714">
        <f t="shared" si="46"/>
        <v>0</v>
      </c>
      <c r="S266" s="361">
        <f t="shared" si="37"/>
        <v>0</v>
      </c>
    </row>
    <row r="267" spans="1:19">
      <c r="A267" s="159"/>
      <c r="B267" s="59"/>
      <c r="C267" s="24">
        <f t="shared" si="38"/>
        <v>1</v>
      </c>
      <c r="D267" s="718"/>
      <c r="E267" s="24">
        <f t="shared" si="39"/>
        <v>0.02</v>
      </c>
      <c r="F267" s="718"/>
      <c r="G267" s="24">
        <f t="shared" si="40"/>
        <v>0.1</v>
      </c>
      <c r="H267" s="718"/>
      <c r="I267" s="24">
        <f t="shared" si="41"/>
        <v>0.05</v>
      </c>
      <c r="J267" s="718"/>
      <c r="K267" s="24">
        <f t="shared" si="42"/>
        <v>0.2</v>
      </c>
      <c r="L267" s="718"/>
      <c r="M267" s="24">
        <f t="shared" si="43"/>
        <v>1</v>
      </c>
      <c r="N267" s="718"/>
      <c r="O267" s="24">
        <f t="shared" si="44"/>
        <v>1</v>
      </c>
      <c r="P267" s="718"/>
      <c r="Q267" s="24">
        <f t="shared" si="45"/>
        <v>1</v>
      </c>
      <c r="R267" s="714">
        <f t="shared" si="46"/>
        <v>0</v>
      </c>
      <c r="S267" s="361">
        <f t="shared" si="37"/>
        <v>0</v>
      </c>
    </row>
    <row r="268" spans="1:19">
      <c r="A268" s="159"/>
      <c r="B268" s="59"/>
      <c r="C268" s="24">
        <f t="shared" si="38"/>
        <v>1</v>
      </c>
      <c r="D268" s="718"/>
      <c r="E268" s="24">
        <f t="shared" si="39"/>
        <v>0.02</v>
      </c>
      <c r="F268" s="718"/>
      <c r="G268" s="24">
        <f t="shared" si="40"/>
        <v>0.1</v>
      </c>
      <c r="H268" s="718"/>
      <c r="I268" s="24">
        <f t="shared" si="41"/>
        <v>0.05</v>
      </c>
      <c r="J268" s="718"/>
      <c r="K268" s="24">
        <f t="shared" si="42"/>
        <v>0.2</v>
      </c>
      <c r="L268" s="718"/>
      <c r="M268" s="24">
        <f t="shared" si="43"/>
        <v>1</v>
      </c>
      <c r="N268" s="718"/>
      <c r="O268" s="24">
        <f t="shared" si="44"/>
        <v>1</v>
      </c>
      <c r="P268" s="718"/>
      <c r="Q268" s="24">
        <f t="shared" si="45"/>
        <v>1</v>
      </c>
      <c r="R268" s="714">
        <f t="shared" si="46"/>
        <v>0</v>
      </c>
      <c r="S268" s="361">
        <f t="shared" si="37"/>
        <v>0</v>
      </c>
    </row>
    <row r="269" spans="1:19">
      <c r="A269" s="159"/>
      <c r="B269" s="59"/>
      <c r="C269" s="24">
        <f t="shared" si="38"/>
        <v>1</v>
      </c>
      <c r="D269" s="718"/>
      <c r="E269" s="24">
        <f t="shared" si="39"/>
        <v>0.02</v>
      </c>
      <c r="F269" s="718"/>
      <c r="G269" s="24">
        <f t="shared" si="40"/>
        <v>0.1</v>
      </c>
      <c r="H269" s="718"/>
      <c r="I269" s="24">
        <f t="shared" si="41"/>
        <v>0.05</v>
      </c>
      <c r="J269" s="718"/>
      <c r="K269" s="24">
        <f t="shared" si="42"/>
        <v>0.2</v>
      </c>
      <c r="L269" s="718"/>
      <c r="M269" s="24">
        <f t="shared" si="43"/>
        <v>1</v>
      </c>
      <c r="N269" s="718"/>
      <c r="O269" s="24">
        <f t="shared" si="44"/>
        <v>1</v>
      </c>
      <c r="P269" s="718"/>
      <c r="Q269" s="24">
        <f t="shared" si="45"/>
        <v>1</v>
      </c>
      <c r="R269" s="714">
        <f t="shared" si="46"/>
        <v>0</v>
      </c>
      <c r="S269" s="361">
        <f t="shared" si="37"/>
        <v>0</v>
      </c>
    </row>
    <row r="270" spans="1:19">
      <c r="A270" s="159"/>
      <c r="B270" s="59"/>
      <c r="C270" s="24">
        <f t="shared" si="38"/>
        <v>1</v>
      </c>
      <c r="D270" s="718"/>
      <c r="E270" s="24">
        <f t="shared" si="39"/>
        <v>0.02</v>
      </c>
      <c r="F270" s="718"/>
      <c r="G270" s="24">
        <f t="shared" si="40"/>
        <v>0.1</v>
      </c>
      <c r="H270" s="718"/>
      <c r="I270" s="24">
        <f t="shared" si="41"/>
        <v>0.05</v>
      </c>
      <c r="J270" s="718"/>
      <c r="K270" s="24">
        <f t="shared" si="42"/>
        <v>0.2</v>
      </c>
      <c r="L270" s="718"/>
      <c r="M270" s="24">
        <f t="shared" si="43"/>
        <v>1</v>
      </c>
      <c r="N270" s="718"/>
      <c r="O270" s="24">
        <f t="shared" si="44"/>
        <v>1</v>
      </c>
      <c r="P270" s="718"/>
      <c r="Q270" s="24">
        <f t="shared" si="45"/>
        <v>1</v>
      </c>
      <c r="R270" s="714">
        <f t="shared" si="46"/>
        <v>0</v>
      </c>
      <c r="S270" s="361">
        <f t="shared" si="37"/>
        <v>0</v>
      </c>
    </row>
    <row r="271" spans="1:19">
      <c r="A271" s="159"/>
      <c r="B271" s="59"/>
      <c r="C271" s="24">
        <f t="shared" si="38"/>
        <v>1</v>
      </c>
      <c r="D271" s="718"/>
      <c r="E271" s="24">
        <f t="shared" si="39"/>
        <v>0.02</v>
      </c>
      <c r="F271" s="718"/>
      <c r="G271" s="24">
        <f t="shared" si="40"/>
        <v>0.1</v>
      </c>
      <c r="H271" s="718"/>
      <c r="I271" s="24">
        <f t="shared" si="41"/>
        <v>0.05</v>
      </c>
      <c r="J271" s="718"/>
      <c r="K271" s="24">
        <f t="shared" si="42"/>
        <v>0.2</v>
      </c>
      <c r="L271" s="718"/>
      <c r="M271" s="24">
        <f t="shared" si="43"/>
        <v>1</v>
      </c>
      <c r="N271" s="718"/>
      <c r="O271" s="24">
        <f t="shared" si="44"/>
        <v>1</v>
      </c>
      <c r="P271" s="718"/>
      <c r="Q271" s="24">
        <f t="shared" si="45"/>
        <v>1</v>
      </c>
      <c r="R271" s="714">
        <f t="shared" si="46"/>
        <v>0</v>
      </c>
      <c r="S271" s="361">
        <f t="shared" si="37"/>
        <v>0</v>
      </c>
    </row>
    <row r="272" spans="1:19">
      <c r="A272" s="159"/>
      <c r="B272" s="59"/>
      <c r="C272" s="24">
        <f t="shared" si="38"/>
        <v>1</v>
      </c>
      <c r="D272" s="718"/>
      <c r="E272" s="24">
        <f t="shared" si="39"/>
        <v>0.02</v>
      </c>
      <c r="F272" s="718"/>
      <c r="G272" s="24">
        <f t="shared" si="40"/>
        <v>0.1</v>
      </c>
      <c r="H272" s="718"/>
      <c r="I272" s="24">
        <f t="shared" si="41"/>
        <v>0.05</v>
      </c>
      <c r="J272" s="718"/>
      <c r="K272" s="24">
        <f t="shared" si="42"/>
        <v>0.2</v>
      </c>
      <c r="L272" s="718"/>
      <c r="M272" s="24">
        <f t="shared" si="43"/>
        <v>1</v>
      </c>
      <c r="N272" s="718"/>
      <c r="O272" s="24">
        <f t="shared" si="44"/>
        <v>1</v>
      </c>
      <c r="P272" s="718"/>
      <c r="Q272" s="24">
        <f t="shared" si="45"/>
        <v>1</v>
      </c>
      <c r="R272" s="714">
        <f t="shared" si="46"/>
        <v>0</v>
      </c>
      <c r="S272" s="361">
        <f t="shared" si="37"/>
        <v>0</v>
      </c>
    </row>
    <row r="273" spans="1:19">
      <c r="A273" s="159"/>
      <c r="B273" s="59"/>
      <c r="C273" s="24">
        <f t="shared" si="38"/>
        <v>1</v>
      </c>
      <c r="D273" s="718"/>
      <c r="E273" s="24">
        <f t="shared" si="39"/>
        <v>0.02</v>
      </c>
      <c r="F273" s="718"/>
      <c r="G273" s="24">
        <f t="shared" si="40"/>
        <v>0.1</v>
      </c>
      <c r="H273" s="718"/>
      <c r="I273" s="24">
        <f t="shared" si="41"/>
        <v>0.05</v>
      </c>
      <c r="J273" s="718"/>
      <c r="K273" s="24">
        <f t="shared" si="42"/>
        <v>0.2</v>
      </c>
      <c r="L273" s="718"/>
      <c r="M273" s="24">
        <f t="shared" si="43"/>
        <v>1</v>
      </c>
      <c r="N273" s="718"/>
      <c r="O273" s="24">
        <f t="shared" si="44"/>
        <v>1</v>
      </c>
      <c r="P273" s="718"/>
      <c r="Q273" s="24">
        <f t="shared" si="45"/>
        <v>1</v>
      </c>
      <c r="R273" s="714">
        <f t="shared" si="46"/>
        <v>0</v>
      </c>
      <c r="S273" s="361">
        <f t="shared" si="37"/>
        <v>0</v>
      </c>
    </row>
    <row r="274" spans="1:19">
      <c r="A274" s="159"/>
      <c r="B274" s="59"/>
      <c r="C274" s="24">
        <f t="shared" si="38"/>
        <v>1</v>
      </c>
      <c r="D274" s="718"/>
      <c r="E274" s="24">
        <f t="shared" si="39"/>
        <v>0.02</v>
      </c>
      <c r="F274" s="718"/>
      <c r="G274" s="24">
        <f t="shared" si="40"/>
        <v>0.1</v>
      </c>
      <c r="H274" s="718"/>
      <c r="I274" s="24">
        <f t="shared" si="41"/>
        <v>0.05</v>
      </c>
      <c r="J274" s="718"/>
      <c r="K274" s="24">
        <f t="shared" si="42"/>
        <v>0.2</v>
      </c>
      <c r="L274" s="718"/>
      <c r="M274" s="24">
        <f t="shared" si="43"/>
        <v>1</v>
      </c>
      <c r="N274" s="718"/>
      <c r="O274" s="24">
        <f t="shared" si="44"/>
        <v>1</v>
      </c>
      <c r="P274" s="718"/>
      <c r="Q274" s="24">
        <f t="shared" si="45"/>
        <v>1</v>
      </c>
      <c r="R274" s="714">
        <f t="shared" si="46"/>
        <v>0</v>
      </c>
      <c r="S274" s="361">
        <f t="shared" si="37"/>
        <v>0</v>
      </c>
    </row>
    <row r="275" spans="1:19">
      <c r="A275" s="159"/>
      <c r="B275" s="59"/>
      <c r="C275" s="24">
        <f t="shared" si="38"/>
        <v>1</v>
      </c>
      <c r="D275" s="718"/>
      <c r="E275" s="24">
        <f t="shared" si="39"/>
        <v>0.02</v>
      </c>
      <c r="F275" s="718"/>
      <c r="G275" s="24">
        <f t="shared" si="40"/>
        <v>0.1</v>
      </c>
      <c r="H275" s="718"/>
      <c r="I275" s="24">
        <f t="shared" si="41"/>
        <v>0.05</v>
      </c>
      <c r="J275" s="718"/>
      <c r="K275" s="24">
        <f t="shared" si="42"/>
        <v>0.2</v>
      </c>
      <c r="L275" s="718"/>
      <c r="M275" s="24">
        <f t="shared" si="43"/>
        <v>1</v>
      </c>
      <c r="N275" s="718"/>
      <c r="O275" s="24">
        <f t="shared" si="44"/>
        <v>1</v>
      </c>
      <c r="P275" s="718"/>
      <c r="Q275" s="24">
        <f t="shared" si="45"/>
        <v>1</v>
      </c>
      <c r="R275" s="714">
        <f t="shared" si="46"/>
        <v>0</v>
      </c>
      <c r="S275" s="361">
        <f t="shared" si="37"/>
        <v>0</v>
      </c>
    </row>
    <row r="276" spans="1:19">
      <c r="A276" s="159"/>
      <c r="B276" s="59"/>
      <c r="C276" s="24">
        <f t="shared" si="38"/>
        <v>1</v>
      </c>
      <c r="D276" s="718"/>
      <c r="E276" s="24">
        <f t="shared" si="39"/>
        <v>0.02</v>
      </c>
      <c r="F276" s="718"/>
      <c r="G276" s="24">
        <f t="shared" si="40"/>
        <v>0.1</v>
      </c>
      <c r="H276" s="718"/>
      <c r="I276" s="24">
        <f t="shared" si="41"/>
        <v>0.05</v>
      </c>
      <c r="J276" s="718"/>
      <c r="K276" s="24">
        <f t="shared" si="42"/>
        <v>0.2</v>
      </c>
      <c r="L276" s="718"/>
      <c r="M276" s="24">
        <f t="shared" si="43"/>
        <v>1</v>
      </c>
      <c r="N276" s="718"/>
      <c r="O276" s="24">
        <f t="shared" si="44"/>
        <v>1</v>
      </c>
      <c r="P276" s="718"/>
      <c r="Q276" s="24">
        <f t="shared" si="45"/>
        <v>1</v>
      </c>
      <c r="R276" s="714">
        <f t="shared" si="46"/>
        <v>0</v>
      </c>
      <c r="S276" s="361">
        <f t="shared" si="37"/>
        <v>0</v>
      </c>
    </row>
    <row r="277" spans="1:19">
      <c r="A277" s="159"/>
      <c r="B277" s="59"/>
      <c r="C277" s="24">
        <f t="shared" si="38"/>
        <v>1</v>
      </c>
      <c r="D277" s="718"/>
      <c r="E277" s="24">
        <f t="shared" si="39"/>
        <v>0.02</v>
      </c>
      <c r="F277" s="718"/>
      <c r="G277" s="24">
        <f t="shared" si="40"/>
        <v>0.1</v>
      </c>
      <c r="H277" s="718"/>
      <c r="I277" s="24">
        <f t="shared" si="41"/>
        <v>0.05</v>
      </c>
      <c r="J277" s="718"/>
      <c r="K277" s="24">
        <f t="shared" si="42"/>
        <v>0.2</v>
      </c>
      <c r="L277" s="718"/>
      <c r="M277" s="24">
        <f t="shared" si="43"/>
        <v>1</v>
      </c>
      <c r="N277" s="718"/>
      <c r="O277" s="24">
        <f t="shared" si="44"/>
        <v>1</v>
      </c>
      <c r="P277" s="718"/>
      <c r="Q277" s="24">
        <f t="shared" si="45"/>
        <v>1</v>
      </c>
      <c r="R277" s="714">
        <f t="shared" si="46"/>
        <v>0</v>
      </c>
      <c r="S277" s="361">
        <f t="shared" si="37"/>
        <v>0</v>
      </c>
    </row>
    <row r="278" spans="1:19">
      <c r="A278" s="159"/>
      <c r="B278" s="59"/>
      <c r="C278" s="24">
        <f t="shared" si="38"/>
        <v>1</v>
      </c>
      <c r="D278" s="718"/>
      <c r="E278" s="24">
        <f t="shared" si="39"/>
        <v>0.02</v>
      </c>
      <c r="F278" s="718"/>
      <c r="G278" s="24">
        <f t="shared" si="40"/>
        <v>0.1</v>
      </c>
      <c r="H278" s="718"/>
      <c r="I278" s="24">
        <f t="shared" si="41"/>
        <v>0.05</v>
      </c>
      <c r="J278" s="718"/>
      <c r="K278" s="24">
        <f t="shared" si="42"/>
        <v>0.2</v>
      </c>
      <c r="L278" s="718"/>
      <c r="M278" s="24">
        <f t="shared" si="43"/>
        <v>1</v>
      </c>
      <c r="N278" s="718"/>
      <c r="O278" s="24">
        <f t="shared" si="44"/>
        <v>1</v>
      </c>
      <c r="P278" s="718"/>
      <c r="Q278" s="24">
        <f t="shared" si="45"/>
        <v>1</v>
      </c>
      <c r="R278" s="714">
        <f t="shared" si="46"/>
        <v>0</v>
      </c>
      <c r="S278" s="361">
        <f t="shared" si="37"/>
        <v>0</v>
      </c>
    </row>
    <row r="279" spans="1:19">
      <c r="A279" s="159"/>
      <c r="B279" s="59"/>
      <c r="C279" s="24">
        <f t="shared" si="38"/>
        <v>1</v>
      </c>
      <c r="D279" s="718"/>
      <c r="E279" s="24">
        <f t="shared" si="39"/>
        <v>0.02</v>
      </c>
      <c r="F279" s="718"/>
      <c r="G279" s="24">
        <f t="shared" si="40"/>
        <v>0.1</v>
      </c>
      <c r="H279" s="718"/>
      <c r="I279" s="24">
        <f t="shared" si="41"/>
        <v>0.05</v>
      </c>
      <c r="J279" s="718"/>
      <c r="K279" s="24">
        <f t="shared" si="42"/>
        <v>0.2</v>
      </c>
      <c r="L279" s="718"/>
      <c r="M279" s="24">
        <f t="shared" si="43"/>
        <v>1</v>
      </c>
      <c r="N279" s="718"/>
      <c r="O279" s="24">
        <f t="shared" si="44"/>
        <v>1</v>
      </c>
      <c r="P279" s="718"/>
      <c r="Q279" s="24">
        <f t="shared" si="45"/>
        <v>1</v>
      </c>
      <c r="R279" s="714">
        <f t="shared" si="46"/>
        <v>0</v>
      </c>
      <c r="S279" s="361">
        <f t="shared" si="37"/>
        <v>0</v>
      </c>
    </row>
    <row r="280" spans="1:19">
      <c r="A280" s="159"/>
      <c r="B280" s="59"/>
      <c r="C280" s="24">
        <f t="shared" si="38"/>
        <v>1</v>
      </c>
      <c r="D280" s="718"/>
      <c r="E280" s="24">
        <f t="shared" si="39"/>
        <v>0.02</v>
      </c>
      <c r="F280" s="718"/>
      <c r="G280" s="24">
        <f t="shared" si="40"/>
        <v>0.1</v>
      </c>
      <c r="H280" s="718"/>
      <c r="I280" s="24">
        <f t="shared" si="41"/>
        <v>0.05</v>
      </c>
      <c r="J280" s="718"/>
      <c r="K280" s="24">
        <f t="shared" si="42"/>
        <v>0.2</v>
      </c>
      <c r="L280" s="718"/>
      <c r="M280" s="24">
        <f t="shared" si="43"/>
        <v>1</v>
      </c>
      <c r="N280" s="718"/>
      <c r="O280" s="24">
        <f t="shared" si="44"/>
        <v>1</v>
      </c>
      <c r="P280" s="718"/>
      <c r="Q280" s="24">
        <f t="shared" si="45"/>
        <v>1</v>
      </c>
      <c r="R280" s="714">
        <f t="shared" si="46"/>
        <v>0</v>
      </c>
      <c r="S280" s="361">
        <f t="shared" ref="S280:S343" si="47">ROUND(R280*B280/10000,0)</f>
        <v>0</v>
      </c>
    </row>
    <row r="281" spans="1:19">
      <c r="A281" s="159"/>
      <c r="B281" s="59"/>
      <c r="C281" s="24">
        <f t="shared" si="38"/>
        <v>1</v>
      </c>
      <c r="D281" s="718"/>
      <c r="E281" s="24">
        <f t="shared" si="39"/>
        <v>0.02</v>
      </c>
      <c r="F281" s="718"/>
      <c r="G281" s="24">
        <f t="shared" si="40"/>
        <v>0.1</v>
      </c>
      <c r="H281" s="718"/>
      <c r="I281" s="24">
        <f t="shared" si="41"/>
        <v>0.05</v>
      </c>
      <c r="J281" s="718"/>
      <c r="K281" s="24">
        <f t="shared" si="42"/>
        <v>0.2</v>
      </c>
      <c r="L281" s="718"/>
      <c r="M281" s="24">
        <f t="shared" si="43"/>
        <v>1</v>
      </c>
      <c r="N281" s="718"/>
      <c r="O281" s="24">
        <f t="shared" si="44"/>
        <v>1</v>
      </c>
      <c r="P281" s="718"/>
      <c r="Q281" s="24">
        <f t="shared" si="45"/>
        <v>1</v>
      </c>
      <c r="R281" s="714">
        <f t="shared" si="46"/>
        <v>0</v>
      </c>
      <c r="S281" s="361">
        <f t="shared" si="47"/>
        <v>0</v>
      </c>
    </row>
    <row r="282" spans="1:19">
      <c r="A282" s="159"/>
      <c r="B282" s="59"/>
      <c r="C282" s="24">
        <f t="shared" ref="C282:C345" si="48">IF(B282="",1,(LOOKUP(B282,$3:$3,$4:$4)-LOOKUP($B$24,$3:$3,$4:$4)+100)/100)</f>
        <v>1</v>
      </c>
      <c r="D282" s="718"/>
      <c r="E282" s="24">
        <f t="shared" ref="E282:E345" si="49">(SUMIF($5:$5,D282,$6:$6)-SUMIF($5:$5,$D$24,$6:$6)+100)/100</f>
        <v>0.02</v>
      </c>
      <c r="F282" s="718"/>
      <c r="G282" s="24">
        <f t="shared" ref="G282:G345" si="50">(SUMIF($7:$7,F282,$8:$8)-SUMIF($7:$7,$F$24,$8:$8)+100)/100</f>
        <v>0.1</v>
      </c>
      <c r="H282" s="718"/>
      <c r="I282" s="24">
        <f t="shared" ref="I282:I345" si="51">(SUMIF($9:$9,H282,$10:$10)-SUMIF($9:$9,$H$24,$10:$10)+100)/100</f>
        <v>0.05</v>
      </c>
      <c r="J282" s="718"/>
      <c r="K282" s="24">
        <f t="shared" ref="K282:K345" si="52">(SUMIF($11:$11,J282,$12:$12)-SUMIF($11:$11,$J$24,$12:$12)+100)/100</f>
        <v>0.2</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61">
        <f t="shared" si="47"/>
        <v>0</v>
      </c>
    </row>
    <row r="283" spans="1:19">
      <c r="A283" s="159"/>
      <c r="B283" s="59"/>
      <c r="C283" s="24">
        <f t="shared" si="48"/>
        <v>1</v>
      </c>
      <c r="D283" s="718"/>
      <c r="E283" s="24">
        <f t="shared" si="49"/>
        <v>0.02</v>
      </c>
      <c r="F283" s="718"/>
      <c r="G283" s="24">
        <f t="shared" si="50"/>
        <v>0.1</v>
      </c>
      <c r="H283" s="718"/>
      <c r="I283" s="24">
        <f t="shared" si="51"/>
        <v>0.05</v>
      </c>
      <c r="J283" s="718"/>
      <c r="K283" s="24">
        <f t="shared" si="52"/>
        <v>0.2</v>
      </c>
      <c r="L283" s="718"/>
      <c r="M283" s="24">
        <f t="shared" si="53"/>
        <v>1</v>
      </c>
      <c r="N283" s="718"/>
      <c r="O283" s="24">
        <f t="shared" si="54"/>
        <v>1</v>
      </c>
      <c r="P283" s="718"/>
      <c r="Q283" s="24">
        <f t="shared" si="55"/>
        <v>1</v>
      </c>
      <c r="R283" s="714">
        <f t="shared" si="56"/>
        <v>0</v>
      </c>
      <c r="S283" s="361">
        <f t="shared" si="47"/>
        <v>0</v>
      </c>
    </row>
    <row r="284" spans="1:19">
      <c r="A284" s="159"/>
      <c r="B284" s="59"/>
      <c r="C284" s="24">
        <f t="shared" si="48"/>
        <v>1</v>
      </c>
      <c r="D284" s="718"/>
      <c r="E284" s="24">
        <f t="shared" si="49"/>
        <v>0.02</v>
      </c>
      <c r="F284" s="718"/>
      <c r="G284" s="24">
        <f t="shared" si="50"/>
        <v>0.1</v>
      </c>
      <c r="H284" s="718"/>
      <c r="I284" s="24">
        <f t="shared" si="51"/>
        <v>0.05</v>
      </c>
      <c r="J284" s="718"/>
      <c r="K284" s="24">
        <f t="shared" si="52"/>
        <v>0.2</v>
      </c>
      <c r="L284" s="718"/>
      <c r="M284" s="24">
        <f t="shared" si="53"/>
        <v>1</v>
      </c>
      <c r="N284" s="718"/>
      <c r="O284" s="24">
        <f t="shared" si="54"/>
        <v>1</v>
      </c>
      <c r="P284" s="718"/>
      <c r="Q284" s="24">
        <f t="shared" si="55"/>
        <v>1</v>
      </c>
      <c r="R284" s="714">
        <f t="shared" si="56"/>
        <v>0</v>
      </c>
      <c r="S284" s="361">
        <f t="shared" si="47"/>
        <v>0</v>
      </c>
    </row>
    <row r="285" spans="1:19">
      <c r="A285" s="159"/>
      <c r="B285" s="59"/>
      <c r="C285" s="24">
        <f t="shared" si="48"/>
        <v>1</v>
      </c>
      <c r="D285" s="718"/>
      <c r="E285" s="24">
        <f t="shared" si="49"/>
        <v>0.02</v>
      </c>
      <c r="F285" s="718"/>
      <c r="G285" s="24">
        <f t="shared" si="50"/>
        <v>0.1</v>
      </c>
      <c r="H285" s="718"/>
      <c r="I285" s="24">
        <f t="shared" si="51"/>
        <v>0.05</v>
      </c>
      <c r="J285" s="718"/>
      <c r="K285" s="24">
        <f t="shared" si="52"/>
        <v>0.2</v>
      </c>
      <c r="L285" s="718"/>
      <c r="M285" s="24">
        <f t="shared" si="53"/>
        <v>1</v>
      </c>
      <c r="N285" s="718"/>
      <c r="O285" s="24">
        <f t="shared" si="54"/>
        <v>1</v>
      </c>
      <c r="P285" s="718"/>
      <c r="Q285" s="24">
        <f t="shared" si="55"/>
        <v>1</v>
      </c>
      <c r="R285" s="714">
        <f t="shared" si="56"/>
        <v>0</v>
      </c>
      <c r="S285" s="361">
        <f t="shared" si="47"/>
        <v>0</v>
      </c>
    </row>
    <row r="286" spans="1:19">
      <c r="A286" s="159"/>
      <c r="B286" s="59"/>
      <c r="C286" s="24">
        <f t="shared" si="48"/>
        <v>1</v>
      </c>
      <c r="D286" s="718"/>
      <c r="E286" s="24">
        <f t="shared" si="49"/>
        <v>0.02</v>
      </c>
      <c r="F286" s="718"/>
      <c r="G286" s="24">
        <f t="shared" si="50"/>
        <v>0.1</v>
      </c>
      <c r="H286" s="718"/>
      <c r="I286" s="24">
        <f t="shared" si="51"/>
        <v>0.05</v>
      </c>
      <c r="J286" s="718"/>
      <c r="K286" s="24">
        <f t="shared" si="52"/>
        <v>0.2</v>
      </c>
      <c r="L286" s="718"/>
      <c r="M286" s="24">
        <f t="shared" si="53"/>
        <v>1</v>
      </c>
      <c r="N286" s="718"/>
      <c r="O286" s="24">
        <f t="shared" si="54"/>
        <v>1</v>
      </c>
      <c r="P286" s="718"/>
      <c r="Q286" s="24">
        <f t="shared" si="55"/>
        <v>1</v>
      </c>
      <c r="R286" s="714">
        <f t="shared" si="56"/>
        <v>0</v>
      </c>
      <c r="S286" s="361">
        <f t="shared" si="47"/>
        <v>0</v>
      </c>
    </row>
    <row r="287" spans="1:19">
      <c r="A287" s="159"/>
      <c r="B287" s="59"/>
      <c r="C287" s="24">
        <f t="shared" si="48"/>
        <v>1</v>
      </c>
      <c r="D287" s="718"/>
      <c r="E287" s="24">
        <f t="shared" si="49"/>
        <v>0.02</v>
      </c>
      <c r="F287" s="718"/>
      <c r="G287" s="24">
        <f t="shared" si="50"/>
        <v>0.1</v>
      </c>
      <c r="H287" s="718"/>
      <c r="I287" s="24">
        <f t="shared" si="51"/>
        <v>0.05</v>
      </c>
      <c r="J287" s="718"/>
      <c r="K287" s="24">
        <f t="shared" si="52"/>
        <v>0.2</v>
      </c>
      <c r="L287" s="718"/>
      <c r="M287" s="24">
        <f t="shared" si="53"/>
        <v>1</v>
      </c>
      <c r="N287" s="718"/>
      <c r="O287" s="24">
        <f t="shared" si="54"/>
        <v>1</v>
      </c>
      <c r="P287" s="718"/>
      <c r="Q287" s="24">
        <f t="shared" si="55"/>
        <v>1</v>
      </c>
      <c r="R287" s="714">
        <f t="shared" si="56"/>
        <v>0</v>
      </c>
      <c r="S287" s="361">
        <f t="shared" si="47"/>
        <v>0</v>
      </c>
    </row>
    <row r="288" spans="1:19">
      <c r="A288" s="159"/>
      <c r="B288" s="59"/>
      <c r="C288" s="24">
        <f t="shared" si="48"/>
        <v>1</v>
      </c>
      <c r="D288" s="718"/>
      <c r="E288" s="24">
        <f t="shared" si="49"/>
        <v>0.02</v>
      </c>
      <c r="F288" s="718"/>
      <c r="G288" s="24">
        <f t="shared" si="50"/>
        <v>0.1</v>
      </c>
      <c r="H288" s="718"/>
      <c r="I288" s="24">
        <f t="shared" si="51"/>
        <v>0.05</v>
      </c>
      <c r="J288" s="718"/>
      <c r="K288" s="24">
        <f t="shared" si="52"/>
        <v>0.2</v>
      </c>
      <c r="L288" s="718"/>
      <c r="M288" s="24">
        <f t="shared" si="53"/>
        <v>1</v>
      </c>
      <c r="N288" s="718"/>
      <c r="O288" s="24">
        <f t="shared" si="54"/>
        <v>1</v>
      </c>
      <c r="P288" s="718"/>
      <c r="Q288" s="24">
        <f t="shared" si="55"/>
        <v>1</v>
      </c>
      <c r="R288" s="714">
        <f t="shared" si="56"/>
        <v>0</v>
      </c>
      <c r="S288" s="361">
        <f t="shared" si="47"/>
        <v>0</v>
      </c>
    </row>
    <row r="289" spans="1:19">
      <c r="A289" s="159"/>
      <c r="B289" s="59"/>
      <c r="C289" s="24">
        <f t="shared" si="48"/>
        <v>1</v>
      </c>
      <c r="D289" s="718"/>
      <c r="E289" s="24">
        <f t="shared" si="49"/>
        <v>0.02</v>
      </c>
      <c r="F289" s="718"/>
      <c r="G289" s="24">
        <f t="shared" si="50"/>
        <v>0.1</v>
      </c>
      <c r="H289" s="718"/>
      <c r="I289" s="24">
        <f t="shared" si="51"/>
        <v>0.05</v>
      </c>
      <c r="J289" s="718"/>
      <c r="K289" s="24">
        <f t="shared" si="52"/>
        <v>0.2</v>
      </c>
      <c r="L289" s="718"/>
      <c r="M289" s="24">
        <f t="shared" si="53"/>
        <v>1</v>
      </c>
      <c r="N289" s="718"/>
      <c r="O289" s="24">
        <f t="shared" si="54"/>
        <v>1</v>
      </c>
      <c r="P289" s="718"/>
      <c r="Q289" s="24">
        <f t="shared" si="55"/>
        <v>1</v>
      </c>
      <c r="R289" s="714">
        <f t="shared" si="56"/>
        <v>0</v>
      </c>
      <c r="S289" s="361">
        <f t="shared" si="47"/>
        <v>0</v>
      </c>
    </row>
    <row r="290" spans="1:19">
      <c r="A290" s="159"/>
      <c r="B290" s="59"/>
      <c r="C290" s="24">
        <f t="shared" si="48"/>
        <v>1</v>
      </c>
      <c r="D290" s="718"/>
      <c r="E290" s="24">
        <f t="shared" si="49"/>
        <v>0.02</v>
      </c>
      <c r="F290" s="718"/>
      <c r="G290" s="24">
        <f t="shared" si="50"/>
        <v>0.1</v>
      </c>
      <c r="H290" s="718"/>
      <c r="I290" s="24">
        <f t="shared" si="51"/>
        <v>0.05</v>
      </c>
      <c r="J290" s="718"/>
      <c r="K290" s="24">
        <f t="shared" si="52"/>
        <v>0.2</v>
      </c>
      <c r="L290" s="718"/>
      <c r="M290" s="24">
        <f t="shared" si="53"/>
        <v>1</v>
      </c>
      <c r="N290" s="718"/>
      <c r="O290" s="24">
        <f t="shared" si="54"/>
        <v>1</v>
      </c>
      <c r="P290" s="718"/>
      <c r="Q290" s="24">
        <f t="shared" si="55"/>
        <v>1</v>
      </c>
      <c r="R290" s="714">
        <f t="shared" si="56"/>
        <v>0</v>
      </c>
      <c r="S290" s="361">
        <f t="shared" si="47"/>
        <v>0</v>
      </c>
    </row>
    <row r="291" spans="1:19">
      <c r="A291" s="159"/>
      <c r="B291" s="59"/>
      <c r="C291" s="24">
        <f t="shared" si="48"/>
        <v>1</v>
      </c>
      <c r="D291" s="718"/>
      <c r="E291" s="24">
        <f t="shared" si="49"/>
        <v>0.02</v>
      </c>
      <c r="F291" s="718"/>
      <c r="G291" s="24">
        <f t="shared" si="50"/>
        <v>0.1</v>
      </c>
      <c r="H291" s="718"/>
      <c r="I291" s="24">
        <f t="shared" si="51"/>
        <v>0.05</v>
      </c>
      <c r="J291" s="718"/>
      <c r="K291" s="24">
        <f t="shared" si="52"/>
        <v>0.2</v>
      </c>
      <c r="L291" s="718"/>
      <c r="M291" s="24">
        <f t="shared" si="53"/>
        <v>1</v>
      </c>
      <c r="N291" s="718"/>
      <c r="O291" s="24">
        <f t="shared" si="54"/>
        <v>1</v>
      </c>
      <c r="P291" s="718"/>
      <c r="Q291" s="24">
        <f t="shared" si="55"/>
        <v>1</v>
      </c>
      <c r="R291" s="714">
        <f t="shared" si="56"/>
        <v>0</v>
      </c>
      <c r="S291" s="361">
        <f t="shared" si="47"/>
        <v>0</v>
      </c>
    </row>
    <row r="292" spans="1:19">
      <c r="A292" s="159"/>
      <c r="B292" s="59"/>
      <c r="C292" s="24">
        <f t="shared" si="48"/>
        <v>1</v>
      </c>
      <c r="D292" s="718"/>
      <c r="E292" s="24">
        <f t="shared" si="49"/>
        <v>0.02</v>
      </c>
      <c r="F292" s="718"/>
      <c r="G292" s="24">
        <f t="shared" si="50"/>
        <v>0.1</v>
      </c>
      <c r="H292" s="718"/>
      <c r="I292" s="24">
        <f t="shared" si="51"/>
        <v>0.05</v>
      </c>
      <c r="J292" s="718"/>
      <c r="K292" s="24">
        <f t="shared" si="52"/>
        <v>0.2</v>
      </c>
      <c r="L292" s="718"/>
      <c r="M292" s="24">
        <f t="shared" si="53"/>
        <v>1</v>
      </c>
      <c r="N292" s="718"/>
      <c r="O292" s="24">
        <f t="shared" si="54"/>
        <v>1</v>
      </c>
      <c r="P292" s="718"/>
      <c r="Q292" s="24">
        <f t="shared" si="55"/>
        <v>1</v>
      </c>
      <c r="R292" s="714">
        <f t="shared" si="56"/>
        <v>0</v>
      </c>
      <c r="S292" s="361">
        <f t="shared" si="47"/>
        <v>0</v>
      </c>
    </row>
    <row r="293" spans="1:19">
      <c r="A293" s="159"/>
      <c r="B293" s="59"/>
      <c r="C293" s="24">
        <f t="shared" si="48"/>
        <v>1</v>
      </c>
      <c r="D293" s="718"/>
      <c r="E293" s="24">
        <f t="shared" si="49"/>
        <v>0.02</v>
      </c>
      <c r="F293" s="718"/>
      <c r="G293" s="24">
        <f t="shared" si="50"/>
        <v>0.1</v>
      </c>
      <c r="H293" s="718"/>
      <c r="I293" s="24">
        <f t="shared" si="51"/>
        <v>0.05</v>
      </c>
      <c r="J293" s="718"/>
      <c r="K293" s="24">
        <f t="shared" si="52"/>
        <v>0.2</v>
      </c>
      <c r="L293" s="718"/>
      <c r="M293" s="24">
        <f t="shared" si="53"/>
        <v>1</v>
      </c>
      <c r="N293" s="718"/>
      <c r="O293" s="24">
        <f t="shared" si="54"/>
        <v>1</v>
      </c>
      <c r="P293" s="718"/>
      <c r="Q293" s="24">
        <f t="shared" si="55"/>
        <v>1</v>
      </c>
      <c r="R293" s="714">
        <f t="shared" si="56"/>
        <v>0</v>
      </c>
      <c r="S293" s="361">
        <f t="shared" si="47"/>
        <v>0</v>
      </c>
    </row>
    <row r="294" spans="1:19">
      <c r="A294" s="159"/>
      <c r="B294" s="59"/>
      <c r="C294" s="24">
        <f t="shared" si="48"/>
        <v>1</v>
      </c>
      <c r="D294" s="718"/>
      <c r="E294" s="24">
        <f t="shared" si="49"/>
        <v>0.02</v>
      </c>
      <c r="F294" s="718"/>
      <c r="G294" s="24">
        <f t="shared" si="50"/>
        <v>0.1</v>
      </c>
      <c r="H294" s="718"/>
      <c r="I294" s="24">
        <f t="shared" si="51"/>
        <v>0.05</v>
      </c>
      <c r="J294" s="718"/>
      <c r="K294" s="24">
        <f t="shared" si="52"/>
        <v>0.2</v>
      </c>
      <c r="L294" s="718"/>
      <c r="M294" s="24">
        <f t="shared" si="53"/>
        <v>1</v>
      </c>
      <c r="N294" s="718"/>
      <c r="O294" s="24">
        <f t="shared" si="54"/>
        <v>1</v>
      </c>
      <c r="P294" s="718"/>
      <c r="Q294" s="24">
        <f t="shared" si="55"/>
        <v>1</v>
      </c>
      <c r="R294" s="714">
        <f t="shared" si="56"/>
        <v>0</v>
      </c>
      <c r="S294" s="361">
        <f t="shared" si="47"/>
        <v>0</v>
      </c>
    </row>
    <row r="295" spans="1:19">
      <c r="A295" s="159"/>
      <c r="B295" s="59"/>
      <c r="C295" s="24">
        <f t="shared" si="48"/>
        <v>1</v>
      </c>
      <c r="D295" s="718"/>
      <c r="E295" s="24">
        <f t="shared" si="49"/>
        <v>0.02</v>
      </c>
      <c r="F295" s="718"/>
      <c r="G295" s="24">
        <f t="shared" si="50"/>
        <v>0.1</v>
      </c>
      <c r="H295" s="718"/>
      <c r="I295" s="24">
        <f t="shared" si="51"/>
        <v>0.05</v>
      </c>
      <c r="J295" s="718"/>
      <c r="K295" s="24">
        <f t="shared" si="52"/>
        <v>0.2</v>
      </c>
      <c r="L295" s="718"/>
      <c r="M295" s="24">
        <f t="shared" si="53"/>
        <v>1</v>
      </c>
      <c r="N295" s="718"/>
      <c r="O295" s="24">
        <f t="shared" si="54"/>
        <v>1</v>
      </c>
      <c r="P295" s="718"/>
      <c r="Q295" s="24">
        <f t="shared" si="55"/>
        <v>1</v>
      </c>
      <c r="R295" s="714">
        <f t="shared" si="56"/>
        <v>0</v>
      </c>
      <c r="S295" s="361">
        <f t="shared" si="47"/>
        <v>0</v>
      </c>
    </row>
    <row r="296" spans="1:19">
      <c r="A296" s="159"/>
      <c r="B296" s="59"/>
      <c r="C296" s="24">
        <f t="shared" si="48"/>
        <v>1</v>
      </c>
      <c r="D296" s="718"/>
      <c r="E296" s="24">
        <f t="shared" si="49"/>
        <v>0.02</v>
      </c>
      <c r="F296" s="718"/>
      <c r="G296" s="24">
        <f t="shared" si="50"/>
        <v>0.1</v>
      </c>
      <c r="H296" s="718"/>
      <c r="I296" s="24">
        <f t="shared" si="51"/>
        <v>0.05</v>
      </c>
      <c r="J296" s="718"/>
      <c r="K296" s="24">
        <f t="shared" si="52"/>
        <v>0.2</v>
      </c>
      <c r="L296" s="718"/>
      <c r="M296" s="24">
        <f t="shared" si="53"/>
        <v>1</v>
      </c>
      <c r="N296" s="718"/>
      <c r="O296" s="24">
        <f t="shared" si="54"/>
        <v>1</v>
      </c>
      <c r="P296" s="718"/>
      <c r="Q296" s="24">
        <f t="shared" si="55"/>
        <v>1</v>
      </c>
      <c r="R296" s="714">
        <f t="shared" si="56"/>
        <v>0</v>
      </c>
      <c r="S296" s="361">
        <f t="shared" si="47"/>
        <v>0</v>
      </c>
    </row>
    <row r="297" spans="1:19">
      <c r="A297" s="159"/>
      <c r="B297" s="59"/>
      <c r="C297" s="24">
        <f t="shared" si="48"/>
        <v>1</v>
      </c>
      <c r="D297" s="718"/>
      <c r="E297" s="24">
        <f t="shared" si="49"/>
        <v>0.02</v>
      </c>
      <c r="F297" s="718"/>
      <c r="G297" s="24">
        <f t="shared" si="50"/>
        <v>0.1</v>
      </c>
      <c r="H297" s="718"/>
      <c r="I297" s="24">
        <f t="shared" si="51"/>
        <v>0.05</v>
      </c>
      <c r="J297" s="718"/>
      <c r="K297" s="24">
        <f t="shared" si="52"/>
        <v>0.2</v>
      </c>
      <c r="L297" s="718"/>
      <c r="M297" s="24">
        <f t="shared" si="53"/>
        <v>1</v>
      </c>
      <c r="N297" s="718"/>
      <c r="O297" s="24">
        <f t="shared" si="54"/>
        <v>1</v>
      </c>
      <c r="P297" s="718"/>
      <c r="Q297" s="24">
        <f t="shared" si="55"/>
        <v>1</v>
      </c>
      <c r="R297" s="714">
        <f t="shared" si="56"/>
        <v>0</v>
      </c>
      <c r="S297" s="361">
        <f t="shared" si="47"/>
        <v>0</v>
      </c>
    </row>
    <row r="298" spans="1:19">
      <c r="A298" s="159"/>
      <c r="B298" s="59"/>
      <c r="C298" s="24">
        <f t="shared" si="48"/>
        <v>1</v>
      </c>
      <c r="D298" s="718"/>
      <c r="E298" s="24">
        <f t="shared" si="49"/>
        <v>0.02</v>
      </c>
      <c r="F298" s="718"/>
      <c r="G298" s="24">
        <f t="shared" si="50"/>
        <v>0.1</v>
      </c>
      <c r="H298" s="718"/>
      <c r="I298" s="24">
        <f t="shared" si="51"/>
        <v>0.05</v>
      </c>
      <c r="J298" s="718"/>
      <c r="K298" s="24">
        <f t="shared" si="52"/>
        <v>0.2</v>
      </c>
      <c r="L298" s="718"/>
      <c r="M298" s="24">
        <f t="shared" si="53"/>
        <v>1</v>
      </c>
      <c r="N298" s="718"/>
      <c r="O298" s="24">
        <f t="shared" si="54"/>
        <v>1</v>
      </c>
      <c r="P298" s="718"/>
      <c r="Q298" s="24">
        <f t="shared" si="55"/>
        <v>1</v>
      </c>
      <c r="R298" s="714">
        <f t="shared" si="56"/>
        <v>0</v>
      </c>
      <c r="S298" s="361">
        <f t="shared" si="47"/>
        <v>0</v>
      </c>
    </row>
    <row r="299" spans="1:19">
      <c r="A299" s="159"/>
      <c r="B299" s="59"/>
      <c r="C299" s="24">
        <f t="shared" si="48"/>
        <v>1</v>
      </c>
      <c r="D299" s="718"/>
      <c r="E299" s="24">
        <f t="shared" si="49"/>
        <v>0.02</v>
      </c>
      <c r="F299" s="718"/>
      <c r="G299" s="24">
        <f t="shared" si="50"/>
        <v>0.1</v>
      </c>
      <c r="H299" s="718"/>
      <c r="I299" s="24">
        <f t="shared" si="51"/>
        <v>0.05</v>
      </c>
      <c r="J299" s="718"/>
      <c r="K299" s="24">
        <f t="shared" si="52"/>
        <v>0.2</v>
      </c>
      <c r="L299" s="718"/>
      <c r="M299" s="24">
        <f t="shared" si="53"/>
        <v>1</v>
      </c>
      <c r="N299" s="718"/>
      <c r="O299" s="24">
        <f t="shared" si="54"/>
        <v>1</v>
      </c>
      <c r="P299" s="718"/>
      <c r="Q299" s="24">
        <f t="shared" si="55"/>
        <v>1</v>
      </c>
      <c r="R299" s="714">
        <f t="shared" si="56"/>
        <v>0</v>
      </c>
      <c r="S299" s="361">
        <f t="shared" si="47"/>
        <v>0</v>
      </c>
    </row>
    <row r="300" spans="1:19">
      <c r="A300" s="159"/>
      <c r="B300" s="59"/>
      <c r="C300" s="24">
        <f t="shared" si="48"/>
        <v>1</v>
      </c>
      <c r="D300" s="718"/>
      <c r="E300" s="24">
        <f t="shared" si="49"/>
        <v>0.02</v>
      </c>
      <c r="F300" s="718"/>
      <c r="G300" s="24">
        <f t="shared" si="50"/>
        <v>0.1</v>
      </c>
      <c r="H300" s="718"/>
      <c r="I300" s="24">
        <f t="shared" si="51"/>
        <v>0.05</v>
      </c>
      <c r="J300" s="718"/>
      <c r="K300" s="24">
        <f t="shared" si="52"/>
        <v>0.2</v>
      </c>
      <c r="L300" s="718"/>
      <c r="M300" s="24">
        <f t="shared" si="53"/>
        <v>1</v>
      </c>
      <c r="N300" s="718"/>
      <c r="O300" s="24">
        <f t="shared" si="54"/>
        <v>1</v>
      </c>
      <c r="P300" s="718"/>
      <c r="Q300" s="24">
        <f t="shared" si="55"/>
        <v>1</v>
      </c>
      <c r="R300" s="714">
        <f t="shared" si="56"/>
        <v>0</v>
      </c>
      <c r="S300" s="361">
        <f t="shared" si="47"/>
        <v>0</v>
      </c>
    </row>
    <row r="301" spans="1:19">
      <c r="A301" s="159"/>
      <c r="B301" s="59"/>
      <c r="C301" s="24">
        <f t="shared" si="48"/>
        <v>1</v>
      </c>
      <c r="D301" s="718"/>
      <c r="E301" s="24">
        <f t="shared" si="49"/>
        <v>0.02</v>
      </c>
      <c r="F301" s="718"/>
      <c r="G301" s="24">
        <f t="shared" si="50"/>
        <v>0.1</v>
      </c>
      <c r="H301" s="718"/>
      <c r="I301" s="24">
        <f t="shared" si="51"/>
        <v>0.05</v>
      </c>
      <c r="J301" s="718"/>
      <c r="K301" s="24">
        <f t="shared" si="52"/>
        <v>0.2</v>
      </c>
      <c r="L301" s="718"/>
      <c r="M301" s="24">
        <f t="shared" si="53"/>
        <v>1</v>
      </c>
      <c r="N301" s="718"/>
      <c r="O301" s="24">
        <f t="shared" si="54"/>
        <v>1</v>
      </c>
      <c r="P301" s="718"/>
      <c r="Q301" s="24">
        <f t="shared" si="55"/>
        <v>1</v>
      </c>
      <c r="R301" s="714">
        <f t="shared" si="56"/>
        <v>0</v>
      </c>
      <c r="S301" s="361">
        <f t="shared" si="47"/>
        <v>0</v>
      </c>
    </row>
    <row r="302" spans="1:19">
      <c r="A302" s="159"/>
      <c r="B302" s="59"/>
      <c r="C302" s="24">
        <f t="shared" si="48"/>
        <v>1</v>
      </c>
      <c r="D302" s="718"/>
      <c r="E302" s="24">
        <f t="shared" si="49"/>
        <v>0.02</v>
      </c>
      <c r="F302" s="718"/>
      <c r="G302" s="24">
        <f t="shared" si="50"/>
        <v>0.1</v>
      </c>
      <c r="H302" s="718"/>
      <c r="I302" s="24">
        <f t="shared" si="51"/>
        <v>0.05</v>
      </c>
      <c r="J302" s="718"/>
      <c r="K302" s="24">
        <f t="shared" si="52"/>
        <v>0.2</v>
      </c>
      <c r="L302" s="718"/>
      <c r="M302" s="24">
        <f t="shared" si="53"/>
        <v>1</v>
      </c>
      <c r="N302" s="718"/>
      <c r="O302" s="24">
        <f t="shared" si="54"/>
        <v>1</v>
      </c>
      <c r="P302" s="718"/>
      <c r="Q302" s="24">
        <f t="shared" si="55"/>
        <v>1</v>
      </c>
      <c r="R302" s="714">
        <f t="shared" si="56"/>
        <v>0</v>
      </c>
      <c r="S302" s="361">
        <f t="shared" si="47"/>
        <v>0</v>
      </c>
    </row>
    <row r="303" spans="1:19">
      <c r="A303" s="159"/>
      <c r="B303" s="59"/>
      <c r="C303" s="24">
        <f t="shared" si="48"/>
        <v>1</v>
      </c>
      <c r="D303" s="718"/>
      <c r="E303" s="24">
        <f t="shared" si="49"/>
        <v>0.02</v>
      </c>
      <c r="F303" s="718"/>
      <c r="G303" s="24">
        <f t="shared" si="50"/>
        <v>0.1</v>
      </c>
      <c r="H303" s="718"/>
      <c r="I303" s="24">
        <f t="shared" si="51"/>
        <v>0.05</v>
      </c>
      <c r="J303" s="718"/>
      <c r="K303" s="24">
        <f t="shared" si="52"/>
        <v>0.2</v>
      </c>
      <c r="L303" s="718"/>
      <c r="M303" s="24">
        <f t="shared" si="53"/>
        <v>1</v>
      </c>
      <c r="N303" s="718"/>
      <c r="O303" s="24">
        <f t="shared" si="54"/>
        <v>1</v>
      </c>
      <c r="P303" s="718"/>
      <c r="Q303" s="24">
        <f t="shared" si="55"/>
        <v>1</v>
      </c>
      <c r="R303" s="714">
        <f t="shared" si="56"/>
        <v>0</v>
      </c>
      <c r="S303" s="361">
        <f t="shared" si="47"/>
        <v>0</v>
      </c>
    </row>
    <row r="304" spans="1:19">
      <c r="A304" s="159"/>
      <c r="B304" s="59"/>
      <c r="C304" s="24">
        <f t="shared" si="48"/>
        <v>1</v>
      </c>
      <c r="D304" s="718"/>
      <c r="E304" s="24">
        <f t="shared" si="49"/>
        <v>0.02</v>
      </c>
      <c r="F304" s="718"/>
      <c r="G304" s="24">
        <f t="shared" si="50"/>
        <v>0.1</v>
      </c>
      <c r="H304" s="718"/>
      <c r="I304" s="24">
        <f t="shared" si="51"/>
        <v>0.05</v>
      </c>
      <c r="J304" s="718"/>
      <c r="K304" s="24">
        <f t="shared" si="52"/>
        <v>0.2</v>
      </c>
      <c r="L304" s="718"/>
      <c r="M304" s="24">
        <f t="shared" si="53"/>
        <v>1</v>
      </c>
      <c r="N304" s="718"/>
      <c r="O304" s="24">
        <f t="shared" si="54"/>
        <v>1</v>
      </c>
      <c r="P304" s="718"/>
      <c r="Q304" s="24">
        <f t="shared" si="55"/>
        <v>1</v>
      </c>
      <c r="R304" s="714">
        <f t="shared" si="56"/>
        <v>0</v>
      </c>
      <c r="S304" s="361">
        <f t="shared" si="47"/>
        <v>0</v>
      </c>
    </row>
    <row r="305" spans="1:19">
      <c r="A305" s="159"/>
      <c r="B305" s="59"/>
      <c r="C305" s="24">
        <f t="shared" si="48"/>
        <v>1</v>
      </c>
      <c r="D305" s="718"/>
      <c r="E305" s="24">
        <f t="shared" si="49"/>
        <v>0.02</v>
      </c>
      <c r="F305" s="718"/>
      <c r="G305" s="24">
        <f t="shared" si="50"/>
        <v>0.1</v>
      </c>
      <c r="H305" s="718"/>
      <c r="I305" s="24">
        <f t="shared" si="51"/>
        <v>0.05</v>
      </c>
      <c r="J305" s="718"/>
      <c r="K305" s="24">
        <f t="shared" si="52"/>
        <v>0.2</v>
      </c>
      <c r="L305" s="718"/>
      <c r="M305" s="24">
        <f t="shared" si="53"/>
        <v>1</v>
      </c>
      <c r="N305" s="718"/>
      <c r="O305" s="24">
        <f t="shared" si="54"/>
        <v>1</v>
      </c>
      <c r="P305" s="718"/>
      <c r="Q305" s="24">
        <f t="shared" si="55"/>
        <v>1</v>
      </c>
      <c r="R305" s="714">
        <f t="shared" si="56"/>
        <v>0</v>
      </c>
      <c r="S305" s="361">
        <f t="shared" si="47"/>
        <v>0</v>
      </c>
    </row>
    <row r="306" spans="1:19">
      <c r="A306" s="159"/>
      <c r="B306" s="59"/>
      <c r="C306" s="24">
        <f t="shared" si="48"/>
        <v>1</v>
      </c>
      <c r="D306" s="718"/>
      <c r="E306" s="24">
        <f t="shared" si="49"/>
        <v>0.02</v>
      </c>
      <c r="F306" s="718"/>
      <c r="G306" s="24">
        <f t="shared" si="50"/>
        <v>0.1</v>
      </c>
      <c r="H306" s="718"/>
      <c r="I306" s="24">
        <f t="shared" si="51"/>
        <v>0.05</v>
      </c>
      <c r="J306" s="718"/>
      <c r="K306" s="24">
        <f t="shared" si="52"/>
        <v>0.2</v>
      </c>
      <c r="L306" s="718"/>
      <c r="M306" s="24">
        <f t="shared" si="53"/>
        <v>1</v>
      </c>
      <c r="N306" s="718"/>
      <c r="O306" s="24">
        <f t="shared" si="54"/>
        <v>1</v>
      </c>
      <c r="P306" s="718"/>
      <c r="Q306" s="24">
        <f t="shared" si="55"/>
        <v>1</v>
      </c>
      <c r="R306" s="714">
        <f t="shared" si="56"/>
        <v>0</v>
      </c>
      <c r="S306" s="361">
        <f t="shared" si="47"/>
        <v>0</v>
      </c>
    </row>
    <row r="307" spans="1:19">
      <c r="A307" s="159"/>
      <c r="B307" s="59"/>
      <c r="C307" s="24">
        <f t="shared" si="48"/>
        <v>1</v>
      </c>
      <c r="D307" s="718"/>
      <c r="E307" s="24">
        <f t="shared" si="49"/>
        <v>0.02</v>
      </c>
      <c r="F307" s="718"/>
      <c r="G307" s="24">
        <f t="shared" si="50"/>
        <v>0.1</v>
      </c>
      <c r="H307" s="718"/>
      <c r="I307" s="24">
        <f t="shared" si="51"/>
        <v>0.05</v>
      </c>
      <c r="J307" s="718"/>
      <c r="K307" s="24">
        <f t="shared" si="52"/>
        <v>0.2</v>
      </c>
      <c r="L307" s="718"/>
      <c r="M307" s="24">
        <f t="shared" si="53"/>
        <v>1</v>
      </c>
      <c r="N307" s="718"/>
      <c r="O307" s="24">
        <f t="shared" si="54"/>
        <v>1</v>
      </c>
      <c r="P307" s="718"/>
      <c r="Q307" s="24">
        <f t="shared" si="55"/>
        <v>1</v>
      </c>
      <c r="R307" s="714">
        <f t="shared" si="56"/>
        <v>0</v>
      </c>
      <c r="S307" s="361">
        <f t="shared" si="47"/>
        <v>0</v>
      </c>
    </row>
    <row r="308" spans="1:19">
      <c r="A308" s="159"/>
      <c r="B308" s="59"/>
      <c r="C308" s="24">
        <f t="shared" si="48"/>
        <v>1</v>
      </c>
      <c r="D308" s="718"/>
      <c r="E308" s="24">
        <f t="shared" si="49"/>
        <v>0.02</v>
      </c>
      <c r="F308" s="718"/>
      <c r="G308" s="24">
        <f t="shared" si="50"/>
        <v>0.1</v>
      </c>
      <c r="H308" s="718"/>
      <c r="I308" s="24">
        <f t="shared" si="51"/>
        <v>0.05</v>
      </c>
      <c r="J308" s="718"/>
      <c r="K308" s="24">
        <f t="shared" si="52"/>
        <v>0.2</v>
      </c>
      <c r="L308" s="718"/>
      <c r="M308" s="24">
        <f t="shared" si="53"/>
        <v>1</v>
      </c>
      <c r="N308" s="718"/>
      <c r="O308" s="24">
        <f t="shared" si="54"/>
        <v>1</v>
      </c>
      <c r="P308" s="718"/>
      <c r="Q308" s="24">
        <f t="shared" si="55"/>
        <v>1</v>
      </c>
      <c r="R308" s="714">
        <f t="shared" si="56"/>
        <v>0</v>
      </c>
      <c r="S308" s="361">
        <f t="shared" si="47"/>
        <v>0</v>
      </c>
    </row>
    <row r="309" spans="1:19">
      <c r="A309" s="159"/>
      <c r="B309" s="59"/>
      <c r="C309" s="24">
        <f t="shared" si="48"/>
        <v>1</v>
      </c>
      <c r="D309" s="718"/>
      <c r="E309" s="24">
        <f t="shared" si="49"/>
        <v>0.02</v>
      </c>
      <c r="F309" s="718"/>
      <c r="G309" s="24">
        <f t="shared" si="50"/>
        <v>0.1</v>
      </c>
      <c r="H309" s="718"/>
      <c r="I309" s="24">
        <f t="shared" si="51"/>
        <v>0.05</v>
      </c>
      <c r="J309" s="718"/>
      <c r="K309" s="24">
        <f t="shared" si="52"/>
        <v>0.2</v>
      </c>
      <c r="L309" s="718"/>
      <c r="M309" s="24">
        <f t="shared" si="53"/>
        <v>1</v>
      </c>
      <c r="N309" s="718"/>
      <c r="O309" s="24">
        <f t="shared" si="54"/>
        <v>1</v>
      </c>
      <c r="P309" s="718"/>
      <c r="Q309" s="24">
        <f t="shared" si="55"/>
        <v>1</v>
      </c>
      <c r="R309" s="714">
        <f t="shared" si="56"/>
        <v>0</v>
      </c>
      <c r="S309" s="361">
        <f t="shared" si="47"/>
        <v>0</v>
      </c>
    </row>
    <row r="310" spans="1:19">
      <c r="A310" s="159"/>
      <c r="B310" s="59"/>
      <c r="C310" s="24">
        <f t="shared" si="48"/>
        <v>1</v>
      </c>
      <c r="D310" s="718"/>
      <c r="E310" s="24">
        <f t="shared" si="49"/>
        <v>0.02</v>
      </c>
      <c r="F310" s="718"/>
      <c r="G310" s="24">
        <f t="shared" si="50"/>
        <v>0.1</v>
      </c>
      <c r="H310" s="718"/>
      <c r="I310" s="24">
        <f t="shared" si="51"/>
        <v>0.05</v>
      </c>
      <c r="J310" s="718"/>
      <c r="K310" s="24">
        <f t="shared" si="52"/>
        <v>0.2</v>
      </c>
      <c r="L310" s="718"/>
      <c r="M310" s="24">
        <f t="shared" si="53"/>
        <v>1</v>
      </c>
      <c r="N310" s="718"/>
      <c r="O310" s="24">
        <f t="shared" si="54"/>
        <v>1</v>
      </c>
      <c r="P310" s="718"/>
      <c r="Q310" s="24">
        <f t="shared" si="55"/>
        <v>1</v>
      </c>
      <c r="R310" s="714">
        <f t="shared" si="56"/>
        <v>0</v>
      </c>
      <c r="S310" s="361">
        <f t="shared" si="47"/>
        <v>0</v>
      </c>
    </row>
    <row r="311" spans="1:19">
      <c r="A311" s="159"/>
      <c r="B311" s="59"/>
      <c r="C311" s="24">
        <f t="shared" si="48"/>
        <v>1</v>
      </c>
      <c r="D311" s="718"/>
      <c r="E311" s="24">
        <f t="shared" si="49"/>
        <v>0.02</v>
      </c>
      <c r="F311" s="718"/>
      <c r="G311" s="24">
        <f t="shared" si="50"/>
        <v>0.1</v>
      </c>
      <c r="H311" s="718"/>
      <c r="I311" s="24">
        <f t="shared" si="51"/>
        <v>0.05</v>
      </c>
      <c r="J311" s="718"/>
      <c r="K311" s="24">
        <f t="shared" si="52"/>
        <v>0.2</v>
      </c>
      <c r="L311" s="718"/>
      <c r="M311" s="24">
        <f t="shared" si="53"/>
        <v>1</v>
      </c>
      <c r="N311" s="718"/>
      <c r="O311" s="24">
        <f t="shared" si="54"/>
        <v>1</v>
      </c>
      <c r="P311" s="718"/>
      <c r="Q311" s="24">
        <f t="shared" si="55"/>
        <v>1</v>
      </c>
      <c r="R311" s="714">
        <f t="shared" si="56"/>
        <v>0</v>
      </c>
      <c r="S311" s="361">
        <f t="shared" si="47"/>
        <v>0</v>
      </c>
    </row>
    <row r="312" spans="1:19">
      <c r="A312" s="159"/>
      <c r="B312" s="59"/>
      <c r="C312" s="24">
        <f t="shared" si="48"/>
        <v>1</v>
      </c>
      <c r="D312" s="718"/>
      <c r="E312" s="24">
        <f t="shared" si="49"/>
        <v>0.02</v>
      </c>
      <c r="F312" s="718"/>
      <c r="G312" s="24">
        <f t="shared" si="50"/>
        <v>0.1</v>
      </c>
      <c r="H312" s="718"/>
      <c r="I312" s="24">
        <f t="shared" si="51"/>
        <v>0.05</v>
      </c>
      <c r="J312" s="718"/>
      <c r="K312" s="24">
        <f t="shared" si="52"/>
        <v>0.2</v>
      </c>
      <c r="L312" s="718"/>
      <c r="M312" s="24">
        <f t="shared" si="53"/>
        <v>1</v>
      </c>
      <c r="N312" s="718"/>
      <c r="O312" s="24">
        <f t="shared" si="54"/>
        <v>1</v>
      </c>
      <c r="P312" s="718"/>
      <c r="Q312" s="24">
        <f t="shared" si="55"/>
        <v>1</v>
      </c>
      <c r="R312" s="714">
        <f t="shared" si="56"/>
        <v>0</v>
      </c>
      <c r="S312" s="361">
        <f t="shared" si="47"/>
        <v>0</v>
      </c>
    </row>
    <row r="313" spans="1:19">
      <c r="A313" s="159"/>
      <c r="B313" s="59"/>
      <c r="C313" s="24">
        <f t="shared" si="48"/>
        <v>1</v>
      </c>
      <c r="D313" s="718"/>
      <c r="E313" s="24">
        <f t="shared" si="49"/>
        <v>0.02</v>
      </c>
      <c r="F313" s="718"/>
      <c r="G313" s="24">
        <f t="shared" si="50"/>
        <v>0.1</v>
      </c>
      <c r="H313" s="718"/>
      <c r="I313" s="24">
        <f t="shared" si="51"/>
        <v>0.05</v>
      </c>
      <c r="J313" s="718"/>
      <c r="K313" s="24">
        <f t="shared" si="52"/>
        <v>0.2</v>
      </c>
      <c r="L313" s="718"/>
      <c r="M313" s="24">
        <f t="shared" si="53"/>
        <v>1</v>
      </c>
      <c r="N313" s="718"/>
      <c r="O313" s="24">
        <f t="shared" si="54"/>
        <v>1</v>
      </c>
      <c r="P313" s="718"/>
      <c r="Q313" s="24">
        <f t="shared" si="55"/>
        <v>1</v>
      </c>
      <c r="R313" s="714">
        <f t="shared" si="56"/>
        <v>0</v>
      </c>
      <c r="S313" s="361">
        <f t="shared" si="47"/>
        <v>0</v>
      </c>
    </row>
    <row r="314" spans="1:19">
      <c r="A314" s="159"/>
      <c r="B314" s="59"/>
      <c r="C314" s="24">
        <f t="shared" si="48"/>
        <v>1</v>
      </c>
      <c r="D314" s="718"/>
      <c r="E314" s="24">
        <f t="shared" si="49"/>
        <v>0.02</v>
      </c>
      <c r="F314" s="718"/>
      <c r="G314" s="24">
        <f t="shared" si="50"/>
        <v>0.1</v>
      </c>
      <c r="H314" s="718"/>
      <c r="I314" s="24">
        <f t="shared" si="51"/>
        <v>0.05</v>
      </c>
      <c r="J314" s="718"/>
      <c r="K314" s="24">
        <f t="shared" si="52"/>
        <v>0.2</v>
      </c>
      <c r="L314" s="718"/>
      <c r="M314" s="24">
        <f t="shared" si="53"/>
        <v>1</v>
      </c>
      <c r="N314" s="718"/>
      <c r="O314" s="24">
        <f t="shared" si="54"/>
        <v>1</v>
      </c>
      <c r="P314" s="718"/>
      <c r="Q314" s="24">
        <f t="shared" si="55"/>
        <v>1</v>
      </c>
      <c r="R314" s="714">
        <f t="shared" si="56"/>
        <v>0</v>
      </c>
      <c r="S314" s="361">
        <f t="shared" si="47"/>
        <v>0</v>
      </c>
    </row>
    <row r="315" spans="1:19">
      <c r="A315" s="159"/>
      <c r="B315" s="59"/>
      <c r="C315" s="24">
        <f t="shared" si="48"/>
        <v>1</v>
      </c>
      <c r="D315" s="718"/>
      <c r="E315" s="24">
        <f t="shared" si="49"/>
        <v>0.02</v>
      </c>
      <c r="F315" s="718"/>
      <c r="G315" s="24">
        <f t="shared" si="50"/>
        <v>0.1</v>
      </c>
      <c r="H315" s="718"/>
      <c r="I315" s="24">
        <f t="shared" si="51"/>
        <v>0.05</v>
      </c>
      <c r="J315" s="718"/>
      <c r="K315" s="24">
        <f t="shared" si="52"/>
        <v>0.2</v>
      </c>
      <c r="L315" s="718"/>
      <c r="M315" s="24">
        <f t="shared" si="53"/>
        <v>1</v>
      </c>
      <c r="N315" s="718"/>
      <c r="O315" s="24">
        <f t="shared" si="54"/>
        <v>1</v>
      </c>
      <c r="P315" s="718"/>
      <c r="Q315" s="24">
        <f t="shared" si="55"/>
        <v>1</v>
      </c>
      <c r="R315" s="714">
        <f t="shared" si="56"/>
        <v>0</v>
      </c>
      <c r="S315" s="361">
        <f t="shared" si="47"/>
        <v>0</v>
      </c>
    </row>
    <row r="316" spans="1:19">
      <c r="A316" s="159"/>
      <c r="B316" s="59"/>
      <c r="C316" s="24">
        <f t="shared" si="48"/>
        <v>1</v>
      </c>
      <c r="D316" s="718"/>
      <c r="E316" s="24">
        <f t="shared" si="49"/>
        <v>0.02</v>
      </c>
      <c r="F316" s="718"/>
      <c r="G316" s="24">
        <f t="shared" si="50"/>
        <v>0.1</v>
      </c>
      <c r="H316" s="718"/>
      <c r="I316" s="24">
        <f t="shared" si="51"/>
        <v>0.05</v>
      </c>
      <c r="J316" s="718"/>
      <c r="K316" s="24">
        <f t="shared" si="52"/>
        <v>0.2</v>
      </c>
      <c r="L316" s="718"/>
      <c r="M316" s="24">
        <f t="shared" si="53"/>
        <v>1</v>
      </c>
      <c r="N316" s="718"/>
      <c r="O316" s="24">
        <f t="shared" si="54"/>
        <v>1</v>
      </c>
      <c r="P316" s="718"/>
      <c r="Q316" s="24">
        <f t="shared" si="55"/>
        <v>1</v>
      </c>
      <c r="R316" s="714">
        <f t="shared" si="56"/>
        <v>0</v>
      </c>
      <c r="S316" s="361">
        <f t="shared" si="47"/>
        <v>0</v>
      </c>
    </row>
    <row r="317" spans="1:19">
      <c r="A317" s="159"/>
      <c r="B317" s="59"/>
      <c r="C317" s="24">
        <f t="shared" si="48"/>
        <v>1</v>
      </c>
      <c r="D317" s="718"/>
      <c r="E317" s="24">
        <f t="shared" si="49"/>
        <v>0.02</v>
      </c>
      <c r="F317" s="718"/>
      <c r="G317" s="24">
        <f t="shared" si="50"/>
        <v>0.1</v>
      </c>
      <c r="H317" s="718"/>
      <c r="I317" s="24">
        <f t="shared" si="51"/>
        <v>0.05</v>
      </c>
      <c r="J317" s="718"/>
      <c r="K317" s="24">
        <f t="shared" si="52"/>
        <v>0.2</v>
      </c>
      <c r="L317" s="718"/>
      <c r="M317" s="24">
        <f t="shared" si="53"/>
        <v>1</v>
      </c>
      <c r="N317" s="718"/>
      <c r="O317" s="24">
        <f t="shared" si="54"/>
        <v>1</v>
      </c>
      <c r="P317" s="718"/>
      <c r="Q317" s="24">
        <f t="shared" si="55"/>
        <v>1</v>
      </c>
      <c r="R317" s="714">
        <f t="shared" si="56"/>
        <v>0</v>
      </c>
      <c r="S317" s="361">
        <f t="shared" si="47"/>
        <v>0</v>
      </c>
    </row>
    <row r="318" spans="1:19">
      <c r="A318" s="159"/>
      <c r="B318" s="59"/>
      <c r="C318" s="24">
        <f t="shared" si="48"/>
        <v>1</v>
      </c>
      <c r="D318" s="718"/>
      <c r="E318" s="24">
        <f t="shared" si="49"/>
        <v>0.02</v>
      </c>
      <c r="F318" s="718"/>
      <c r="G318" s="24">
        <f t="shared" si="50"/>
        <v>0.1</v>
      </c>
      <c r="H318" s="718"/>
      <c r="I318" s="24">
        <f t="shared" si="51"/>
        <v>0.05</v>
      </c>
      <c r="J318" s="718"/>
      <c r="K318" s="24">
        <f t="shared" si="52"/>
        <v>0.2</v>
      </c>
      <c r="L318" s="718"/>
      <c r="M318" s="24">
        <f t="shared" si="53"/>
        <v>1</v>
      </c>
      <c r="N318" s="718"/>
      <c r="O318" s="24">
        <f t="shared" si="54"/>
        <v>1</v>
      </c>
      <c r="P318" s="718"/>
      <c r="Q318" s="24">
        <f t="shared" si="55"/>
        <v>1</v>
      </c>
      <c r="R318" s="714">
        <f t="shared" si="56"/>
        <v>0</v>
      </c>
      <c r="S318" s="361">
        <f t="shared" si="47"/>
        <v>0</v>
      </c>
    </row>
    <row r="319" spans="1:19">
      <c r="A319" s="159"/>
      <c r="B319" s="59"/>
      <c r="C319" s="24">
        <f t="shared" si="48"/>
        <v>1</v>
      </c>
      <c r="D319" s="718"/>
      <c r="E319" s="24">
        <f t="shared" si="49"/>
        <v>0.02</v>
      </c>
      <c r="F319" s="718"/>
      <c r="G319" s="24">
        <f t="shared" si="50"/>
        <v>0.1</v>
      </c>
      <c r="H319" s="718"/>
      <c r="I319" s="24">
        <f t="shared" si="51"/>
        <v>0.05</v>
      </c>
      <c r="J319" s="718"/>
      <c r="K319" s="24">
        <f t="shared" si="52"/>
        <v>0.2</v>
      </c>
      <c r="L319" s="718"/>
      <c r="M319" s="24">
        <f t="shared" si="53"/>
        <v>1</v>
      </c>
      <c r="N319" s="718"/>
      <c r="O319" s="24">
        <f t="shared" si="54"/>
        <v>1</v>
      </c>
      <c r="P319" s="718"/>
      <c r="Q319" s="24">
        <f t="shared" si="55"/>
        <v>1</v>
      </c>
      <c r="R319" s="714">
        <f t="shared" si="56"/>
        <v>0</v>
      </c>
      <c r="S319" s="361">
        <f t="shared" si="47"/>
        <v>0</v>
      </c>
    </row>
    <row r="320" spans="1:19">
      <c r="A320" s="159"/>
      <c r="B320" s="59"/>
      <c r="C320" s="24">
        <f t="shared" si="48"/>
        <v>1</v>
      </c>
      <c r="D320" s="718"/>
      <c r="E320" s="24">
        <f t="shared" si="49"/>
        <v>0.02</v>
      </c>
      <c r="F320" s="718"/>
      <c r="G320" s="24">
        <f t="shared" si="50"/>
        <v>0.1</v>
      </c>
      <c r="H320" s="718"/>
      <c r="I320" s="24">
        <f t="shared" si="51"/>
        <v>0.05</v>
      </c>
      <c r="J320" s="718"/>
      <c r="K320" s="24">
        <f t="shared" si="52"/>
        <v>0.2</v>
      </c>
      <c r="L320" s="718"/>
      <c r="M320" s="24">
        <f t="shared" si="53"/>
        <v>1</v>
      </c>
      <c r="N320" s="718"/>
      <c r="O320" s="24">
        <f t="shared" si="54"/>
        <v>1</v>
      </c>
      <c r="P320" s="718"/>
      <c r="Q320" s="24">
        <f t="shared" si="55"/>
        <v>1</v>
      </c>
      <c r="R320" s="714">
        <f t="shared" si="56"/>
        <v>0</v>
      </c>
      <c r="S320" s="361">
        <f t="shared" si="47"/>
        <v>0</v>
      </c>
    </row>
    <row r="321" spans="1:19">
      <c r="A321" s="159"/>
      <c r="B321" s="59"/>
      <c r="C321" s="24">
        <f t="shared" si="48"/>
        <v>1</v>
      </c>
      <c r="D321" s="718"/>
      <c r="E321" s="24">
        <f t="shared" si="49"/>
        <v>0.02</v>
      </c>
      <c r="F321" s="718"/>
      <c r="G321" s="24">
        <f t="shared" si="50"/>
        <v>0.1</v>
      </c>
      <c r="H321" s="718"/>
      <c r="I321" s="24">
        <f t="shared" si="51"/>
        <v>0.05</v>
      </c>
      <c r="J321" s="718"/>
      <c r="K321" s="24">
        <f t="shared" si="52"/>
        <v>0.2</v>
      </c>
      <c r="L321" s="718"/>
      <c r="M321" s="24">
        <f t="shared" si="53"/>
        <v>1</v>
      </c>
      <c r="N321" s="718"/>
      <c r="O321" s="24">
        <f t="shared" si="54"/>
        <v>1</v>
      </c>
      <c r="P321" s="718"/>
      <c r="Q321" s="24">
        <f t="shared" si="55"/>
        <v>1</v>
      </c>
      <c r="R321" s="714">
        <f t="shared" si="56"/>
        <v>0</v>
      </c>
      <c r="S321" s="361">
        <f t="shared" si="47"/>
        <v>0</v>
      </c>
    </row>
    <row r="322" spans="1:19">
      <c r="A322" s="159"/>
      <c r="B322" s="59"/>
      <c r="C322" s="24">
        <f t="shared" si="48"/>
        <v>1</v>
      </c>
      <c r="D322" s="718"/>
      <c r="E322" s="24">
        <f t="shared" si="49"/>
        <v>0.02</v>
      </c>
      <c r="F322" s="718"/>
      <c r="G322" s="24">
        <f t="shared" si="50"/>
        <v>0.1</v>
      </c>
      <c r="H322" s="718"/>
      <c r="I322" s="24">
        <f t="shared" si="51"/>
        <v>0.05</v>
      </c>
      <c r="J322" s="718"/>
      <c r="K322" s="24">
        <f t="shared" si="52"/>
        <v>0.2</v>
      </c>
      <c r="L322" s="718"/>
      <c r="M322" s="24">
        <f t="shared" si="53"/>
        <v>1</v>
      </c>
      <c r="N322" s="718"/>
      <c r="O322" s="24">
        <f t="shared" si="54"/>
        <v>1</v>
      </c>
      <c r="P322" s="718"/>
      <c r="Q322" s="24">
        <f t="shared" si="55"/>
        <v>1</v>
      </c>
      <c r="R322" s="714">
        <f t="shared" si="56"/>
        <v>0</v>
      </c>
      <c r="S322" s="361">
        <f t="shared" si="47"/>
        <v>0</v>
      </c>
    </row>
    <row r="323" spans="1:19">
      <c r="A323" s="159"/>
      <c r="B323" s="59"/>
      <c r="C323" s="24">
        <f t="shared" si="48"/>
        <v>1</v>
      </c>
      <c r="D323" s="718"/>
      <c r="E323" s="24">
        <f t="shared" si="49"/>
        <v>0.02</v>
      </c>
      <c r="F323" s="718"/>
      <c r="G323" s="24">
        <f t="shared" si="50"/>
        <v>0.1</v>
      </c>
      <c r="H323" s="718"/>
      <c r="I323" s="24">
        <f t="shared" si="51"/>
        <v>0.05</v>
      </c>
      <c r="J323" s="718"/>
      <c r="K323" s="24">
        <f t="shared" si="52"/>
        <v>0.2</v>
      </c>
      <c r="L323" s="718"/>
      <c r="M323" s="24">
        <f t="shared" si="53"/>
        <v>1</v>
      </c>
      <c r="N323" s="718"/>
      <c r="O323" s="24">
        <f t="shared" si="54"/>
        <v>1</v>
      </c>
      <c r="P323" s="718"/>
      <c r="Q323" s="24">
        <f t="shared" si="55"/>
        <v>1</v>
      </c>
      <c r="R323" s="714">
        <f t="shared" si="56"/>
        <v>0</v>
      </c>
      <c r="S323" s="361">
        <f t="shared" si="47"/>
        <v>0</v>
      </c>
    </row>
    <row r="324" spans="1:19">
      <c r="A324" s="159"/>
      <c r="B324" s="59"/>
      <c r="C324" s="24">
        <f t="shared" si="48"/>
        <v>1</v>
      </c>
      <c r="D324" s="718"/>
      <c r="E324" s="24">
        <f t="shared" si="49"/>
        <v>0.02</v>
      </c>
      <c r="F324" s="718"/>
      <c r="G324" s="24">
        <f t="shared" si="50"/>
        <v>0.1</v>
      </c>
      <c r="H324" s="718"/>
      <c r="I324" s="24">
        <f t="shared" si="51"/>
        <v>0.05</v>
      </c>
      <c r="J324" s="718"/>
      <c r="K324" s="24">
        <f t="shared" si="52"/>
        <v>0.2</v>
      </c>
      <c r="L324" s="718"/>
      <c r="M324" s="24">
        <f t="shared" si="53"/>
        <v>1</v>
      </c>
      <c r="N324" s="718"/>
      <c r="O324" s="24">
        <f t="shared" si="54"/>
        <v>1</v>
      </c>
      <c r="P324" s="718"/>
      <c r="Q324" s="24">
        <f t="shared" si="55"/>
        <v>1</v>
      </c>
      <c r="R324" s="714">
        <f t="shared" si="56"/>
        <v>0</v>
      </c>
      <c r="S324" s="361">
        <f t="shared" si="47"/>
        <v>0</v>
      </c>
    </row>
    <row r="325" spans="1:19">
      <c r="A325" s="159"/>
      <c r="B325" s="59"/>
      <c r="C325" s="24">
        <f t="shared" si="48"/>
        <v>1</v>
      </c>
      <c r="D325" s="718"/>
      <c r="E325" s="24">
        <f t="shared" si="49"/>
        <v>0.02</v>
      </c>
      <c r="F325" s="718"/>
      <c r="G325" s="24">
        <f t="shared" si="50"/>
        <v>0.1</v>
      </c>
      <c r="H325" s="718"/>
      <c r="I325" s="24">
        <f t="shared" si="51"/>
        <v>0.05</v>
      </c>
      <c r="J325" s="718"/>
      <c r="K325" s="24">
        <f t="shared" si="52"/>
        <v>0.2</v>
      </c>
      <c r="L325" s="718"/>
      <c r="M325" s="24">
        <f t="shared" si="53"/>
        <v>1</v>
      </c>
      <c r="N325" s="718"/>
      <c r="O325" s="24">
        <f t="shared" si="54"/>
        <v>1</v>
      </c>
      <c r="P325" s="718"/>
      <c r="Q325" s="24">
        <f t="shared" si="55"/>
        <v>1</v>
      </c>
      <c r="R325" s="714">
        <f t="shared" si="56"/>
        <v>0</v>
      </c>
      <c r="S325" s="361">
        <f t="shared" si="47"/>
        <v>0</v>
      </c>
    </row>
    <row r="326" spans="1:19">
      <c r="A326" s="159"/>
      <c r="B326" s="59"/>
      <c r="C326" s="24">
        <f t="shared" si="48"/>
        <v>1</v>
      </c>
      <c r="D326" s="718"/>
      <c r="E326" s="24">
        <f t="shared" si="49"/>
        <v>0.02</v>
      </c>
      <c r="F326" s="718"/>
      <c r="G326" s="24">
        <f t="shared" si="50"/>
        <v>0.1</v>
      </c>
      <c r="H326" s="718"/>
      <c r="I326" s="24">
        <f t="shared" si="51"/>
        <v>0.05</v>
      </c>
      <c r="J326" s="718"/>
      <c r="K326" s="24">
        <f t="shared" si="52"/>
        <v>0.2</v>
      </c>
      <c r="L326" s="718"/>
      <c r="M326" s="24">
        <f t="shared" si="53"/>
        <v>1</v>
      </c>
      <c r="N326" s="718"/>
      <c r="O326" s="24">
        <f t="shared" si="54"/>
        <v>1</v>
      </c>
      <c r="P326" s="718"/>
      <c r="Q326" s="24">
        <f t="shared" si="55"/>
        <v>1</v>
      </c>
      <c r="R326" s="714">
        <f t="shared" si="56"/>
        <v>0</v>
      </c>
      <c r="S326" s="361">
        <f t="shared" si="47"/>
        <v>0</v>
      </c>
    </row>
    <row r="327" spans="1:19">
      <c r="A327" s="159"/>
      <c r="B327" s="59"/>
      <c r="C327" s="24">
        <f t="shared" si="48"/>
        <v>1</v>
      </c>
      <c r="D327" s="718"/>
      <c r="E327" s="24">
        <f t="shared" si="49"/>
        <v>0.02</v>
      </c>
      <c r="F327" s="718"/>
      <c r="G327" s="24">
        <f t="shared" si="50"/>
        <v>0.1</v>
      </c>
      <c r="H327" s="718"/>
      <c r="I327" s="24">
        <f t="shared" si="51"/>
        <v>0.05</v>
      </c>
      <c r="J327" s="718"/>
      <c r="K327" s="24">
        <f t="shared" si="52"/>
        <v>0.2</v>
      </c>
      <c r="L327" s="718"/>
      <c r="M327" s="24">
        <f t="shared" si="53"/>
        <v>1</v>
      </c>
      <c r="N327" s="718"/>
      <c r="O327" s="24">
        <f t="shared" si="54"/>
        <v>1</v>
      </c>
      <c r="P327" s="718"/>
      <c r="Q327" s="24">
        <f t="shared" si="55"/>
        <v>1</v>
      </c>
      <c r="R327" s="714">
        <f t="shared" si="56"/>
        <v>0</v>
      </c>
      <c r="S327" s="361">
        <f t="shared" si="47"/>
        <v>0</v>
      </c>
    </row>
    <row r="328" spans="1:19">
      <c r="A328" s="159"/>
      <c r="B328" s="59"/>
      <c r="C328" s="24">
        <f t="shared" si="48"/>
        <v>1</v>
      </c>
      <c r="D328" s="718"/>
      <c r="E328" s="24">
        <f t="shared" si="49"/>
        <v>0.02</v>
      </c>
      <c r="F328" s="718"/>
      <c r="G328" s="24">
        <f t="shared" si="50"/>
        <v>0.1</v>
      </c>
      <c r="H328" s="718"/>
      <c r="I328" s="24">
        <f t="shared" si="51"/>
        <v>0.05</v>
      </c>
      <c r="J328" s="718"/>
      <c r="K328" s="24">
        <f t="shared" si="52"/>
        <v>0.2</v>
      </c>
      <c r="L328" s="718"/>
      <c r="M328" s="24">
        <f t="shared" si="53"/>
        <v>1</v>
      </c>
      <c r="N328" s="718"/>
      <c r="O328" s="24">
        <f t="shared" si="54"/>
        <v>1</v>
      </c>
      <c r="P328" s="718"/>
      <c r="Q328" s="24">
        <f t="shared" si="55"/>
        <v>1</v>
      </c>
      <c r="R328" s="714">
        <f t="shared" si="56"/>
        <v>0</v>
      </c>
      <c r="S328" s="361">
        <f t="shared" si="47"/>
        <v>0</v>
      </c>
    </row>
    <row r="329" spans="1:19">
      <c r="A329" s="159"/>
      <c r="B329" s="59"/>
      <c r="C329" s="24">
        <f t="shared" si="48"/>
        <v>1</v>
      </c>
      <c r="D329" s="718"/>
      <c r="E329" s="24">
        <f t="shared" si="49"/>
        <v>0.02</v>
      </c>
      <c r="F329" s="718"/>
      <c r="G329" s="24">
        <f t="shared" si="50"/>
        <v>0.1</v>
      </c>
      <c r="H329" s="718"/>
      <c r="I329" s="24">
        <f t="shared" si="51"/>
        <v>0.05</v>
      </c>
      <c r="J329" s="718"/>
      <c r="K329" s="24">
        <f t="shared" si="52"/>
        <v>0.2</v>
      </c>
      <c r="L329" s="718"/>
      <c r="M329" s="24">
        <f t="shared" si="53"/>
        <v>1</v>
      </c>
      <c r="N329" s="718"/>
      <c r="O329" s="24">
        <f t="shared" si="54"/>
        <v>1</v>
      </c>
      <c r="P329" s="718"/>
      <c r="Q329" s="24">
        <f t="shared" si="55"/>
        <v>1</v>
      </c>
      <c r="R329" s="714">
        <f t="shared" si="56"/>
        <v>0</v>
      </c>
      <c r="S329" s="361">
        <f t="shared" si="47"/>
        <v>0</v>
      </c>
    </row>
    <row r="330" spans="1:19">
      <c r="A330" s="159"/>
      <c r="B330" s="59"/>
      <c r="C330" s="24">
        <f t="shared" si="48"/>
        <v>1</v>
      </c>
      <c r="D330" s="718"/>
      <c r="E330" s="24">
        <f t="shared" si="49"/>
        <v>0.02</v>
      </c>
      <c r="F330" s="718"/>
      <c r="G330" s="24">
        <f t="shared" si="50"/>
        <v>0.1</v>
      </c>
      <c r="H330" s="718"/>
      <c r="I330" s="24">
        <f t="shared" si="51"/>
        <v>0.05</v>
      </c>
      <c r="J330" s="718"/>
      <c r="K330" s="24">
        <f t="shared" si="52"/>
        <v>0.2</v>
      </c>
      <c r="L330" s="718"/>
      <c r="M330" s="24">
        <f t="shared" si="53"/>
        <v>1</v>
      </c>
      <c r="N330" s="718"/>
      <c r="O330" s="24">
        <f t="shared" si="54"/>
        <v>1</v>
      </c>
      <c r="P330" s="718"/>
      <c r="Q330" s="24">
        <f t="shared" si="55"/>
        <v>1</v>
      </c>
      <c r="R330" s="714">
        <f t="shared" si="56"/>
        <v>0</v>
      </c>
      <c r="S330" s="361">
        <f t="shared" si="47"/>
        <v>0</v>
      </c>
    </row>
    <row r="331" spans="1:19">
      <c r="A331" s="159"/>
      <c r="B331" s="59"/>
      <c r="C331" s="24">
        <f t="shared" si="48"/>
        <v>1</v>
      </c>
      <c r="D331" s="718"/>
      <c r="E331" s="24">
        <f t="shared" si="49"/>
        <v>0.02</v>
      </c>
      <c r="F331" s="718"/>
      <c r="G331" s="24">
        <f t="shared" si="50"/>
        <v>0.1</v>
      </c>
      <c r="H331" s="718"/>
      <c r="I331" s="24">
        <f t="shared" si="51"/>
        <v>0.05</v>
      </c>
      <c r="J331" s="718"/>
      <c r="K331" s="24">
        <f t="shared" si="52"/>
        <v>0.2</v>
      </c>
      <c r="L331" s="718"/>
      <c r="M331" s="24">
        <f t="shared" si="53"/>
        <v>1</v>
      </c>
      <c r="N331" s="718"/>
      <c r="O331" s="24">
        <f t="shared" si="54"/>
        <v>1</v>
      </c>
      <c r="P331" s="718"/>
      <c r="Q331" s="24">
        <f t="shared" si="55"/>
        <v>1</v>
      </c>
      <c r="R331" s="714">
        <f t="shared" si="56"/>
        <v>0</v>
      </c>
      <c r="S331" s="361">
        <f t="shared" si="47"/>
        <v>0</v>
      </c>
    </row>
    <row r="332" spans="1:19">
      <c r="A332" s="159"/>
      <c r="B332" s="59"/>
      <c r="C332" s="24">
        <f t="shared" si="48"/>
        <v>1</v>
      </c>
      <c r="D332" s="718"/>
      <c r="E332" s="24">
        <f t="shared" si="49"/>
        <v>0.02</v>
      </c>
      <c r="F332" s="718"/>
      <c r="G332" s="24">
        <f t="shared" si="50"/>
        <v>0.1</v>
      </c>
      <c r="H332" s="718"/>
      <c r="I332" s="24">
        <f t="shared" si="51"/>
        <v>0.05</v>
      </c>
      <c r="J332" s="718"/>
      <c r="K332" s="24">
        <f t="shared" si="52"/>
        <v>0.2</v>
      </c>
      <c r="L332" s="718"/>
      <c r="M332" s="24">
        <f t="shared" si="53"/>
        <v>1</v>
      </c>
      <c r="N332" s="718"/>
      <c r="O332" s="24">
        <f t="shared" si="54"/>
        <v>1</v>
      </c>
      <c r="P332" s="718"/>
      <c r="Q332" s="24">
        <f t="shared" si="55"/>
        <v>1</v>
      </c>
      <c r="R332" s="714">
        <f t="shared" si="56"/>
        <v>0</v>
      </c>
      <c r="S332" s="361">
        <f t="shared" si="47"/>
        <v>0</v>
      </c>
    </row>
    <row r="333" spans="1:19">
      <c r="A333" s="159"/>
      <c r="B333" s="59"/>
      <c r="C333" s="24">
        <f t="shared" si="48"/>
        <v>1</v>
      </c>
      <c r="D333" s="718"/>
      <c r="E333" s="24">
        <f t="shared" si="49"/>
        <v>0.02</v>
      </c>
      <c r="F333" s="718"/>
      <c r="G333" s="24">
        <f t="shared" si="50"/>
        <v>0.1</v>
      </c>
      <c r="H333" s="718"/>
      <c r="I333" s="24">
        <f t="shared" si="51"/>
        <v>0.05</v>
      </c>
      <c r="J333" s="718"/>
      <c r="K333" s="24">
        <f t="shared" si="52"/>
        <v>0.2</v>
      </c>
      <c r="L333" s="718"/>
      <c r="M333" s="24">
        <f t="shared" si="53"/>
        <v>1</v>
      </c>
      <c r="N333" s="718"/>
      <c r="O333" s="24">
        <f t="shared" si="54"/>
        <v>1</v>
      </c>
      <c r="P333" s="718"/>
      <c r="Q333" s="24">
        <f t="shared" si="55"/>
        <v>1</v>
      </c>
      <c r="R333" s="714">
        <f t="shared" si="56"/>
        <v>0</v>
      </c>
      <c r="S333" s="361">
        <f t="shared" si="47"/>
        <v>0</v>
      </c>
    </row>
    <row r="334" spans="1:19">
      <c r="A334" s="159"/>
      <c r="B334" s="59"/>
      <c r="C334" s="24">
        <f t="shared" si="48"/>
        <v>1</v>
      </c>
      <c r="D334" s="718"/>
      <c r="E334" s="24">
        <f t="shared" si="49"/>
        <v>0.02</v>
      </c>
      <c r="F334" s="718"/>
      <c r="G334" s="24">
        <f t="shared" si="50"/>
        <v>0.1</v>
      </c>
      <c r="H334" s="718"/>
      <c r="I334" s="24">
        <f t="shared" si="51"/>
        <v>0.05</v>
      </c>
      <c r="J334" s="718"/>
      <c r="K334" s="24">
        <f t="shared" si="52"/>
        <v>0.2</v>
      </c>
      <c r="L334" s="718"/>
      <c r="M334" s="24">
        <f t="shared" si="53"/>
        <v>1</v>
      </c>
      <c r="N334" s="718"/>
      <c r="O334" s="24">
        <f t="shared" si="54"/>
        <v>1</v>
      </c>
      <c r="P334" s="718"/>
      <c r="Q334" s="24">
        <f t="shared" si="55"/>
        <v>1</v>
      </c>
      <c r="R334" s="714">
        <f t="shared" si="56"/>
        <v>0</v>
      </c>
      <c r="S334" s="361">
        <f t="shared" si="47"/>
        <v>0</v>
      </c>
    </row>
    <row r="335" spans="1:19">
      <c r="A335" s="159"/>
      <c r="B335" s="59"/>
      <c r="C335" s="24">
        <f t="shared" si="48"/>
        <v>1</v>
      </c>
      <c r="D335" s="718"/>
      <c r="E335" s="24">
        <f t="shared" si="49"/>
        <v>0.02</v>
      </c>
      <c r="F335" s="718"/>
      <c r="G335" s="24">
        <f t="shared" si="50"/>
        <v>0.1</v>
      </c>
      <c r="H335" s="718"/>
      <c r="I335" s="24">
        <f t="shared" si="51"/>
        <v>0.05</v>
      </c>
      <c r="J335" s="718"/>
      <c r="K335" s="24">
        <f t="shared" si="52"/>
        <v>0.2</v>
      </c>
      <c r="L335" s="718"/>
      <c r="M335" s="24">
        <f t="shared" si="53"/>
        <v>1</v>
      </c>
      <c r="N335" s="718"/>
      <c r="O335" s="24">
        <f t="shared" si="54"/>
        <v>1</v>
      </c>
      <c r="P335" s="718"/>
      <c r="Q335" s="24">
        <f t="shared" si="55"/>
        <v>1</v>
      </c>
      <c r="R335" s="714">
        <f t="shared" si="56"/>
        <v>0</v>
      </c>
      <c r="S335" s="361">
        <f t="shared" si="47"/>
        <v>0</v>
      </c>
    </row>
    <row r="336" spans="1:19">
      <c r="A336" s="159"/>
      <c r="B336" s="59"/>
      <c r="C336" s="24">
        <f t="shared" si="48"/>
        <v>1</v>
      </c>
      <c r="D336" s="718"/>
      <c r="E336" s="24">
        <f t="shared" si="49"/>
        <v>0.02</v>
      </c>
      <c r="F336" s="718"/>
      <c r="G336" s="24">
        <f t="shared" si="50"/>
        <v>0.1</v>
      </c>
      <c r="H336" s="718"/>
      <c r="I336" s="24">
        <f t="shared" si="51"/>
        <v>0.05</v>
      </c>
      <c r="J336" s="718"/>
      <c r="K336" s="24">
        <f t="shared" si="52"/>
        <v>0.2</v>
      </c>
      <c r="L336" s="718"/>
      <c r="M336" s="24">
        <f t="shared" si="53"/>
        <v>1</v>
      </c>
      <c r="N336" s="718"/>
      <c r="O336" s="24">
        <f t="shared" si="54"/>
        <v>1</v>
      </c>
      <c r="P336" s="718"/>
      <c r="Q336" s="24">
        <f t="shared" si="55"/>
        <v>1</v>
      </c>
      <c r="R336" s="714">
        <f t="shared" si="56"/>
        <v>0</v>
      </c>
      <c r="S336" s="361">
        <f t="shared" si="47"/>
        <v>0</v>
      </c>
    </row>
    <row r="337" spans="1:19">
      <c r="A337" s="159"/>
      <c r="B337" s="59"/>
      <c r="C337" s="24">
        <f t="shared" si="48"/>
        <v>1</v>
      </c>
      <c r="D337" s="718"/>
      <c r="E337" s="24">
        <f t="shared" si="49"/>
        <v>0.02</v>
      </c>
      <c r="F337" s="718"/>
      <c r="G337" s="24">
        <f t="shared" si="50"/>
        <v>0.1</v>
      </c>
      <c r="H337" s="718"/>
      <c r="I337" s="24">
        <f t="shared" si="51"/>
        <v>0.05</v>
      </c>
      <c r="J337" s="718"/>
      <c r="K337" s="24">
        <f t="shared" si="52"/>
        <v>0.2</v>
      </c>
      <c r="L337" s="718"/>
      <c r="M337" s="24">
        <f t="shared" si="53"/>
        <v>1</v>
      </c>
      <c r="N337" s="718"/>
      <c r="O337" s="24">
        <f t="shared" si="54"/>
        <v>1</v>
      </c>
      <c r="P337" s="718"/>
      <c r="Q337" s="24">
        <f t="shared" si="55"/>
        <v>1</v>
      </c>
      <c r="R337" s="714">
        <f t="shared" si="56"/>
        <v>0</v>
      </c>
      <c r="S337" s="361">
        <f t="shared" si="47"/>
        <v>0</v>
      </c>
    </row>
    <row r="338" spans="1:19">
      <c r="A338" s="159"/>
      <c r="B338" s="59"/>
      <c r="C338" s="24">
        <f t="shared" si="48"/>
        <v>1</v>
      </c>
      <c r="D338" s="718"/>
      <c r="E338" s="24">
        <f t="shared" si="49"/>
        <v>0.02</v>
      </c>
      <c r="F338" s="718"/>
      <c r="G338" s="24">
        <f t="shared" si="50"/>
        <v>0.1</v>
      </c>
      <c r="H338" s="718"/>
      <c r="I338" s="24">
        <f t="shared" si="51"/>
        <v>0.05</v>
      </c>
      <c r="J338" s="718"/>
      <c r="K338" s="24">
        <f t="shared" si="52"/>
        <v>0.2</v>
      </c>
      <c r="L338" s="718"/>
      <c r="M338" s="24">
        <f t="shared" si="53"/>
        <v>1</v>
      </c>
      <c r="N338" s="718"/>
      <c r="O338" s="24">
        <f t="shared" si="54"/>
        <v>1</v>
      </c>
      <c r="P338" s="718"/>
      <c r="Q338" s="24">
        <f t="shared" si="55"/>
        <v>1</v>
      </c>
      <c r="R338" s="714">
        <f t="shared" si="56"/>
        <v>0</v>
      </c>
      <c r="S338" s="361">
        <f t="shared" si="47"/>
        <v>0</v>
      </c>
    </row>
    <row r="339" spans="1:19">
      <c r="A339" s="159"/>
      <c r="B339" s="59"/>
      <c r="C339" s="24">
        <f t="shared" si="48"/>
        <v>1</v>
      </c>
      <c r="D339" s="718"/>
      <c r="E339" s="24">
        <f t="shared" si="49"/>
        <v>0.02</v>
      </c>
      <c r="F339" s="718"/>
      <c r="G339" s="24">
        <f t="shared" si="50"/>
        <v>0.1</v>
      </c>
      <c r="H339" s="718"/>
      <c r="I339" s="24">
        <f t="shared" si="51"/>
        <v>0.05</v>
      </c>
      <c r="J339" s="718"/>
      <c r="K339" s="24">
        <f t="shared" si="52"/>
        <v>0.2</v>
      </c>
      <c r="L339" s="718"/>
      <c r="M339" s="24">
        <f t="shared" si="53"/>
        <v>1</v>
      </c>
      <c r="N339" s="718"/>
      <c r="O339" s="24">
        <f t="shared" si="54"/>
        <v>1</v>
      </c>
      <c r="P339" s="718"/>
      <c r="Q339" s="24">
        <f t="shared" si="55"/>
        <v>1</v>
      </c>
      <c r="R339" s="714">
        <f t="shared" si="56"/>
        <v>0</v>
      </c>
      <c r="S339" s="361">
        <f t="shared" si="47"/>
        <v>0</v>
      </c>
    </row>
    <row r="340" spans="1:19">
      <c r="A340" s="159"/>
      <c r="B340" s="59"/>
      <c r="C340" s="24">
        <f t="shared" si="48"/>
        <v>1</v>
      </c>
      <c r="D340" s="718"/>
      <c r="E340" s="24">
        <f t="shared" si="49"/>
        <v>0.02</v>
      </c>
      <c r="F340" s="718"/>
      <c r="G340" s="24">
        <f t="shared" si="50"/>
        <v>0.1</v>
      </c>
      <c r="H340" s="718"/>
      <c r="I340" s="24">
        <f t="shared" si="51"/>
        <v>0.05</v>
      </c>
      <c r="J340" s="718"/>
      <c r="K340" s="24">
        <f t="shared" si="52"/>
        <v>0.2</v>
      </c>
      <c r="L340" s="718"/>
      <c r="M340" s="24">
        <f t="shared" si="53"/>
        <v>1</v>
      </c>
      <c r="N340" s="718"/>
      <c r="O340" s="24">
        <f t="shared" si="54"/>
        <v>1</v>
      </c>
      <c r="P340" s="718"/>
      <c r="Q340" s="24">
        <f t="shared" si="55"/>
        <v>1</v>
      </c>
      <c r="R340" s="714">
        <f t="shared" si="56"/>
        <v>0</v>
      </c>
      <c r="S340" s="361">
        <f t="shared" si="47"/>
        <v>0</v>
      </c>
    </row>
    <row r="341" spans="1:19">
      <c r="A341" s="159"/>
      <c r="B341" s="59"/>
      <c r="C341" s="24">
        <f t="shared" si="48"/>
        <v>1</v>
      </c>
      <c r="D341" s="718"/>
      <c r="E341" s="24">
        <f t="shared" si="49"/>
        <v>0.02</v>
      </c>
      <c r="F341" s="718"/>
      <c r="G341" s="24">
        <f t="shared" si="50"/>
        <v>0.1</v>
      </c>
      <c r="H341" s="718"/>
      <c r="I341" s="24">
        <f t="shared" si="51"/>
        <v>0.05</v>
      </c>
      <c r="J341" s="718"/>
      <c r="K341" s="24">
        <f t="shared" si="52"/>
        <v>0.2</v>
      </c>
      <c r="L341" s="718"/>
      <c r="M341" s="24">
        <f t="shared" si="53"/>
        <v>1</v>
      </c>
      <c r="N341" s="718"/>
      <c r="O341" s="24">
        <f t="shared" si="54"/>
        <v>1</v>
      </c>
      <c r="P341" s="718"/>
      <c r="Q341" s="24">
        <f t="shared" si="55"/>
        <v>1</v>
      </c>
      <c r="R341" s="714">
        <f t="shared" si="56"/>
        <v>0</v>
      </c>
      <c r="S341" s="361">
        <f t="shared" si="47"/>
        <v>0</v>
      </c>
    </row>
    <row r="342" spans="1:19">
      <c r="A342" s="159"/>
      <c r="B342" s="59"/>
      <c r="C342" s="24">
        <f t="shared" si="48"/>
        <v>1</v>
      </c>
      <c r="D342" s="718"/>
      <c r="E342" s="24">
        <f t="shared" si="49"/>
        <v>0.02</v>
      </c>
      <c r="F342" s="718"/>
      <c r="G342" s="24">
        <f t="shared" si="50"/>
        <v>0.1</v>
      </c>
      <c r="H342" s="718"/>
      <c r="I342" s="24">
        <f t="shared" si="51"/>
        <v>0.05</v>
      </c>
      <c r="J342" s="718"/>
      <c r="K342" s="24">
        <f t="shared" si="52"/>
        <v>0.2</v>
      </c>
      <c r="L342" s="718"/>
      <c r="M342" s="24">
        <f t="shared" si="53"/>
        <v>1</v>
      </c>
      <c r="N342" s="718"/>
      <c r="O342" s="24">
        <f t="shared" si="54"/>
        <v>1</v>
      </c>
      <c r="P342" s="718"/>
      <c r="Q342" s="24">
        <f t="shared" si="55"/>
        <v>1</v>
      </c>
      <c r="R342" s="714">
        <f t="shared" si="56"/>
        <v>0</v>
      </c>
      <c r="S342" s="361">
        <f t="shared" si="47"/>
        <v>0</v>
      </c>
    </row>
    <row r="343" spans="1:19">
      <c r="A343" s="159"/>
      <c r="B343" s="59"/>
      <c r="C343" s="24">
        <f t="shared" si="48"/>
        <v>1</v>
      </c>
      <c r="D343" s="718"/>
      <c r="E343" s="24">
        <f t="shared" si="49"/>
        <v>0.02</v>
      </c>
      <c r="F343" s="718"/>
      <c r="G343" s="24">
        <f t="shared" si="50"/>
        <v>0.1</v>
      </c>
      <c r="H343" s="718"/>
      <c r="I343" s="24">
        <f t="shared" si="51"/>
        <v>0.05</v>
      </c>
      <c r="J343" s="718"/>
      <c r="K343" s="24">
        <f t="shared" si="52"/>
        <v>0.2</v>
      </c>
      <c r="L343" s="718"/>
      <c r="M343" s="24">
        <f t="shared" si="53"/>
        <v>1</v>
      </c>
      <c r="N343" s="718"/>
      <c r="O343" s="24">
        <f t="shared" si="54"/>
        <v>1</v>
      </c>
      <c r="P343" s="718"/>
      <c r="Q343" s="24">
        <f t="shared" si="55"/>
        <v>1</v>
      </c>
      <c r="R343" s="714">
        <f t="shared" si="56"/>
        <v>0</v>
      </c>
      <c r="S343" s="361">
        <f t="shared" si="47"/>
        <v>0</v>
      </c>
    </row>
    <row r="344" spans="1:19">
      <c r="A344" s="159"/>
      <c r="B344" s="59"/>
      <c r="C344" s="24">
        <f t="shared" si="48"/>
        <v>1</v>
      </c>
      <c r="D344" s="718"/>
      <c r="E344" s="24">
        <f t="shared" si="49"/>
        <v>0.02</v>
      </c>
      <c r="F344" s="718"/>
      <c r="G344" s="24">
        <f t="shared" si="50"/>
        <v>0.1</v>
      </c>
      <c r="H344" s="718"/>
      <c r="I344" s="24">
        <f t="shared" si="51"/>
        <v>0.05</v>
      </c>
      <c r="J344" s="718"/>
      <c r="K344" s="24">
        <f t="shared" si="52"/>
        <v>0.2</v>
      </c>
      <c r="L344" s="718"/>
      <c r="M344" s="24">
        <f t="shared" si="53"/>
        <v>1</v>
      </c>
      <c r="N344" s="718"/>
      <c r="O344" s="24">
        <f t="shared" si="54"/>
        <v>1</v>
      </c>
      <c r="P344" s="718"/>
      <c r="Q344" s="24">
        <f t="shared" si="55"/>
        <v>1</v>
      </c>
      <c r="R344" s="714">
        <f t="shared" si="56"/>
        <v>0</v>
      </c>
      <c r="S344" s="361">
        <f t="shared" ref="S344:S407" si="57">ROUND(R344*B344/10000,0)</f>
        <v>0</v>
      </c>
    </row>
    <row r="345" spans="1:19">
      <c r="A345" s="159"/>
      <c r="B345" s="59"/>
      <c r="C345" s="24">
        <f t="shared" si="48"/>
        <v>1</v>
      </c>
      <c r="D345" s="718"/>
      <c r="E345" s="24">
        <f t="shared" si="49"/>
        <v>0.02</v>
      </c>
      <c r="F345" s="718"/>
      <c r="G345" s="24">
        <f t="shared" si="50"/>
        <v>0.1</v>
      </c>
      <c r="H345" s="718"/>
      <c r="I345" s="24">
        <f t="shared" si="51"/>
        <v>0.05</v>
      </c>
      <c r="J345" s="718"/>
      <c r="K345" s="24">
        <f t="shared" si="52"/>
        <v>0.2</v>
      </c>
      <c r="L345" s="718"/>
      <c r="M345" s="24">
        <f t="shared" si="53"/>
        <v>1</v>
      </c>
      <c r="N345" s="718"/>
      <c r="O345" s="24">
        <f t="shared" si="54"/>
        <v>1</v>
      </c>
      <c r="P345" s="718"/>
      <c r="Q345" s="24">
        <f t="shared" si="55"/>
        <v>1</v>
      </c>
      <c r="R345" s="714">
        <f t="shared" si="56"/>
        <v>0</v>
      </c>
      <c r="S345" s="361">
        <f t="shared" si="57"/>
        <v>0</v>
      </c>
    </row>
    <row r="346" spans="1:19">
      <c r="A346" s="159"/>
      <c r="B346" s="59"/>
      <c r="C346" s="24">
        <f t="shared" ref="C346:C409" si="58">IF(B346="",1,(LOOKUP(B346,$3:$3,$4:$4)-LOOKUP($B$24,$3:$3,$4:$4)+100)/100)</f>
        <v>1</v>
      </c>
      <c r="D346" s="718"/>
      <c r="E346" s="24">
        <f t="shared" ref="E346:E409" si="59">(SUMIF($5:$5,D346,$6:$6)-SUMIF($5:$5,$D$24,$6:$6)+100)/100</f>
        <v>0.02</v>
      </c>
      <c r="F346" s="718"/>
      <c r="G346" s="24">
        <f t="shared" ref="G346:G409" si="60">(SUMIF($7:$7,F346,$8:$8)-SUMIF($7:$7,$F$24,$8:$8)+100)/100</f>
        <v>0.1</v>
      </c>
      <c r="H346" s="718"/>
      <c r="I346" s="24">
        <f t="shared" ref="I346:I409" si="61">(SUMIF($9:$9,H346,$10:$10)-SUMIF($9:$9,$H$24,$10:$10)+100)/100</f>
        <v>0.05</v>
      </c>
      <c r="J346" s="718"/>
      <c r="K346" s="24">
        <f t="shared" ref="K346:K409" si="62">(SUMIF($11:$11,J346,$12:$12)-SUMIF($11:$11,$J$24,$12:$12)+100)/100</f>
        <v>0.2</v>
      </c>
      <c r="L346" s="718"/>
      <c r="M346" s="24">
        <f t="shared" ref="M346:M409" si="63">(SUMIF($13:$13,L346,$14:$14)-SUMIF($13:$13,$L$24,$14:$14)+100)/100</f>
        <v>1</v>
      </c>
      <c r="N346" s="718"/>
      <c r="O346" s="24">
        <f t="shared" ref="O346:O409" si="64">(SUMIF($15:$15,N346,$16:$16)-SUMIF($15:$15,$N$24,$16:$16)+100)/100</f>
        <v>1</v>
      </c>
      <c r="P346" s="718"/>
      <c r="Q346" s="24">
        <f t="shared" ref="Q346:Q409" si="65">(SUMIF($17:$17,P346,$18:$18)-SUMIF($17:$17,$P$24,$18:$18)+100)/100</f>
        <v>1</v>
      </c>
      <c r="R346" s="714">
        <f t="shared" ref="R346:R409" si="66">IF(B346="",0,ROUND($R$24*C346*E346*G346*I346*K346*M346*O346*Q346,0))</f>
        <v>0</v>
      </c>
      <c r="S346" s="361">
        <f t="shared" si="57"/>
        <v>0</v>
      </c>
    </row>
    <row r="347" spans="1:19">
      <c r="A347" s="159"/>
      <c r="B347" s="59"/>
      <c r="C347" s="24">
        <f t="shared" si="58"/>
        <v>1</v>
      </c>
      <c r="D347" s="718"/>
      <c r="E347" s="24">
        <f t="shared" si="59"/>
        <v>0.02</v>
      </c>
      <c r="F347" s="718"/>
      <c r="G347" s="24">
        <f t="shared" si="60"/>
        <v>0.1</v>
      </c>
      <c r="H347" s="718"/>
      <c r="I347" s="24">
        <f t="shared" si="61"/>
        <v>0.05</v>
      </c>
      <c r="J347" s="718"/>
      <c r="K347" s="24">
        <f t="shared" si="62"/>
        <v>0.2</v>
      </c>
      <c r="L347" s="718"/>
      <c r="M347" s="24">
        <f t="shared" si="63"/>
        <v>1</v>
      </c>
      <c r="N347" s="718"/>
      <c r="O347" s="24">
        <f t="shared" si="64"/>
        <v>1</v>
      </c>
      <c r="P347" s="718"/>
      <c r="Q347" s="24">
        <f t="shared" si="65"/>
        <v>1</v>
      </c>
      <c r="R347" s="714">
        <f t="shared" si="66"/>
        <v>0</v>
      </c>
      <c r="S347" s="361">
        <f t="shared" si="57"/>
        <v>0</v>
      </c>
    </row>
    <row r="348" spans="1:19">
      <c r="A348" s="159"/>
      <c r="B348" s="59"/>
      <c r="C348" s="24">
        <f t="shared" si="58"/>
        <v>1</v>
      </c>
      <c r="D348" s="718"/>
      <c r="E348" s="24">
        <f t="shared" si="59"/>
        <v>0.02</v>
      </c>
      <c r="F348" s="718"/>
      <c r="G348" s="24">
        <f t="shared" si="60"/>
        <v>0.1</v>
      </c>
      <c r="H348" s="718"/>
      <c r="I348" s="24">
        <f t="shared" si="61"/>
        <v>0.05</v>
      </c>
      <c r="J348" s="718"/>
      <c r="K348" s="24">
        <f t="shared" si="62"/>
        <v>0.2</v>
      </c>
      <c r="L348" s="718"/>
      <c r="M348" s="24">
        <f t="shared" si="63"/>
        <v>1</v>
      </c>
      <c r="N348" s="718"/>
      <c r="O348" s="24">
        <f t="shared" si="64"/>
        <v>1</v>
      </c>
      <c r="P348" s="718"/>
      <c r="Q348" s="24">
        <f t="shared" si="65"/>
        <v>1</v>
      </c>
      <c r="R348" s="714">
        <f t="shared" si="66"/>
        <v>0</v>
      </c>
      <c r="S348" s="361">
        <f t="shared" si="57"/>
        <v>0</v>
      </c>
    </row>
    <row r="349" spans="1:19">
      <c r="A349" s="159"/>
      <c r="B349" s="59"/>
      <c r="C349" s="24">
        <f t="shared" si="58"/>
        <v>1</v>
      </c>
      <c r="D349" s="718"/>
      <c r="E349" s="24">
        <f t="shared" si="59"/>
        <v>0.02</v>
      </c>
      <c r="F349" s="718"/>
      <c r="G349" s="24">
        <f t="shared" si="60"/>
        <v>0.1</v>
      </c>
      <c r="H349" s="718"/>
      <c r="I349" s="24">
        <f t="shared" si="61"/>
        <v>0.05</v>
      </c>
      <c r="J349" s="718"/>
      <c r="K349" s="24">
        <f t="shared" si="62"/>
        <v>0.2</v>
      </c>
      <c r="L349" s="718"/>
      <c r="M349" s="24">
        <f t="shared" si="63"/>
        <v>1</v>
      </c>
      <c r="N349" s="718"/>
      <c r="O349" s="24">
        <f t="shared" si="64"/>
        <v>1</v>
      </c>
      <c r="P349" s="718"/>
      <c r="Q349" s="24">
        <f t="shared" si="65"/>
        <v>1</v>
      </c>
      <c r="R349" s="714">
        <f t="shared" si="66"/>
        <v>0</v>
      </c>
      <c r="S349" s="361">
        <f t="shared" si="57"/>
        <v>0</v>
      </c>
    </row>
    <row r="350" spans="1:19">
      <c r="A350" s="159"/>
      <c r="B350" s="59"/>
      <c r="C350" s="24">
        <f t="shared" si="58"/>
        <v>1</v>
      </c>
      <c r="D350" s="718"/>
      <c r="E350" s="24">
        <f t="shared" si="59"/>
        <v>0.02</v>
      </c>
      <c r="F350" s="718"/>
      <c r="G350" s="24">
        <f t="shared" si="60"/>
        <v>0.1</v>
      </c>
      <c r="H350" s="718"/>
      <c r="I350" s="24">
        <f t="shared" si="61"/>
        <v>0.05</v>
      </c>
      <c r="J350" s="718"/>
      <c r="K350" s="24">
        <f t="shared" si="62"/>
        <v>0.2</v>
      </c>
      <c r="L350" s="718"/>
      <c r="M350" s="24">
        <f t="shared" si="63"/>
        <v>1</v>
      </c>
      <c r="N350" s="718"/>
      <c r="O350" s="24">
        <f t="shared" si="64"/>
        <v>1</v>
      </c>
      <c r="P350" s="718"/>
      <c r="Q350" s="24">
        <f t="shared" si="65"/>
        <v>1</v>
      </c>
      <c r="R350" s="714">
        <f t="shared" si="66"/>
        <v>0</v>
      </c>
      <c r="S350" s="361">
        <f t="shared" si="57"/>
        <v>0</v>
      </c>
    </row>
    <row r="351" spans="1:19">
      <c r="A351" s="159"/>
      <c r="B351" s="59"/>
      <c r="C351" s="24">
        <f t="shared" si="58"/>
        <v>1</v>
      </c>
      <c r="D351" s="718"/>
      <c r="E351" s="24">
        <f t="shared" si="59"/>
        <v>0.02</v>
      </c>
      <c r="F351" s="718"/>
      <c r="G351" s="24">
        <f t="shared" si="60"/>
        <v>0.1</v>
      </c>
      <c r="H351" s="718"/>
      <c r="I351" s="24">
        <f t="shared" si="61"/>
        <v>0.05</v>
      </c>
      <c r="J351" s="718"/>
      <c r="K351" s="24">
        <f t="shared" si="62"/>
        <v>0.2</v>
      </c>
      <c r="L351" s="718"/>
      <c r="M351" s="24">
        <f t="shared" si="63"/>
        <v>1</v>
      </c>
      <c r="N351" s="718"/>
      <c r="O351" s="24">
        <f t="shared" si="64"/>
        <v>1</v>
      </c>
      <c r="P351" s="718"/>
      <c r="Q351" s="24">
        <f t="shared" si="65"/>
        <v>1</v>
      </c>
      <c r="R351" s="714">
        <f t="shared" si="66"/>
        <v>0</v>
      </c>
      <c r="S351" s="361">
        <f t="shared" si="57"/>
        <v>0</v>
      </c>
    </row>
    <row r="352" spans="1:19">
      <c r="A352" s="159"/>
      <c r="B352" s="59"/>
      <c r="C352" s="24">
        <f t="shared" si="58"/>
        <v>1</v>
      </c>
      <c r="D352" s="718"/>
      <c r="E352" s="24">
        <f t="shared" si="59"/>
        <v>0.02</v>
      </c>
      <c r="F352" s="718"/>
      <c r="G352" s="24">
        <f t="shared" si="60"/>
        <v>0.1</v>
      </c>
      <c r="H352" s="718"/>
      <c r="I352" s="24">
        <f t="shared" si="61"/>
        <v>0.05</v>
      </c>
      <c r="J352" s="718"/>
      <c r="K352" s="24">
        <f t="shared" si="62"/>
        <v>0.2</v>
      </c>
      <c r="L352" s="718"/>
      <c r="M352" s="24">
        <f t="shared" si="63"/>
        <v>1</v>
      </c>
      <c r="N352" s="718"/>
      <c r="O352" s="24">
        <f t="shared" si="64"/>
        <v>1</v>
      </c>
      <c r="P352" s="718"/>
      <c r="Q352" s="24">
        <f t="shared" si="65"/>
        <v>1</v>
      </c>
      <c r="R352" s="714">
        <f t="shared" si="66"/>
        <v>0</v>
      </c>
      <c r="S352" s="361">
        <f t="shared" si="57"/>
        <v>0</v>
      </c>
    </row>
    <row r="353" spans="1:19">
      <c r="A353" s="159"/>
      <c r="B353" s="59"/>
      <c r="C353" s="24">
        <f t="shared" si="58"/>
        <v>1</v>
      </c>
      <c r="D353" s="718"/>
      <c r="E353" s="24">
        <f t="shared" si="59"/>
        <v>0.02</v>
      </c>
      <c r="F353" s="718"/>
      <c r="G353" s="24">
        <f t="shared" si="60"/>
        <v>0.1</v>
      </c>
      <c r="H353" s="718"/>
      <c r="I353" s="24">
        <f t="shared" si="61"/>
        <v>0.05</v>
      </c>
      <c r="J353" s="718"/>
      <c r="K353" s="24">
        <f t="shared" si="62"/>
        <v>0.2</v>
      </c>
      <c r="L353" s="718"/>
      <c r="M353" s="24">
        <f t="shared" si="63"/>
        <v>1</v>
      </c>
      <c r="N353" s="718"/>
      <c r="O353" s="24">
        <f t="shared" si="64"/>
        <v>1</v>
      </c>
      <c r="P353" s="718"/>
      <c r="Q353" s="24">
        <f t="shared" si="65"/>
        <v>1</v>
      </c>
      <c r="R353" s="714">
        <f t="shared" si="66"/>
        <v>0</v>
      </c>
      <c r="S353" s="361">
        <f t="shared" si="57"/>
        <v>0</v>
      </c>
    </row>
    <row r="354" spans="1:19">
      <c r="A354" s="159"/>
      <c r="B354" s="59"/>
      <c r="C354" s="24">
        <f t="shared" si="58"/>
        <v>1</v>
      </c>
      <c r="D354" s="718"/>
      <c r="E354" s="24">
        <f t="shared" si="59"/>
        <v>0.02</v>
      </c>
      <c r="F354" s="718"/>
      <c r="G354" s="24">
        <f t="shared" si="60"/>
        <v>0.1</v>
      </c>
      <c r="H354" s="718"/>
      <c r="I354" s="24">
        <f t="shared" si="61"/>
        <v>0.05</v>
      </c>
      <c r="J354" s="718"/>
      <c r="K354" s="24">
        <f t="shared" si="62"/>
        <v>0.2</v>
      </c>
      <c r="L354" s="718"/>
      <c r="M354" s="24">
        <f t="shared" si="63"/>
        <v>1</v>
      </c>
      <c r="N354" s="718"/>
      <c r="O354" s="24">
        <f t="shared" si="64"/>
        <v>1</v>
      </c>
      <c r="P354" s="718"/>
      <c r="Q354" s="24">
        <f t="shared" si="65"/>
        <v>1</v>
      </c>
      <c r="R354" s="714">
        <f t="shared" si="66"/>
        <v>0</v>
      </c>
      <c r="S354" s="361">
        <f t="shared" si="57"/>
        <v>0</v>
      </c>
    </row>
    <row r="355" spans="1:19">
      <c r="A355" s="159"/>
      <c r="B355" s="59"/>
      <c r="C355" s="24">
        <f t="shared" si="58"/>
        <v>1</v>
      </c>
      <c r="D355" s="718"/>
      <c r="E355" s="24">
        <f t="shared" si="59"/>
        <v>0.02</v>
      </c>
      <c r="F355" s="718"/>
      <c r="G355" s="24">
        <f t="shared" si="60"/>
        <v>0.1</v>
      </c>
      <c r="H355" s="718"/>
      <c r="I355" s="24">
        <f t="shared" si="61"/>
        <v>0.05</v>
      </c>
      <c r="J355" s="718"/>
      <c r="K355" s="24">
        <f t="shared" si="62"/>
        <v>0.2</v>
      </c>
      <c r="L355" s="718"/>
      <c r="M355" s="24">
        <f t="shared" si="63"/>
        <v>1</v>
      </c>
      <c r="N355" s="718"/>
      <c r="O355" s="24">
        <f t="shared" si="64"/>
        <v>1</v>
      </c>
      <c r="P355" s="718"/>
      <c r="Q355" s="24">
        <f t="shared" si="65"/>
        <v>1</v>
      </c>
      <c r="R355" s="714">
        <f t="shared" si="66"/>
        <v>0</v>
      </c>
      <c r="S355" s="361">
        <f t="shared" si="57"/>
        <v>0</v>
      </c>
    </row>
    <row r="356" spans="1:19">
      <c r="A356" s="159"/>
      <c r="B356" s="59"/>
      <c r="C356" s="24">
        <f t="shared" si="58"/>
        <v>1</v>
      </c>
      <c r="D356" s="718"/>
      <c r="E356" s="24">
        <f t="shared" si="59"/>
        <v>0.02</v>
      </c>
      <c r="F356" s="718"/>
      <c r="G356" s="24">
        <f t="shared" si="60"/>
        <v>0.1</v>
      </c>
      <c r="H356" s="718"/>
      <c r="I356" s="24">
        <f t="shared" si="61"/>
        <v>0.05</v>
      </c>
      <c r="J356" s="718"/>
      <c r="K356" s="24">
        <f t="shared" si="62"/>
        <v>0.2</v>
      </c>
      <c r="L356" s="718"/>
      <c r="M356" s="24">
        <f t="shared" si="63"/>
        <v>1</v>
      </c>
      <c r="N356" s="718"/>
      <c r="O356" s="24">
        <f t="shared" si="64"/>
        <v>1</v>
      </c>
      <c r="P356" s="718"/>
      <c r="Q356" s="24">
        <f t="shared" si="65"/>
        <v>1</v>
      </c>
      <c r="R356" s="714">
        <f t="shared" si="66"/>
        <v>0</v>
      </c>
      <c r="S356" s="361">
        <f t="shared" si="57"/>
        <v>0</v>
      </c>
    </row>
    <row r="357" spans="1:19">
      <c r="A357" s="159"/>
      <c r="B357" s="59"/>
      <c r="C357" s="24">
        <f t="shared" si="58"/>
        <v>1</v>
      </c>
      <c r="D357" s="718"/>
      <c r="E357" s="24">
        <f t="shared" si="59"/>
        <v>0.02</v>
      </c>
      <c r="F357" s="718"/>
      <c r="G357" s="24">
        <f t="shared" si="60"/>
        <v>0.1</v>
      </c>
      <c r="H357" s="718"/>
      <c r="I357" s="24">
        <f t="shared" si="61"/>
        <v>0.05</v>
      </c>
      <c r="J357" s="718"/>
      <c r="K357" s="24">
        <f t="shared" si="62"/>
        <v>0.2</v>
      </c>
      <c r="L357" s="718"/>
      <c r="M357" s="24">
        <f t="shared" si="63"/>
        <v>1</v>
      </c>
      <c r="N357" s="718"/>
      <c r="O357" s="24">
        <f t="shared" si="64"/>
        <v>1</v>
      </c>
      <c r="P357" s="718"/>
      <c r="Q357" s="24">
        <f t="shared" si="65"/>
        <v>1</v>
      </c>
      <c r="R357" s="714">
        <f t="shared" si="66"/>
        <v>0</v>
      </c>
      <c r="S357" s="361">
        <f t="shared" si="57"/>
        <v>0</v>
      </c>
    </row>
    <row r="358" spans="1:19">
      <c r="A358" s="159"/>
      <c r="B358" s="59"/>
      <c r="C358" s="24">
        <f t="shared" si="58"/>
        <v>1</v>
      </c>
      <c r="D358" s="718"/>
      <c r="E358" s="24">
        <f t="shared" si="59"/>
        <v>0.02</v>
      </c>
      <c r="F358" s="718"/>
      <c r="G358" s="24">
        <f t="shared" si="60"/>
        <v>0.1</v>
      </c>
      <c r="H358" s="718"/>
      <c r="I358" s="24">
        <f t="shared" si="61"/>
        <v>0.05</v>
      </c>
      <c r="J358" s="718"/>
      <c r="K358" s="24">
        <f t="shared" si="62"/>
        <v>0.2</v>
      </c>
      <c r="L358" s="718"/>
      <c r="M358" s="24">
        <f t="shared" si="63"/>
        <v>1</v>
      </c>
      <c r="N358" s="718"/>
      <c r="O358" s="24">
        <f t="shared" si="64"/>
        <v>1</v>
      </c>
      <c r="P358" s="718"/>
      <c r="Q358" s="24">
        <f t="shared" si="65"/>
        <v>1</v>
      </c>
      <c r="R358" s="714">
        <f t="shared" si="66"/>
        <v>0</v>
      </c>
      <c r="S358" s="361">
        <f t="shared" si="57"/>
        <v>0</v>
      </c>
    </row>
    <row r="359" spans="1:19">
      <c r="A359" s="159"/>
      <c r="B359" s="59"/>
      <c r="C359" s="24">
        <f t="shared" si="58"/>
        <v>1</v>
      </c>
      <c r="D359" s="718"/>
      <c r="E359" s="24">
        <f t="shared" si="59"/>
        <v>0.02</v>
      </c>
      <c r="F359" s="718"/>
      <c r="G359" s="24">
        <f t="shared" si="60"/>
        <v>0.1</v>
      </c>
      <c r="H359" s="718"/>
      <c r="I359" s="24">
        <f t="shared" si="61"/>
        <v>0.05</v>
      </c>
      <c r="J359" s="718"/>
      <c r="K359" s="24">
        <f t="shared" si="62"/>
        <v>0.2</v>
      </c>
      <c r="L359" s="718"/>
      <c r="M359" s="24">
        <f t="shared" si="63"/>
        <v>1</v>
      </c>
      <c r="N359" s="718"/>
      <c r="O359" s="24">
        <f t="shared" si="64"/>
        <v>1</v>
      </c>
      <c r="P359" s="718"/>
      <c r="Q359" s="24">
        <f t="shared" si="65"/>
        <v>1</v>
      </c>
      <c r="R359" s="714">
        <f t="shared" si="66"/>
        <v>0</v>
      </c>
      <c r="S359" s="361">
        <f t="shared" si="57"/>
        <v>0</v>
      </c>
    </row>
    <row r="360" spans="1:19">
      <c r="A360" s="159"/>
      <c r="B360" s="59"/>
      <c r="C360" s="24">
        <f t="shared" si="58"/>
        <v>1</v>
      </c>
      <c r="D360" s="718"/>
      <c r="E360" s="24">
        <f t="shared" si="59"/>
        <v>0.02</v>
      </c>
      <c r="F360" s="718"/>
      <c r="G360" s="24">
        <f t="shared" si="60"/>
        <v>0.1</v>
      </c>
      <c r="H360" s="718"/>
      <c r="I360" s="24">
        <f t="shared" si="61"/>
        <v>0.05</v>
      </c>
      <c r="J360" s="718"/>
      <c r="K360" s="24">
        <f t="shared" si="62"/>
        <v>0.2</v>
      </c>
      <c r="L360" s="718"/>
      <c r="M360" s="24">
        <f t="shared" si="63"/>
        <v>1</v>
      </c>
      <c r="N360" s="718"/>
      <c r="O360" s="24">
        <f t="shared" si="64"/>
        <v>1</v>
      </c>
      <c r="P360" s="718"/>
      <c r="Q360" s="24">
        <f t="shared" si="65"/>
        <v>1</v>
      </c>
      <c r="R360" s="714">
        <f t="shared" si="66"/>
        <v>0</v>
      </c>
      <c r="S360" s="361">
        <f t="shared" si="57"/>
        <v>0</v>
      </c>
    </row>
    <row r="361" spans="1:19">
      <c r="A361" s="159"/>
      <c r="B361" s="59"/>
      <c r="C361" s="24">
        <f t="shared" si="58"/>
        <v>1</v>
      </c>
      <c r="D361" s="718"/>
      <c r="E361" s="24">
        <f t="shared" si="59"/>
        <v>0.02</v>
      </c>
      <c r="F361" s="718"/>
      <c r="G361" s="24">
        <f t="shared" si="60"/>
        <v>0.1</v>
      </c>
      <c r="H361" s="718"/>
      <c r="I361" s="24">
        <f t="shared" si="61"/>
        <v>0.05</v>
      </c>
      <c r="J361" s="718"/>
      <c r="K361" s="24">
        <f t="shared" si="62"/>
        <v>0.2</v>
      </c>
      <c r="L361" s="718"/>
      <c r="M361" s="24">
        <f t="shared" si="63"/>
        <v>1</v>
      </c>
      <c r="N361" s="718"/>
      <c r="O361" s="24">
        <f t="shared" si="64"/>
        <v>1</v>
      </c>
      <c r="P361" s="718"/>
      <c r="Q361" s="24">
        <f t="shared" si="65"/>
        <v>1</v>
      </c>
      <c r="R361" s="714">
        <f t="shared" si="66"/>
        <v>0</v>
      </c>
      <c r="S361" s="361">
        <f t="shared" si="57"/>
        <v>0</v>
      </c>
    </row>
    <row r="362" spans="1:19">
      <c r="A362" s="159"/>
      <c r="B362" s="59"/>
      <c r="C362" s="24">
        <f t="shared" si="58"/>
        <v>1</v>
      </c>
      <c r="D362" s="718"/>
      <c r="E362" s="24">
        <f t="shared" si="59"/>
        <v>0.02</v>
      </c>
      <c r="F362" s="718"/>
      <c r="G362" s="24">
        <f t="shared" si="60"/>
        <v>0.1</v>
      </c>
      <c r="H362" s="718"/>
      <c r="I362" s="24">
        <f t="shared" si="61"/>
        <v>0.05</v>
      </c>
      <c r="J362" s="718"/>
      <c r="K362" s="24">
        <f t="shared" si="62"/>
        <v>0.2</v>
      </c>
      <c r="L362" s="718"/>
      <c r="M362" s="24">
        <f t="shared" si="63"/>
        <v>1</v>
      </c>
      <c r="N362" s="718"/>
      <c r="O362" s="24">
        <f t="shared" si="64"/>
        <v>1</v>
      </c>
      <c r="P362" s="718"/>
      <c r="Q362" s="24">
        <f t="shared" si="65"/>
        <v>1</v>
      </c>
      <c r="R362" s="714">
        <f t="shared" si="66"/>
        <v>0</v>
      </c>
      <c r="S362" s="361">
        <f t="shared" si="57"/>
        <v>0</v>
      </c>
    </row>
    <row r="363" spans="1:19">
      <c r="A363" s="159"/>
      <c r="B363" s="59"/>
      <c r="C363" s="24">
        <f t="shared" si="58"/>
        <v>1</v>
      </c>
      <c r="D363" s="718"/>
      <c r="E363" s="24">
        <f t="shared" si="59"/>
        <v>0.02</v>
      </c>
      <c r="F363" s="718"/>
      <c r="G363" s="24">
        <f t="shared" si="60"/>
        <v>0.1</v>
      </c>
      <c r="H363" s="718"/>
      <c r="I363" s="24">
        <f t="shared" si="61"/>
        <v>0.05</v>
      </c>
      <c r="J363" s="718"/>
      <c r="K363" s="24">
        <f t="shared" si="62"/>
        <v>0.2</v>
      </c>
      <c r="L363" s="718"/>
      <c r="M363" s="24">
        <f t="shared" si="63"/>
        <v>1</v>
      </c>
      <c r="N363" s="718"/>
      <c r="O363" s="24">
        <f t="shared" si="64"/>
        <v>1</v>
      </c>
      <c r="P363" s="718"/>
      <c r="Q363" s="24">
        <f t="shared" si="65"/>
        <v>1</v>
      </c>
      <c r="R363" s="714">
        <f t="shared" si="66"/>
        <v>0</v>
      </c>
      <c r="S363" s="361">
        <f t="shared" si="57"/>
        <v>0</v>
      </c>
    </row>
    <row r="364" spans="1:19">
      <c r="A364" s="159"/>
      <c r="B364" s="59"/>
      <c r="C364" s="24">
        <f t="shared" si="58"/>
        <v>1</v>
      </c>
      <c r="D364" s="718"/>
      <c r="E364" s="24">
        <f t="shared" si="59"/>
        <v>0.02</v>
      </c>
      <c r="F364" s="718"/>
      <c r="G364" s="24">
        <f t="shared" si="60"/>
        <v>0.1</v>
      </c>
      <c r="H364" s="718"/>
      <c r="I364" s="24">
        <f t="shared" si="61"/>
        <v>0.05</v>
      </c>
      <c r="J364" s="718"/>
      <c r="K364" s="24">
        <f t="shared" si="62"/>
        <v>0.2</v>
      </c>
      <c r="L364" s="718"/>
      <c r="M364" s="24">
        <f t="shared" si="63"/>
        <v>1</v>
      </c>
      <c r="N364" s="718"/>
      <c r="O364" s="24">
        <f t="shared" si="64"/>
        <v>1</v>
      </c>
      <c r="P364" s="718"/>
      <c r="Q364" s="24">
        <f t="shared" si="65"/>
        <v>1</v>
      </c>
      <c r="R364" s="714">
        <f t="shared" si="66"/>
        <v>0</v>
      </c>
      <c r="S364" s="361">
        <f t="shared" si="57"/>
        <v>0</v>
      </c>
    </row>
    <row r="365" spans="1:19">
      <c r="A365" s="159"/>
      <c r="B365" s="59"/>
      <c r="C365" s="24">
        <f t="shared" si="58"/>
        <v>1</v>
      </c>
      <c r="D365" s="718"/>
      <c r="E365" s="24">
        <f t="shared" si="59"/>
        <v>0.02</v>
      </c>
      <c r="F365" s="718"/>
      <c r="G365" s="24">
        <f t="shared" si="60"/>
        <v>0.1</v>
      </c>
      <c r="H365" s="718"/>
      <c r="I365" s="24">
        <f t="shared" si="61"/>
        <v>0.05</v>
      </c>
      <c r="J365" s="718"/>
      <c r="K365" s="24">
        <f t="shared" si="62"/>
        <v>0.2</v>
      </c>
      <c r="L365" s="718"/>
      <c r="M365" s="24">
        <f t="shared" si="63"/>
        <v>1</v>
      </c>
      <c r="N365" s="718"/>
      <c r="O365" s="24">
        <f t="shared" si="64"/>
        <v>1</v>
      </c>
      <c r="P365" s="718"/>
      <c r="Q365" s="24">
        <f t="shared" si="65"/>
        <v>1</v>
      </c>
      <c r="R365" s="714">
        <f t="shared" si="66"/>
        <v>0</v>
      </c>
      <c r="S365" s="361">
        <f t="shared" si="57"/>
        <v>0</v>
      </c>
    </row>
    <row r="366" spans="1:19">
      <c r="A366" s="159"/>
      <c r="B366" s="59"/>
      <c r="C366" s="24">
        <f t="shared" si="58"/>
        <v>1</v>
      </c>
      <c r="D366" s="718"/>
      <c r="E366" s="24">
        <f t="shared" si="59"/>
        <v>0.02</v>
      </c>
      <c r="F366" s="718"/>
      <c r="G366" s="24">
        <f t="shared" si="60"/>
        <v>0.1</v>
      </c>
      <c r="H366" s="718"/>
      <c r="I366" s="24">
        <f t="shared" si="61"/>
        <v>0.05</v>
      </c>
      <c r="J366" s="718"/>
      <c r="K366" s="24">
        <f t="shared" si="62"/>
        <v>0.2</v>
      </c>
      <c r="L366" s="718"/>
      <c r="M366" s="24">
        <f t="shared" si="63"/>
        <v>1</v>
      </c>
      <c r="N366" s="718"/>
      <c r="O366" s="24">
        <f t="shared" si="64"/>
        <v>1</v>
      </c>
      <c r="P366" s="718"/>
      <c r="Q366" s="24">
        <f t="shared" si="65"/>
        <v>1</v>
      </c>
      <c r="R366" s="714">
        <f t="shared" si="66"/>
        <v>0</v>
      </c>
      <c r="S366" s="361">
        <f t="shared" si="57"/>
        <v>0</v>
      </c>
    </row>
    <row r="367" spans="1:19">
      <c r="A367" s="159"/>
      <c r="B367" s="59"/>
      <c r="C367" s="24">
        <f t="shared" si="58"/>
        <v>1</v>
      </c>
      <c r="D367" s="718"/>
      <c r="E367" s="24">
        <f t="shared" si="59"/>
        <v>0.02</v>
      </c>
      <c r="F367" s="718"/>
      <c r="G367" s="24">
        <f t="shared" si="60"/>
        <v>0.1</v>
      </c>
      <c r="H367" s="718"/>
      <c r="I367" s="24">
        <f t="shared" si="61"/>
        <v>0.05</v>
      </c>
      <c r="J367" s="718"/>
      <c r="K367" s="24">
        <f t="shared" si="62"/>
        <v>0.2</v>
      </c>
      <c r="L367" s="718"/>
      <c r="M367" s="24">
        <f t="shared" si="63"/>
        <v>1</v>
      </c>
      <c r="N367" s="718"/>
      <c r="O367" s="24">
        <f t="shared" si="64"/>
        <v>1</v>
      </c>
      <c r="P367" s="718"/>
      <c r="Q367" s="24">
        <f t="shared" si="65"/>
        <v>1</v>
      </c>
      <c r="R367" s="714">
        <f t="shared" si="66"/>
        <v>0</v>
      </c>
      <c r="S367" s="361">
        <f t="shared" si="57"/>
        <v>0</v>
      </c>
    </row>
    <row r="368" spans="1:19">
      <c r="A368" s="159"/>
      <c r="B368" s="59"/>
      <c r="C368" s="24">
        <f t="shared" si="58"/>
        <v>1</v>
      </c>
      <c r="D368" s="718"/>
      <c r="E368" s="24">
        <f t="shared" si="59"/>
        <v>0.02</v>
      </c>
      <c r="F368" s="718"/>
      <c r="G368" s="24">
        <f t="shared" si="60"/>
        <v>0.1</v>
      </c>
      <c r="H368" s="718"/>
      <c r="I368" s="24">
        <f t="shared" si="61"/>
        <v>0.05</v>
      </c>
      <c r="J368" s="718"/>
      <c r="K368" s="24">
        <f t="shared" si="62"/>
        <v>0.2</v>
      </c>
      <c r="L368" s="718"/>
      <c r="M368" s="24">
        <f t="shared" si="63"/>
        <v>1</v>
      </c>
      <c r="N368" s="718"/>
      <c r="O368" s="24">
        <f t="shared" si="64"/>
        <v>1</v>
      </c>
      <c r="P368" s="718"/>
      <c r="Q368" s="24">
        <f t="shared" si="65"/>
        <v>1</v>
      </c>
      <c r="R368" s="714">
        <f t="shared" si="66"/>
        <v>0</v>
      </c>
      <c r="S368" s="361">
        <f t="shared" si="57"/>
        <v>0</v>
      </c>
    </row>
    <row r="369" spans="1:19">
      <c r="A369" s="159"/>
      <c r="B369" s="59"/>
      <c r="C369" s="24">
        <f t="shared" si="58"/>
        <v>1</v>
      </c>
      <c r="D369" s="718"/>
      <c r="E369" s="24">
        <f t="shared" si="59"/>
        <v>0.02</v>
      </c>
      <c r="F369" s="718"/>
      <c r="G369" s="24">
        <f t="shared" si="60"/>
        <v>0.1</v>
      </c>
      <c r="H369" s="718"/>
      <c r="I369" s="24">
        <f t="shared" si="61"/>
        <v>0.05</v>
      </c>
      <c r="J369" s="718"/>
      <c r="K369" s="24">
        <f t="shared" si="62"/>
        <v>0.2</v>
      </c>
      <c r="L369" s="718"/>
      <c r="M369" s="24">
        <f t="shared" si="63"/>
        <v>1</v>
      </c>
      <c r="N369" s="718"/>
      <c r="O369" s="24">
        <f t="shared" si="64"/>
        <v>1</v>
      </c>
      <c r="P369" s="718"/>
      <c r="Q369" s="24">
        <f t="shared" si="65"/>
        <v>1</v>
      </c>
      <c r="R369" s="714">
        <f t="shared" si="66"/>
        <v>0</v>
      </c>
      <c r="S369" s="361">
        <f t="shared" si="57"/>
        <v>0</v>
      </c>
    </row>
    <row r="370" spans="1:19">
      <c r="A370" s="159"/>
      <c r="B370" s="59"/>
      <c r="C370" s="24">
        <f t="shared" si="58"/>
        <v>1</v>
      </c>
      <c r="D370" s="718"/>
      <c r="E370" s="24">
        <f t="shared" si="59"/>
        <v>0.02</v>
      </c>
      <c r="F370" s="718"/>
      <c r="G370" s="24">
        <f t="shared" si="60"/>
        <v>0.1</v>
      </c>
      <c r="H370" s="718"/>
      <c r="I370" s="24">
        <f t="shared" si="61"/>
        <v>0.05</v>
      </c>
      <c r="J370" s="718"/>
      <c r="K370" s="24">
        <f t="shared" si="62"/>
        <v>0.2</v>
      </c>
      <c r="L370" s="718"/>
      <c r="M370" s="24">
        <f t="shared" si="63"/>
        <v>1</v>
      </c>
      <c r="N370" s="718"/>
      <c r="O370" s="24">
        <f t="shared" si="64"/>
        <v>1</v>
      </c>
      <c r="P370" s="718"/>
      <c r="Q370" s="24">
        <f t="shared" si="65"/>
        <v>1</v>
      </c>
      <c r="R370" s="714">
        <f t="shared" si="66"/>
        <v>0</v>
      </c>
      <c r="S370" s="361">
        <f t="shared" si="57"/>
        <v>0</v>
      </c>
    </row>
    <row r="371" spans="1:19">
      <c r="A371" s="159"/>
      <c r="B371" s="59"/>
      <c r="C371" s="24">
        <f t="shared" si="58"/>
        <v>1</v>
      </c>
      <c r="D371" s="718"/>
      <c r="E371" s="24">
        <f t="shared" si="59"/>
        <v>0.02</v>
      </c>
      <c r="F371" s="718"/>
      <c r="G371" s="24">
        <f t="shared" si="60"/>
        <v>0.1</v>
      </c>
      <c r="H371" s="718"/>
      <c r="I371" s="24">
        <f t="shared" si="61"/>
        <v>0.05</v>
      </c>
      <c r="J371" s="718"/>
      <c r="K371" s="24">
        <f t="shared" si="62"/>
        <v>0.2</v>
      </c>
      <c r="L371" s="718"/>
      <c r="M371" s="24">
        <f t="shared" si="63"/>
        <v>1</v>
      </c>
      <c r="N371" s="718"/>
      <c r="O371" s="24">
        <f t="shared" si="64"/>
        <v>1</v>
      </c>
      <c r="P371" s="718"/>
      <c r="Q371" s="24">
        <f t="shared" si="65"/>
        <v>1</v>
      </c>
      <c r="R371" s="714">
        <f t="shared" si="66"/>
        <v>0</v>
      </c>
      <c r="S371" s="361">
        <f t="shared" si="57"/>
        <v>0</v>
      </c>
    </row>
    <row r="372" spans="1:19">
      <c r="A372" s="159"/>
      <c r="B372" s="59"/>
      <c r="C372" s="24">
        <f t="shared" si="58"/>
        <v>1</v>
      </c>
      <c r="D372" s="718"/>
      <c r="E372" s="24">
        <f t="shared" si="59"/>
        <v>0.02</v>
      </c>
      <c r="F372" s="718"/>
      <c r="G372" s="24">
        <f t="shared" si="60"/>
        <v>0.1</v>
      </c>
      <c r="H372" s="718"/>
      <c r="I372" s="24">
        <f t="shared" si="61"/>
        <v>0.05</v>
      </c>
      <c r="J372" s="718"/>
      <c r="K372" s="24">
        <f t="shared" si="62"/>
        <v>0.2</v>
      </c>
      <c r="L372" s="718"/>
      <c r="M372" s="24">
        <f t="shared" si="63"/>
        <v>1</v>
      </c>
      <c r="N372" s="718"/>
      <c r="O372" s="24">
        <f t="shared" si="64"/>
        <v>1</v>
      </c>
      <c r="P372" s="718"/>
      <c r="Q372" s="24">
        <f t="shared" si="65"/>
        <v>1</v>
      </c>
      <c r="R372" s="714">
        <f t="shared" si="66"/>
        <v>0</v>
      </c>
      <c r="S372" s="361">
        <f t="shared" si="57"/>
        <v>0</v>
      </c>
    </row>
    <row r="373" spans="1:19">
      <c r="A373" s="159"/>
      <c r="B373" s="59"/>
      <c r="C373" s="24">
        <f t="shared" si="58"/>
        <v>1</v>
      </c>
      <c r="D373" s="718"/>
      <c r="E373" s="24">
        <f t="shared" si="59"/>
        <v>0.02</v>
      </c>
      <c r="F373" s="718"/>
      <c r="G373" s="24">
        <f t="shared" si="60"/>
        <v>0.1</v>
      </c>
      <c r="H373" s="718"/>
      <c r="I373" s="24">
        <f t="shared" si="61"/>
        <v>0.05</v>
      </c>
      <c r="J373" s="718"/>
      <c r="K373" s="24">
        <f t="shared" si="62"/>
        <v>0.2</v>
      </c>
      <c r="L373" s="718"/>
      <c r="M373" s="24">
        <f t="shared" si="63"/>
        <v>1</v>
      </c>
      <c r="N373" s="718"/>
      <c r="O373" s="24">
        <f t="shared" si="64"/>
        <v>1</v>
      </c>
      <c r="P373" s="718"/>
      <c r="Q373" s="24">
        <f t="shared" si="65"/>
        <v>1</v>
      </c>
      <c r="R373" s="714">
        <f t="shared" si="66"/>
        <v>0</v>
      </c>
      <c r="S373" s="361">
        <f t="shared" si="57"/>
        <v>0</v>
      </c>
    </row>
    <row r="374" spans="1:19">
      <c r="A374" s="159"/>
      <c r="B374" s="59"/>
      <c r="C374" s="24">
        <f t="shared" si="58"/>
        <v>1</v>
      </c>
      <c r="D374" s="718"/>
      <c r="E374" s="24">
        <f t="shared" si="59"/>
        <v>0.02</v>
      </c>
      <c r="F374" s="718"/>
      <c r="G374" s="24">
        <f t="shared" si="60"/>
        <v>0.1</v>
      </c>
      <c r="H374" s="718"/>
      <c r="I374" s="24">
        <f t="shared" si="61"/>
        <v>0.05</v>
      </c>
      <c r="J374" s="718"/>
      <c r="K374" s="24">
        <f t="shared" si="62"/>
        <v>0.2</v>
      </c>
      <c r="L374" s="718"/>
      <c r="M374" s="24">
        <f t="shared" si="63"/>
        <v>1</v>
      </c>
      <c r="N374" s="718"/>
      <c r="O374" s="24">
        <f t="shared" si="64"/>
        <v>1</v>
      </c>
      <c r="P374" s="718"/>
      <c r="Q374" s="24">
        <f t="shared" si="65"/>
        <v>1</v>
      </c>
      <c r="R374" s="714">
        <f t="shared" si="66"/>
        <v>0</v>
      </c>
      <c r="S374" s="361">
        <f t="shared" si="57"/>
        <v>0</v>
      </c>
    </row>
    <row r="375" spans="1:19">
      <c r="A375" s="159"/>
      <c r="B375" s="59"/>
      <c r="C375" s="24">
        <f t="shared" si="58"/>
        <v>1</v>
      </c>
      <c r="D375" s="718"/>
      <c r="E375" s="24">
        <f t="shared" si="59"/>
        <v>0.02</v>
      </c>
      <c r="F375" s="718"/>
      <c r="G375" s="24">
        <f t="shared" si="60"/>
        <v>0.1</v>
      </c>
      <c r="H375" s="718"/>
      <c r="I375" s="24">
        <f t="shared" si="61"/>
        <v>0.05</v>
      </c>
      <c r="J375" s="718"/>
      <c r="K375" s="24">
        <f t="shared" si="62"/>
        <v>0.2</v>
      </c>
      <c r="L375" s="718"/>
      <c r="M375" s="24">
        <f t="shared" si="63"/>
        <v>1</v>
      </c>
      <c r="N375" s="718"/>
      <c r="O375" s="24">
        <f t="shared" si="64"/>
        <v>1</v>
      </c>
      <c r="P375" s="718"/>
      <c r="Q375" s="24">
        <f t="shared" si="65"/>
        <v>1</v>
      </c>
      <c r="R375" s="714">
        <f t="shared" si="66"/>
        <v>0</v>
      </c>
      <c r="S375" s="361">
        <f t="shared" si="57"/>
        <v>0</v>
      </c>
    </row>
    <row r="376" spans="1:19">
      <c r="A376" s="159"/>
      <c r="B376" s="59"/>
      <c r="C376" s="24">
        <f t="shared" si="58"/>
        <v>1</v>
      </c>
      <c r="D376" s="718"/>
      <c r="E376" s="24">
        <f t="shared" si="59"/>
        <v>0.02</v>
      </c>
      <c r="F376" s="718"/>
      <c r="G376" s="24">
        <f t="shared" si="60"/>
        <v>0.1</v>
      </c>
      <c r="H376" s="718"/>
      <c r="I376" s="24">
        <f t="shared" si="61"/>
        <v>0.05</v>
      </c>
      <c r="J376" s="718"/>
      <c r="K376" s="24">
        <f t="shared" si="62"/>
        <v>0.2</v>
      </c>
      <c r="L376" s="718"/>
      <c r="M376" s="24">
        <f t="shared" si="63"/>
        <v>1</v>
      </c>
      <c r="N376" s="718"/>
      <c r="O376" s="24">
        <f t="shared" si="64"/>
        <v>1</v>
      </c>
      <c r="P376" s="718"/>
      <c r="Q376" s="24">
        <f t="shared" si="65"/>
        <v>1</v>
      </c>
      <c r="R376" s="714">
        <f t="shared" si="66"/>
        <v>0</v>
      </c>
      <c r="S376" s="361">
        <f t="shared" si="57"/>
        <v>0</v>
      </c>
    </row>
    <row r="377" spans="1:19">
      <c r="A377" s="159"/>
      <c r="B377" s="59"/>
      <c r="C377" s="24">
        <f t="shared" si="58"/>
        <v>1</v>
      </c>
      <c r="D377" s="718"/>
      <c r="E377" s="24">
        <f t="shared" si="59"/>
        <v>0.02</v>
      </c>
      <c r="F377" s="718"/>
      <c r="G377" s="24">
        <f t="shared" si="60"/>
        <v>0.1</v>
      </c>
      <c r="H377" s="718"/>
      <c r="I377" s="24">
        <f t="shared" si="61"/>
        <v>0.05</v>
      </c>
      <c r="J377" s="718"/>
      <c r="K377" s="24">
        <f t="shared" si="62"/>
        <v>0.2</v>
      </c>
      <c r="L377" s="718"/>
      <c r="M377" s="24">
        <f t="shared" si="63"/>
        <v>1</v>
      </c>
      <c r="N377" s="718"/>
      <c r="O377" s="24">
        <f t="shared" si="64"/>
        <v>1</v>
      </c>
      <c r="P377" s="718"/>
      <c r="Q377" s="24">
        <f t="shared" si="65"/>
        <v>1</v>
      </c>
      <c r="R377" s="714">
        <f t="shared" si="66"/>
        <v>0</v>
      </c>
      <c r="S377" s="361">
        <f t="shared" si="57"/>
        <v>0</v>
      </c>
    </row>
    <row r="378" spans="1:19">
      <c r="A378" s="159"/>
      <c r="B378" s="59"/>
      <c r="C378" s="24">
        <f t="shared" si="58"/>
        <v>1</v>
      </c>
      <c r="D378" s="718"/>
      <c r="E378" s="24">
        <f t="shared" si="59"/>
        <v>0.02</v>
      </c>
      <c r="F378" s="718"/>
      <c r="G378" s="24">
        <f t="shared" si="60"/>
        <v>0.1</v>
      </c>
      <c r="H378" s="718"/>
      <c r="I378" s="24">
        <f t="shared" si="61"/>
        <v>0.05</v>
      </c>
      <c r="J378" s="718"/>
      <c r="K378" s="24">
        <f t="shared" si="62"/>
        <v>0.2</v>
      </c>
      <c r="L378" s="718"/>
      <c r="M378" s="24">
        <f t="shared" si="63"/>
        <v>1</v>
      </c>
      <c r="N378" s="718"/>
      <c r="O378" s="24">
        <f t="shared" si="64"/>
        <v>1</v>
      </c>
      <c r="P378" s="718"/>
      <c r="Q378" s="24">
        <f t="shared" si="65"/>
        <v>1</v>
      </c>
      <c r="R378" s="714">
        <f t="shared" si="66"/>
        <v>0</v>
      </c>
      <c r="S378" s="361">
        <f t="shared" si="57"/>
        <v>0</v>
      </c>
    </row>
    <row r="379" spans="1:19">
      <c r="A379" s="159"/>
      <c r="B379" s="59"/>
      <c r="C379" s="24">
        <f t="shared" si="58"/>
        <v>1</v>
      </c>
      <c r="D379" s="718"/>
      <c r="E379" s="24">
        <f t="shared" si="59"/>
        <v>0.02</v>
      </c>
      <c r="F379" s="718"/>
      <c r="G379" s="24">
        <f t="shared" si="60"/>
        <v>0.1</v>
      </c>
      <c r="H379" s="718"/>
      <c r="I379" s="24">
        <f t="shared" si="61"/>
        <v>0.05</v>
      </c>
      <c r="J379" s="718"/>
      <c r="K379" s="24">
        <f t="shared" si="62"/>
        <v>0.2</v>
      </c>
      <c r="L379" s="718"/>
      <c r="M379" s="24">
        <f t="shared" si="63"/>
        <v>1</v>
      </c>
      <c r="N379" s="718"/>
      <c r="O379" s="24">
        <f t="shared" si="64"/>
        <v>1</v>
      </c>
      <c r="P379" s="718"/>
      <c r="Q379" s="24">
        <f t="shared" si="65"/>
        <v>1</v>
      </c>
      <c r="R379" s="714">
        <f t="shared" si="66"/>
        <v>0</v>
      </c>
      <c r="S379" s="361">
        <f t="shared" si="57"/>
        <v>0</v>
      </c>
    </row>
    <row r="380" spans="1:19">
      <c r="A380" s="159"/>
      <c r="B380" s="59"/>
      <c r="C380" s="24">
        <f t="shared" si="58"/>
        <v>1</v>
      </c>
      <c r="D380" s="718"/>
      <c r="E380" s="24">
        <f t="shared" si="59"/>
        <v>0.02</v>
      </c>
      <c r="F380" s="718"/>
      <c r="G380" s="24">
        <f t="shared" si="60"/>
        <v>0.1</v>
      </c>
      <c r="H380" s="718"/>
      <c r="I380" s="24">
        <f t="shared" si="61"/>
        <v>0.05</v>
      </c>
      <c r="J380" s="718"/>
      <c r="K380" s="24">
        <f t="shared" si="62"/>
        <v>0.2</v>
      </c>
      <c r="L380" s="718"/>
      <c r="M380" s="24">
        <f t="shared" si="63"/>
        <v>1</v>
      </c>
      <c r="N380" s="718"/>
      <c r="O380" s="24">
        <f t="shared" si="64"/>
        <v>1</v>
      </c>
      <c r="P380" s="718"/>
      <c r="Q380" s="24">
        <f t="shared" si="65"/>
        <v>1</v>
      </c>
      <c r="R380" s="714">
        <f t="shared" si="66"/>
        <v>0</v>
      </c>
      <c r="S380" s="361">
        <f t="shared" si="57"/>
        <v>0</v>
      </c>
    </row>
    <row r="381" spans="1:19">
      <c r="A381" s="159"/>
      <c r="B381" s="59"/>
      <c r="C381" s="24">
        <f t="shared" si="58"/>
        <v>1</v>
      </c>
      <c r="D381" s="718"/>
      <c r="E381" s="24">
        <f t="shared" si="59"/>
        <v>0.02</v>
      </c>
      <c r="F381" s="718"/>
      <c r="G381" s="24">
        <f t="shared" si="60"/>
        <v>0.1</v>
      </c>
      <c r="H381" s="718"/>
      <c r="I381" s="24">
        <f t="shared" si="61"/>
        <v>0.05</v>
      </c>
      <c r="J381" s="718"/>
      <c r="K381" s="24">
        <f t="shared" si="62"/>
        <v>0.2</v>
      </c>
      <c r="L381" s="718"/>
      <c r="M381" s="24">
        <f t="shared" si="63"/>
        <v>1</v>
      </c>
      <c r="N381" s="718"/>
      <c r="O381" s="24">
        <f t="shared" si="64"/>
        <v>1</v>
      </c>
      <c r="P381" s="718"/>
      <c r="Q381" s="24">
        <f t="shared" si="65"/>
        <v>1</v>
      </c>
      <c r="R381" s="714">
        <f t="shared" si="66"/>
        <v>0</v>
      </c>
      <c r="S381" s="361">
        <f t="shared" si="57"/>
        <v>0</v>
      </c>
    </row>
    <row r="382" spans="1:19">
      <c r="A382" s="159"/>
      <c r="B382" s="59"/>
      <c r="C382" s="24">
        <f t="shared" si="58"/>
        <v>1</v>
      </c>
      <c r="D382" s="718"/>
      <c r="E382" s="24">
        <f t="shared" si="59"/>
        <v>0.02</v>
      </c>
      <c r="F382" s="718"/>
      <c r="G382" s="24">
        <f t="shared" si="60"/>
        <v>0.1</v>
      </c>
      <c r="H382" s="718"/>
      <c r="I382" s="24">
        <f t="shared" si="61"/>
        <v>0.05</v>
      </c>
      <c r="J382" s="718"/>
      <c r="K382" s="24">
        <f t="shared" si="62"/>
        <v>0.2</v>
      </c>
      <c r="L382" s="718"/>
      <c r="M382" s="24">
        <f t="shared" si="63"/>
        <v>1</v>
      </c>
      <c r="N382" s="718"/>
      <c r="O382" s="24">
        <f t="shared" si="64"/>
        <v>1</v>
      </c>
      <c r="P382" s="718"/>
      <c r="Q382" s="24">
        <f t="shared" si="65"/>
        <v>1</v>
      </c>
      <c r="R382" s="714">
        <f t="shared" si="66"/>
        <v>0</v>
      </c>
      <c r="S382" s="361">
        <f t="shared" si="57"/>
        <v>0</v>
      </c>
    </row>
    <row r="383" spans="1:19">
      <c r="A383" s="159"/>
      <c r="B383" s="59"/>
      <c r="C383" s="24">
        <f t="shared" si="58"/>
        <v>1</v>
      </c>
      <c r="D383" s="718"/>
      <c r="E383" s="24">
        <f t="shared" si="59"/>
        <v>0.02</v>
      </c>
      <c r="F383" s="718"/>
      <c r="G383" s="24">
        <f t="shared" si="60"/>
        <v>0.1</v>
      </c>
      <c r="H383" s="718"/>
      <c r="I383" s="24">
        <f t="shared" si="61"/>
        <v>0.05</v>
      </c>
      <c r="J383" s="718"/>
      <c r="K383" s="24">
        <f t="shared" si="62"/>
        <v>0.2</v>
      </c>
      <c r="L383" s="718"/>
      <c r="M383" s="24">
        <f t="shared" si="63"/>
        <v>1</v>
      </c>
      <c r="N383" s="718"/>
      <c r="O383" s="24">
        <f t="shared" si="64"/>
        <v>1</v>
      </c>
      <c r="P383" s="718"/>
      <c r="Q383" s="24">
        <f t="shared" si="65"/>
        <v>1</v>
      </c>
      <c r="R383" s="714">
        <f t="shared" si="66"/>
        <v>0</v>
      </c>
      <c r="S383" s="361">
        <f t="shared" si="57"/>
        <v>0</v>
      </c>
    </row>
    <row r="384" spans="1:19">
      <c r="A384" s="159"/>
      <c r="B384" s="59"/>
      <c r="C384" s="24">
        <f t="shared" si="58"/>
        <v>1</v>
      </c>
      <c r="D384" s="718"/>
      <c r="E384" s="24">
        <f t="shared" si="59"/>
        <v>0.02</v>
      </c>
      <c r="F384" s="718"/>
      <c r="G384" s="24">
        <f t="shared" si="60"/>
        <v>0.1</v>
      </c>
      <c r="H384" s="718"/>
      <c r="I384" s="24">
        <f t="shared" si="61"/>
        <v>0.05</v>
      </c>
      <c r="J384" s="718"/>
      <c r="K384" s="24">
        <f t="shared" si="62"/>
        <v>0.2</v>
      </c>
      <c r="L384" s="718"/>
      <c r="M384" s="24">
        <f t="shared" si="63"/>
        <v>1</v>
      </c>
      <c r="N384" s="718"/>
      <c r="O384" s="24">
        <f t="shared" si="64"/>
        <v>1</v>
      </c>
      <c r="P384" s="718"/>
      <c r="Q384" s="24">
        <f t="shared" si="65"/>
        <v>1</v>
      </c>
      <c r="R384" s="714">
        <f t="shared" si="66"/>
        <v>0</v>
      </c>
      <c r="S384" s="361">
        <f t="shared" si="57"/>
        <v>0</v>
      </c>
    </row>
    <row r="385" spans="1:19">
      <c r="A385" s="159"/>
      <c r="B385" s="59"/>
      <c r="C385" s="24">
        <f t="shared" si="58"/>
        <v>1</v>
      </c>
      <c r="D385" s="718"/>
      <c r="E385" s="24">
        <f t="shared" si="59"/>
        <v>0.02</v>
      </c>
      <c r="F385" s="718"/>
      <c r="G385" s="24">
        <f t="shared" si="60"/>
        <v>0.1</v>
      </c>
      <c r="H385" s="718"/>
      <c r="I385" s="24">
        <f t="shared" si="61"/>
        <v>0.05</v>
      </c>
      <c r="J385" s="718"/>
      <c r="K385" s="24">
        <f t="shared" si="62"/>
        <v>0.2</v>
      </c>
      <c r="L385" s="718"/>
      <c r="M385" s="24">
        <f t="shared" si="63"/>
        <v>1</v>
      </c>
      <c r="N385" s="718"/>
      <c r="O385" s="24">
        <f t="shared" si="64"/>
        <v>1</v>
      </c>
      <c r="P385" s="718"/>
      <c r="Q385" s="24">
        <f t="shared" si="65"/>
        <v>1</v>
      </c>
      <c r="R385" s="714">
        <f t="shared" si="66"/>
        <v>0</v>
      </c>
      <c r="S385" s="361">
        <f t="shared" si="57"/>
        <v>0</v>
      </c>
    </row>
    <row r="386" spans="1:19">
      <c r="A386" s="159"/>
      <c r="B386" s="59"/>
      <c r="C386" s="24">
        <f t="shared" si="58"/>
        <v>1</v>
      </c>
      <c r="D386" s="718"/>
      <c r="E386" s="24">
        <f t="shared" si="59"/>
        <v>0.02</v>
      </c>
      <c r="F386" s="718"/>
      <c r="G386" s="24">
        <f t="shared" si="60"/>
        <v>0.1</v>
      </c>
      <c r="H386" s="718"/>
      <c r="I386" s="24">
        <f t="shared" si="61"/>
        <v>0.05</v>
      </c>
      <c r="J386" s="718"/>
      <c r="K386" s="24">
        <f t="shared" si="62"/>
        <v>0.2</v>
      </c>
      <c r="L386" s="718"/>
      <c r="M386" s="24">
        <f t="shared" si="63"/>
        <v>1</v>
      </c>
      <c r="N386" s="718"/>
      <c r="O386" s="24">
        <f t="shared" si="64"/>
        <v>1</v>
      </c>
      <c r="P386" s="718"/>
      <c r="Q386" s="24">
        <f t="shared" si="65"/>
        <v>1</v>
      </c>
      <c r="R386" s="714">
        <f t="shared" si="66"/>
        <v>0</v>
      </c>
      <c r="S386" s="361">
        <f t="shared" si="57"/>
        <v>0</v>
      </c>
    </row>
    <row r="387" spans="1:19">
      <c r="A387" s="159"/>
      <c r="B387" s="59"/>
      <c r="C387" s="24">
        <f t="shared" si="58"/>
        <v>1</v>
      </c>
      <c r="D387" s="718"/>
      <c r="E387" s="24">
        <f t="shared" si="59"/>
        <v>0.02</v>
      </c>
      <c r="F387" s="718"/>
      <c r="G387" s="24">
        <f t="shared" si="60"/>
        <v>0.1</v>
      </c>
      <c r="H387" s="718"/>
      <c r="I387" s="24">
        <f t="shared" si="61"/>
        <v>0.05</v>
      </c>
      <c r="J387" s="718"/>
      <c r="K387" s="24">
        <f t="shared" si="62"/>
        <v>0.2</v>
      </c>
      <c r="L387" s="718"/>
      <c r="M387" s="24">
        <f t="shared" si="63"/>
        <v>1</v>
      </c>
      <c r="N387" s="718"/>
      <c r="O387" s="24">
        <f t="shared" si="64"/>
        <v>1</v>
      </c>
      <c r="P387" s="718"/>
      <c r="Q387" s="24">
        <f t="shared" si="65"/>
        <v>1</v>
      </c>
      <c r="R387" s="714">
        <f t="shared" si="66"/>
        <v>0</v>
      </c>
      <c r="S387" s="361">
        <f t="shared" si="57"/>
        <v>0</v>
      </c>
    </row>
    <row r="388" spans="1:19">
      <c r="A388" s="159"/>
      <c r="B388" s="59"/>
      <c r="C388" s="24">
        <f t="shared" si="58"/>
        <v>1</v>
      </c>
      <c r="D388" s="718"/>
      <c r="E388" s="24">
        <f t="shared" si="59"/>
        <v>0.02</v>
      </c>
      <c r="F388" s="718"/>
      <c r="G388" s="24">
        <f t="shared" si="60"/>
        <v>0.1</v>
      </c>
      <c r="H388" s="718"/>
      <c r="I388" s="24">
        <f t="shared" si="61"/>
        <v>0.05</v>
      </c>
      <c r="J388" s="718"/>
      <c r="K388" s="24">
        <f t="shared" si="62"/>
        <v>0.2</v>
      </c>
      <c r="L388" s="718"/>
      <c r="M388" s="24">
        <f t="shared" si="63"/>
        <v>1</v>
      </c>
      <c r="N388" s="718"/>
      <c r="O388" s="24">
        <f t="shared" si="64"/>
        <v>1</v>
      </c>
      <c r="P388" s="718"/>
      <c r="Q388" s="24">
        <f t="shared" si="65"/>
        <v>1</v>
      </c>
      <c r="R388" s="714">
        <f t="shared" si="66"/>
        <v>0</v>
      </c>
      <c r="S388" s="361">
        <f t="shared" si="57"/>
        <v>0</v>
      </c>
    </row>
    <row r="389" spans="1:19">
      <c r="A389" s="159"/>
      <c r="B389" s="59"/>
      <c r="C389" s="24">
        <f t="shared" si="58"/>
        <v>1</v>
      </c>
      <c r="D389" s="718"/>
      <c r="E389" s="24">
        <f t="shared" si="59"/>
        <v>0.02</v>
      </c>
      <c r="F389" s="718"/>
      <c r="G389" s="24">
        <f t="shared" si="60"/>
        <v>0.1</v>
      </c>
      <c r="H389" s="718"/>
      <c r="I389" s="24">
        <f t="shared" si="61"/>
        <v>0.05</v>
      </c>
      <c r="J389" s="718"/>
      <c r="K389" s="24">
        <f t="shared" si="62"/>
        <v>0.2</v>
      </c>
      <c r="L389" s="718"/>
      <c r="M389" s="24">
        <f t="shared" si="63"/>
        <v>1</v>
      </c>
      <c r="N389" s="718"/>
      <c r="O389" s="24">
        <f t="shared" si="64"/>
        <v>1</v>
      </c>
      <c r="P389" s="718"/>
      <c r="Q389" s="24">
        <f t="shared" si="65"/>
        <v>1</v>
      </c>
      <c r="R389" s="714">
        <f t="shared" si="66"/>
        <v>0</v>
      </c>
      <c r="S389" s="361">
        <f t="shared" si="57"/>
        <v>0</v>
      </c>
    </row>
    <row r="390" spans="1:19">
      <c r="A390" s="159"/>
      <c r="B390" s="59"/>
      <c r="C390" s="24">
        <f t="shared" si="58"/>
        <v>1</v>
      </c>
      <c r="D390" s="718"/>
      <c r="E390" s="24">
        <f t="shared" si="59"/>
        <v>0.02</v>
      </c>
      <c r="F390" s="718"/>
      <c r="G390" s="24">
        <f t="shared" si="60"/>
        <v>0.1</v>
      </c>
      <c r="H390" s="718"/>
      <c r="I390" s="24">
        <f t="shared" si="61"/>
        <v>0.05</v>
      </c>
      <c r="J390" s="718"/>
      <c r="K390" s="24">
        <f t="shared" si="62"/>
        <v>0.2</v>
      </c>
      <c r="L390" s="718"/>
      <c r="M390" s="24">
        <f t="shared" si="63"/>
        <v>1</v>
      </c>
      <c r="N390" s="718"/>
      <c r="O390" s="24">
        <f t="shared" si="64"/>
        <v>1</v>
      </c>
      <c r="P390" s="718"/>
      <c r="Q390" s="24">
        <f t="shared" si="65"/>
        <v>1</v>
      </c>
      <c r="R390" s="714">
        <f t="shared" si="66"/>
        <v>0</v>
      </c>
      <c r="S390" s="361">
        <f t="shared" si="57"/>
        <v>0</v>
      </c>
    </row>
    <row r="391" spans="1:19">
      <c r="A391" s="159"/>
      <c r="B391" s="59"/>
      <c r="C391" s="24">
        <f t="shared" si="58"/>
        <v>1</v>
      </c>
      <c r="D391" s="718"/>
      <c r="E391" s="24">
        <f t="shared" si="59"/>
        <v>0.02</v>
      </c>
      <c r="F391" s="718"/>
      <c r="G391" s="24">
        <f t="shared" si="60"/>
        <v>0.1</v>
      </c>
      <c r="H391" s="718"/>
      <c r="I391" s="24">
        <f t="shared" si="61"/>
        <v>0.05</v>
      </c>
      <c r="J391" s="718"/>
      <c r="K391" s="24">
        <f t="shared" si="62"/>
        <v>0.2</v>
      </c>
      <c r="L391" s="718"/>
      <c r="M391" s="24">
        <f t="shared" si="63"/>
        <v>1</v>
      </c>
      <c r="N391" s="718"/>
      <c r="O391" s="24">
        <f t="shared" si="64"/>
        <v>1</v>
      </c>
      <c r="P391" s="718"/>
      <c r="Q391" s="24">
        <f t="shared" si="65"/>
        <v>1</v>
      </c>
      <c r="R391" s="714">
        <f t="shared" si="66"/>
        <v>0</v>
      </c>
      <c r="S391" s="361">
        <f t="shared" si="57"/>
        <v>0</v>
      </c>
    </row>
    <row r="392" spans="1:19">
      <c r="A392" s="159"/>
      <c r="B392" s="59"/>
      <c r="C392" s="24">
        <f t="shared" si="58"/>
        <v>1</v>
      </c>
      <c r="D392" s="718"/>
      <c r="E392" s="24">
        <f t="shared" si="59"/>
        <v>0.02</v>
      </c>
      <c r="F392" s="718"/>
      <c r="G392" s="24">
        <f t="shared" si="60"/>
        <v>0.1</v>
      </c>
      <c r="H392" s="718"/>
      <c r="I392" s="24">
        <f t="shared" si="61"/>
        <v>0.05</v>
      </c>
      <c r="J392" s="718"/>
      <c r="K392" s="24">
        <f t="shared" si="62"/>
        <v>0.2</v>
      </c>
      <c r="L392" s="718"/>
      <c r="M392" s="24">
        <f t="shared" si="63"/>
        <v>1</v>
      </c>
      <c r="N392" s="718"/>
      <c r="O392" s="24">
        <f t="shared" si="64"/>
        <v>1</v>
      </c>
      <c r="P392" s="718"/>
      <c r="Q392" s="24">
        <f t="shared" si="65"/>
        <v>1</v>
      </c>
      <c r="R392" s="714">
        <f t="shared" si="66"/>
        <v>0</v>
      </c>
      <c r="S392" s="361">
        <f t="shared" si="57"/>
        <v>0</v>
      </c>
    </row>
    <row r="393" spans="1:19">
      <c r="A393" s="159"/>
      <c r="B393" s="59"/>
      <c r="C393" s="24">
        <f t="shared" si="58"/>
        <v>1</v>
      </c>
      <c r="D393" s="718"/>
      <c r="E393" s="24">
        <f t="shared" si="59"/>
        <v>0.02</v>
      </c>
      <c r="F393" s="718"/>
      <c r="G393" s="24">
        <f t="shared" si="60"/>
        <v>0.1</v>
      </c>
      <c r="H393" s="718"/>
      <c r="I393" s="24">
        <f t="shared" si="61"/>
        <v>0.05</v>
      </c>
      <c r="J393" s="718"/>
      <c r="K393" s="24">
        <f t="shared" si="62"/>
        <v>0.2</v>
      </c>
      <c r="L393" s="718"/>
      <c r="M393" s="24">
        <f t="shared" si="63"/>
        <v>1</v>
      </c>
      <c r="N393" s="718"/>
      <c r="O393" s="24">
        <f t="shared" si="64"/>
        <v>1</v>
      </c>
      <c r="P393" s="718"/>
      <c r="Q393" s="24">
        <f t="shared" si="65"/>
        <v>1</v>
      </c>
      <c r="R393" s="714">
        <f t="shared" si="66"/>
        <v>0</v>
      </c>
      <c r="S393" s="361">
        <f t="shared" si="57"/>
        <v>0</v>
      </c>
    </row>
    <row r="394" spans="1:19">
      <c r="A394" s="159"/>
      <c r="B394" s="59"/>
      <c r="C394" s="24">
        <f t="shared" si="58"/>
        <v>1</v>
      </c>
      <c r="D394" s="718"/>
      <c r="E394" s="24">
        <f t="shared" si="59"/>
        <v>0.02</v>
      </c>
      <c r="F394" s="718"/>
      <c r="G394" s="24">
        <f t="shared" si="60"/>
        <v>0.1</v>
      </c>
      <c r="H394" s="718"/>
      <c r="I394" s="24">
        <f t="shared" si="61"/>
        <v>0.05</v>
      </c>
      <c r="J394" s="718"/>
      <c r="K394" s="24">
        <f t="shared" si="62"/>
        <v>0.2</v>
      </c>
      <c r="L394" s="718"/>
      <c r="M394" s="24">
        <f t="shared" si="63"/>
        <v>1</v>
      </c>
      <c r="N394" s="718"/>
      <c r="O394" s="24">
        <f t="shared" si="64"/>
        <v>1</v>
      </c>
      <c r="P394" s="718"/>
      <c r="Q394" s="24">
        <f t="shared" si="65"/>
        <v>1</v>
      </c>
      <c r="R394" s="714">
        <f t="shared" si="66"/>
        <v>0</v>
      </c>
      <c r="S394" s="361">
        <f t="shared" si="57"/>
        <v>0</v>
      </c>
    </row>
    <row r="395" spans="1:19">
      <c r="A395" s="159"/>
      <c r="B395" s="59"/>
      <c r="C395" s="24">
        <f t="shared" si="58"/>
        <v>1</v>
      </c>
      <c r="D395" s="718"/>
      <c r="E395" s="24">
        <f t="shared" si="59"/>
        <v>0.02</v>
      </c>
      <c r="F395" s="718"/>
      <c r="G395" s="24">
        <f t="shared" si="60"/>
        <v>0.1</v>
      </c>
      <c r="H395" s="718"/>
      <c r="I395" s="24">
        <f t="shared" si="61"/>
        <v>0.05</v>
      </c>
      <c r="J395" s="718"/>
      <c r="K395" s="24">
        <f t="shared" si="62"/>
        <v>0.2</v>
      </c>
      <c r="L395" s="718"/>
      <c r="M395" s="24">
        <f t="shared" si="63"/>
        <v>1</v>
      </c>
      <c r="N395" s="718"/>
      <c r="O395" s="24">
        <f t="shared" si="64"/>
        <v>1</v>
      </c>
      <c r="P395" s="718"/>
      <c r="Q395" s="24">
        <f t="shared" si="65"/>
        <v>1</v>
      </c>
      <c r="R395" s="714">
        <f t="shared" si="66"/>
        <v>0</v>
      </c>
      <c r="S395" s="361">
        <f t="shared" si="57"/>
        <v>0</v>
      </c>
    </row>
    <row r="396" spans="1:19">
      <c r="A396" s="159"/>
      <c r="B396" s="59"/>
      <c r="C396" s="24">
        <f t="shared" si="58"/>
        <v>1</v>
      </c>
      <c r="D396" s="718"/>
      <c r="E396" s="24">
        <f t="shared" si="59"/>
        <v>0.02</v>
      </c>
      <c r="F396" s="718"/>
      <c r="G396" s="24">
        <f t="shared" si="60"/>
        <v>0.1</v>
      </c>
      <c r="H396" s="718"/>
      <c r="I396" s="24">
        <f t="shared" si="61"/>
        <v>0.05</v>
      </c>
      <c r="J396" s="718"/>
      <c r="K396" s="24">
        <f t="shared" si="62"/>
        <v>0.2</v>
      </c>
      <c r="L396" s="718"/>
      <c r="M396" s="24">
        <f t="shared" si="63"/>
        <v>1</v>
      </c>
      <c r="N396" s="718"/>
      <c r="O396" s="24">
        <f t="shared" si="64"/>
        <v>1</v>
      </c>
      <c r="P396" s="718"/>
      <c r="Q396" s="24">
        <f t="shared" si="65"/>
        <v>1</v>
      </c>
      <c r="R396" s="714">
        <f t="shared" si="66"/>
        <v>0</v>
      </c>
      <c r="S396" s="361">
        <f t="shared" si="57"/>
        <v>0</v>
      </c>
    </row>
    <row r="397" spans="1:19">
      <c r="A397" s="159"/>
      <c r="B397" s="59"/>
      <c r="C397" s="24">
        <f t="shared" si="58"/>
        <v>1</v>
      </c>
      <c r="D397" s="718"/>
      <c r="E397" s="24">
        <f t="shared" si="59"/>
        <v>0.02</v>
      </c>
      <c r="F397" s="718"/>
      <c r="G397" s="24">
        <f t="shared" si="60"/>
        <v>0.1</v>
      </c>
      <c r="H397" s="718"/>
      <c r="I397" s="24">
        <f t="shared" si="61"/>
        <v>0.05</v>
      </c>
      <c r="J397" s="718"/>
      <c r="K397" s="24">
        <f t="shared" si="62"/>
        <v>0.2</v>
      </c>
      <c r="L397" s="718"/>
      <c r="M397" s="24">
        <f t="shared" si="63"/>
        <v>1</v>
      </c>
      <c r="N397" s="718"/>
      <c r="O397" s="24">
        <f t="shared" si="64"/>
        <v>1</v>
      </c>
      <c r="P397" s="718"/>
      <c r="Q397" s="24">
        <f t="shared" si="65"/>
        <v>1</v>
      </c>
      <c r="R397" s="714">
        <f t="shared" si="66"/>
        <v>0</v>
      </c>
      <c r="S397" s="361">
        <f t="shared" si="57"/>
        <v>0</v>
      </c>
    </row>
    <row r="398" spans="1:19">
      <c r="A398" s="159"/>
      <c r="B398" s="59"/>
      <c r="C398" s="24">
        <f t="shared" si="58"/>
        <v>1</v>
      </c>
      <c r="D398" s="718"/>
      <c r="E398" s="24">
        <f t="shared" si="59"/>
        <v>0.02</v>
      </c>
      <c r="F398" s="718"/>
      <c r="G398" s="24">
        <f t="shared" si="60"/>
        <v>0.1</v>
      </c>
      <c r="H398" s="718"/>
      <c r="I398" s="24">
        <f t="shared" si="61"/>
        <v>0.05</v>
      </c>
      <c r="J398" s="718"/>
      <c r="K398" s="24">
        <f t="shared" si="62"/>
        <v>0.2</v>
      </c>
      <c r="L398" s="718"/>
      <c r="M398" s="24">
        <f t="shared" si="63"/>
        <v>1</v>
      </c>
      <c r="N398" s="718"/>
      <c r="O398" s="24">
        <f t="shared" si="64"/>
        <v>1</v>
      </c>
      <c r="P398" s="718"/>
      <c r="Q398" s="24">
        <f t="shared" si="65"/>
        <v>1</v>
      </c>
      <c r="R398" s="714">
        <f t="shared" si="66"/>
        <v>0</v>
      </c>
      <c r="S398" s="361">
        <f t="shared" si="57"/>
        <v>0</v>
      </c>
    </row>
    <row r="399" spans="1:19">
      <c r="A399" s="159"/>
      <c r="B399" s="59"/>
      <c r="C399" s="24">
        <f t="shared" si="58"/>
        <v>1</v>
      </c>
      <c r="D399" s="718"/>
      <c r="E399" s="24">
        <f t="shared" si="59"/>
        <v>0.02</v>
      </c>
      <c r="F399" s="718"/>
      <c r="G399" s="24">
        <f t="shared" si="60"/>
        <v>0.1</v>
      </c>
      <c r="H399" s="718"/>
      <c r="I399" s="24">
        <f t="shared" si="61"/>
        <v>0.05</v>
      </c>
      <c r="J399" s="718"/>
      <c r="K399" s="24">
        <f t="shared" si="62"/>
        <v>0.2</v>
      </c>
      <c r="L399" s="718"/>
      <c r="M399" s="24">
        <f t="shared" si="63"/>
        <v>1</v>
      </c>
      <c r="N399" s="718"/>
      <c r="O399" s="24">
        <f t="shared" si="64"/>
        <v>1</v>
      </c>
      <c r="P399" s="718"/>
      <c r="Q399" s="24">
        <f t="shared" si="65"/>
        <v>1</v>
      </c>
      <c r="R399" s="714">
        <f t="shared" si="66"/>
        <v>0</v>
      </c>
      <c r="S399" s="361">
        <f t="shared" si="57"/>
        <v>0</v>
      </c>
    </row>
    <row r="400" spans="1:19">
      <c r="A400" s="159"/>
      <c r="B400" s="59"/>
      <c r="C400" s="24">
        <f t="shared" si="58"/>
        <v>1</v>
      </c>
      <c r="D400" s="718"/>
      <c r="E400" s="24">
        <f t="shared" si="59"/>
        <v>0.02</v>
      </c>
      <c r="F400" s="718"/>
      <c r="G400" s="24">
        <f t="shared" si="60"/>
        <v>0.1</v>
      </c>
      <c r="H400" s="718"/>
      <c r="I400" s="24">
        <f t="shared" si="61"/>
        <v>0.05</v>
      </c>
      <c r="J400" s="718"/>
      <c r="K400" s="24">
        <f t="shared" si="62"/>
        <v>0.2</v>
      </c>
      <c r="L400" s="718"/>
      <c r="M400" s="24">
        <f t="shared" si="63"/>
        <v>1</v>
      </c>
      <c r="N400" s="718"/>
      <c r="O400" s="24">
        <f t="shared" si="64"/>
        <v>1</v>
      </c>
      <c r="P400" s="718"/>
      <c r="Q400" s="24">
        <f t="shared" si="65"/>
        <v>1</v>
      </c>
      <c r="R400" s="714">
        <f t="shared" si="66"/>
        <v>0</v>
      </c>
      <c r="S400" s="361">
        <f t="shared" si="57"/>
        <v>0</v>
      </c>
    </row>
    <row r="401" spans="1:19">
      <c r="A401" s="159"/>
      <c r="B401" s="59"/>
      <c r="C401" s="24">
        <f t="shared" si="58"/>
        <v>1</v>
      </c>
      <c r="D401" s="718"/>
      <c r="E401" s="24">
        <f t="shared" si="59"/>
        <v>0.02</v>
      </c>
      <c r="F401" s="718"/>
      <c r="G401" s="24">
        <f t="shared" si="60"/>
        <v>0.1</v>
      </c>
      <c r="H401" s="718"/>
      <c r="I401" s="24">
        <f t="shared" si="61"/>
        <v>0.05</v>
      </c>
      <c r="J401" s="718"/>
      <c r="K401" s="24">
        <f t="shared" si="62"/>
        <v>0.2</v>
      </c>
      <c r="L401" s="718"/>
      <c r="M401" s="24">
        <f t="shared" si="63"/>
        <v>1</v>
      </c>
      <c r="N401" s="718"/>
      <c r="O401" s="24">
        <f t="shared" si="64"/>
        <v>1</v>
      </c>
      <c r="P401" s="718"/>
      <c r="Q401" s="24">
        <f t="shared" si="65"/>
        <v>1</v>
      </c>
      <c r="R401" s="714">
        <f t="shared" si="66"/>
        <v>0</v>
      </c>
      <c r="S401" s="361">
        <f t="shared" si="57"/>
        <v>0</v>
      </c>
    </row>
    <row r="402" spans="1:19">
      <c r="A402" s="159"/>
      <c r="B402" s="59"/>
      <c r="C402" s="24">
        <f t="shared" si="58"/>
        <v>1</v>
      </c>
      <c r="D402" s="718"/>
      <c r="E402" s="24">
        <f t="shared" si="59"/>
        <v>0.02</v>
      </c>
      <c r="F402" s="718"/>
      <c r="G402" s="24">
        <f t="shared" si="60"/>
        <v>0.1</v>
      </c>
      <c r="H402" s="718"/>
      <c r="I402" s="24">
        <f t="shared" si="61"/>
        <v>0.05</v>
      </c>
      <c r="J402" s="718"/>
      <c r="K402" s="24">
        <f t="shared" si="62"/>
        <v>0.2</v>
      </c>
      <c r="L402" s="718"/>
      <c r="M402" s="24">
        <f t="shared" si="63"/>
        <v>1</v>
      </c>
      <c r="N402" s="718"/>
      <c r="O402" s="24">
        <f t="shared" si="64"/>
        <v>1</v>
      </c>
      <c r="P402" s="718"/>
      <c r="Q402" s="24">
        <f t="shared" si="65"/>
        <v>1</v>
      </c>
      <c r="R402" s="714">
        <f t="shared" si="66"/>
        <v>0</v>
      </c>
      <c r="S402" s="361">
        <f t="shared" si="57"/>
        <v>0</v>
      </c>
    </row>
    <row r="403" spans="1:19">
      <c r="A403" s="159"/>
      <c r="B403" s="59"/>
      <c r="C403" s="24">
        <f t="shared" si="58"/>
        <v>1</v>
      </c>
      <c r="D403" s="718"/>
      <c r="E403" s="24">
        <f t="shared" si="59"/>
        <v>0.02</v>
      </c>
      <c r="F403" s="718"/>
      <c r="G403" s="24">
        <f t="shared" si="60"/>
        <v>0.1</v>
      </c>
      <c r="H403" s="718"/>
      <c r="I403" s="24">
        <f t="shared" si="61"/>
        <v>0.05</v>
      </c>
      <c r="J403" s="718"/>
      <c r="K403" s="24">
        <f t="shared" si="62"/>
        <v>0.2</v>
      </c>
      <c r="L403" s="718"/>
      <c r="M403" s="24">
        <f t="shared" si="63"/>
        <v>1</v>
      </c>
      <c r="N403" s="718"/>
      <c r="O403" s="24">
        <f t="shared" si="64"/>
        <v>1</v>
      </c>
      <c r="P403" s="718"/>
      <c r="Q403" s="24">
        <f t="shared" si="65"/>
        <v>1</v>
      </c>
      <c r="R403" s="714">
        <f t="shared" si="66"/>
        <v>0</v>
      </c>
      <c r="S403" s="361">
        <f t="shared" si="57"/>
        <v>0</v>
      </c>
    </row>
    <row r="404" spans="1:19">
      <c r="A404" s="159"/>
      <c r="B404" s="59"/>
      <c r="C404" s="24">
        <f t="shared" si="58"/>
        <v>1</v>
      </c>
      <c r="D404" s="718"/>
      <c r="E404" s="24">
        <f t="shared" si="59"/>
        <v>0.02</v>
      </c>
      <c r="F404" s="718"/>
      <c r="G404" s="24">
        <f t="shared" si="60"/>
        <v>0.1</v>
      </c>
      <c r="H404" s="718"/>
      <c r="I404" s="24">
        <f t="shared" si="61"/>
        <v>0.05</v>
      </c>
      <c r="J404" s="718"/>
      <c r="K404" s="24">
        <f t="shared" si="62"/>
        <v>0.2</v>
      </c>
      <c r="L404" s="718"/>
      <c r="M404" s="24">
        <f t="shared" si="63"/>
        <v>1</v>
      </c>
      <c r="N404" s="718"/>
      <c r="O404" s="24">
        <f t="shared" si="64"/>
        <v>1</v>
      </c>
      <c r="P404" s="718"/>
      <c r="Q404" s="24">
        <f t="shared" si="65"/>
        <v>1</v>
      </c>
      <c r="R404" s="714">
        <f t="shared" si="66"/>
        <v>0</v>
      </c>
      <c r="S404" s="361">
        <f t="shared" si="57"/>
        <v>0</v>
      </c>
    </row>
    <row r="405" spans="1:19">
      <c r="A405" s="159"/>
      <c r="B405" s="59"/>
      <c r="C405" s="24">
        <f t="shared" si="58"/>
        <v>1</v>
      </c>
      <c r="D405" s="718"/>
      <c r="E405" s="24">
        <f t="shared" si="59"/>
        <v>0.02</v>
      </c>
      <c r="F405" s="718"/>
      <c r="G405" s="24">
        <f t="shared" si="60"/>
        <v>0.1</v>
      </c>
      <c r="H405" s="718"/>
      <c r="I405" s="24">
        <f t="shared" si="61"/>
        <v>0.05</v>
      </c>
      <c r="J405" s="718"/>
      <c r="K405" s="24">
        <f t="shared" si="62"/>
        <v>0.2</v>
      </c>
      <c r="L405" s="718"/>
      <c r="M405" s="24">
        <f t="shared" si="63"/>
        <v>1</v>
      </c>
      <c r="N405" s="718"/>
      <c r="O405" s="24">
        <f t="shared" si="64"/>
        <v>1</v>
      </c>
      <c r="P405" s="718"/>
      <c r="Q405" s="24">
        <f t="shared" si="65"/>
        <v>1</v>
      </c>
      <c r="R405" s="714">
        <f t="shared" si="66"/>
        <v>0</v>
      </c>
      <c r="S405" s="361">
        <f t="shared" si="57"/>
        <v>0</v>
      </c>
    </row>
    <row r="406" spans="1:19">
      <c r="A406" s="159"/>
      <c r="B406" s="59"/>
      <c r="C406" s="24">
        <f t="shared" si="58"/>
        <v>1</v>
      </c>
      <c r="D406" s="718"/>
      <c r="E406" s="24">
        <f t="shared" si="59"/>
        <v>0.02</v>
      </c>
      <c r="F406" s="718"/>
      <c r="G406" s="24">
        <f t="shared" si="60"/>
        <v>0.1</v>
      </c>
      <c r="H406" s="718"/>
      <c r="I406" s="24">
        <f t="shared" si="61"/>
        <v>0.05</v>
      </c>
      <c r="J406" s="718"/>
      <c r="K406" s="24">
        <f t="shared" si="62"/>
        <v>0.2</v>
      </c>
      <c r="L406" s="718"/>
      <c r="M406" s="24">
        <f t="shared" si="63"/>
        <v>1</v>
      </c>
      <c r="N406" s="718"/>
      <c r="O406" s="24">
        <f t="shared" si="64"/>
        <v>1</v>
      </c>
      <c r="P406" s="718"/>
      <c r="Q406" s="24">
        <f t="shared" si="65"/>
        <v>1</v>
      </c>
      <c r="R406" s="714">
        <f t="shared" si="66"/>
        <v>0</v>
      </c>
      <c r="S406" s="361">
        <f t="shared" si="57"/>
        <v>0</v>
      </c>
    </row>
    <row r="407" spans="1:19">
      <c r="A407" s="159"/>
      <c r="B407" s="59"/>
      <c r="C407" s="24">
        <f t="shared" si="58"/>
        <v>1</v>
      </c>
      <c r="D407" s="718"/>
      <c r="E407" s="24">
        <f t="shared" si="59"/>
        <v>0.02</v>
      </c>
      <c r="F407" s="718"/>
      <c r="G407" s="24">
        <f t="shared" si="60"/>
        <v>0.1</v>
      </c>
      <c r="H407" s="718"/>
      <c r="I407" s="24">
        <f t="shared" si="61"/>
        <v>0.05</v>
      </c>
      <c r="J407" s="718"/>
      <c r="K407" s="24">
        <f t="shared" si="62"/>
        <v>0.2</v>
      </c>
      <c r="L407" s="718"/>
      <c r="M407" s="24">
        <f t="shared" si="63"/>
        <v>1</v>
      </c>
      <c r="N407" s="718"/>
      <c r="O407" s="24">
        <f t="shared" si="64"/>
        <v>1</v>
      </c>
      <c r="P407" s="718"/>
      <c r="Q407" s="24">
        <f t="shared" si="65"/>
        <v>1</v>
      </c>
      <c r="R407" s="714">
        <f t="shared" si="66"/>
        <v>0</v>
      </c>
      <c r="S407" s="361">
        <f t="shared" si="57"/>
        <v>0</v>
      </c>
    </row>
    <row r="408" spans="1:19">
      <c r="A408" s="159"/>
      <c r="B408" s="59"/>
      <c r="C408" s="24">
        <f t="shared" si="58"/>
        <v>1</v>
      </c>
      <c r="D408" s="718"/>
      <c r="E408" s="24">
        <f t="shared" si="59"/>
        <v>0.02</v>
      </c>
      <c r="F408" s="718"/>
      <c r="G408" s="24">
        <f t="shared" si="60"/>
        <v>0.1</v>
      </c>
      <c r="H408" s="718"/>
      <c r="I408" s="24">
        <f t="shared" si="61"/>
        <v>0.05</v>
      </c>
      <c r="J408" s="718"/>
      <c r="K408" s="24">
        <f t="shared" si="62"/>
        <v>0.2</v>
      </c>
      <c r="L408" s="718"/>
      <c r="M408" s="24">
        <f t="shared" si="63"/>
        <v>1</v>
      </c>
      <c r="N408" s="718"/>
      <c r="O408" s="24">
        <f t="shared" si="64"/>
        <v>1</v>
      </c>
      <c r="P408" s="718"/>
      <c r="Q408" s="24">
        <f t="shared" si="65"/>
        <v>1</v>
      </c>
      <c r="R408" s="714">
        <f t="shared" si="66"/>
        <v>0</v>
      </c>
      <c r="S408" s="361">
        <f t="shared" ref="S408:S471" si="67">ROUND(R408*B408/10000,0)</f>
        <v>0</v>
      </c>
    </row>
    <row r="409" spans="1:19">
      <c r="A409" s="159"/>
      <c r="B409" s="59"/>
      <c r="C409" s="24">
        <f t="shared" si="58"/>
        <v>1</v>
      </c>
      <c r="D409" s="718"/>
      <c r="E409" s="24">
        <f t="shared" si="59"/>
        <v>0.02</v>
      </c>
      <c r="F409" s="718"/>
      <c r="G409" s="24">
        <f t="shared" si="60"/>
        <v>0.1</v>
      </c>
      <c r="H409" s="718"/>
      <c r="I409" s="24">
        <f t="shared" si="61"/>
        <v>0.05</v>
      </c>
      <c r="J409" s="718"/>
      <c r="K409" s="24">
        <f t="shared" si="62"/>
        <v>0.2</v>
      </c>
      <c r="L409" s="718"/>
      <c r="M409" s="24">
        <f t="shared" si="63"/>
        <v>1</v>
      </c>
      <c r="N409" s="718"/>
      <c r="O409" s="24">
        <f t="shared" si="64"/>
        <v>1</v>
      </c>
      <c r="P409" s="718"/>
      <c r="Q409" s="24">
        <f t="shared" si="65"/>
        <v>1</v>
      </c>
      <c r="R409" s="714">
        <f t="shared" si="66"/>
        <v>0</v>
      </c>
      <c r="S409" s="361">
        <f t="shared" si="67"/>
        <v>0</v>
      </c>
    </row>
    <row r="410" spans="1:19">
      <c r="A410" s="159"/>
      <c r="B410" s="59"/>
      <c r="C410" s="24">
        <f t="shared" ref="C410:C473" si="68">IF(B410="",1,(LOOKUP(B410,$3:$3,$4:$4)-LOOKUP($B$24,$3:$3,$4:$4)+100)/100)</f>
        <v>1</v>
      </c>
      <c r="D410" s="718"/>
      <c r="E410" s="24">
        <f t="shared" ref="E410:E473" si="69">(SUMIF($5:$5,D410,$6:$6)-SUMIF($5:$5,$D$24,$6:$6)+100)/100</f>
        <v>0.02</v>
      </c>
      <c r="F410" s="718"/>
      <c r="G410" s="24">
        <f t="shared" ref="G410:G473" si="70">(SUMIF($7:$7,F410,$8:$8)-SUMIF($7:$7,$F$24,$8:$8)+100)/100</f>
        <v>0.1</v>
      </c>
      <c r="H410" s="718"/>
      <c r="I410" s="24">
        <f t="shared" ref="I410:I473" si="71">(SUMIF($9:$9,H410,$10:$10)-SUMIF($9:$9,$H$24,$10:$10)+100)/100</f>
        <v>0.05</v>
      </c>
      <c r="J410" s="718"/>
      <c r="K410" s="24">
        <f t="shared" ref="K410:K473" si="72">(SUMIF($11:$11,J410,$12:$12)-SUMIF($11:$11,$J$24,$12:$12)+100)/100</f>
        <v>0.2</v>
      </c>
      <c r="L410" s="718"/>
      <c r="M410" s="24">
        <f t="shared" ref="M410:M473" si="73">(SUMIF($13:$13,L410,$14:$14)-SUMIF($13:$13,$L$24,$14:$14)+100)/100</f>
        <v>1</v>
      </c>
      <c r="N410" s="718"/>
      <c r="O410" s="24">
        <f t="shared" ref="O410:O473" si="74">(SUMIF($15:$15,N410,$16:$16)-SUMIF($15:$15,$N$24,$16:$16)+100)/100</f>
        <v>1</v>
      </c>
      <c r="P410" s="718"/>
      <c r="Q410" s="24">
        <f t="shared" ref="Q410:Q473" si="75">(SUMIF($17:$17,P410,$18:$18)-SUMIF($17:$17,$P$24,$18:$18)+100)/100</f>
        <v>1</v>
      </c>
      <c r="R410" s="714">
        <f t="shared" ref="R410:R473" si="76">IF(B410="",0,ROUND($R$24*C410*E410*G410*I410*K410*M410*O410*Q410,0))</f>
        <v>0</v>
      </c>
      <c r="S410" s="361">
        <f t="shared" si="67"/>
        <v>0</v>
      </c>
    </row>
    <row r="411" spans="1:19">
      <c r="A411" s="159"/>
      <c r="B411" s="59"/>
      <c r="C411" s="24">
        <f t="shared" si="68"/>
        <v>1</v>
      </c>
      <c r="D411" s="718"/>
      <c r="E411" s="24">
        <f t="shared" si="69"/>
        <v>0.02</v>
      </c>
      <c r="F411" s="718"/>
      <c r="G411" s="24">
        <f t="shared" si="70"/>
        <v>0.1</v>
      </c>
      <c r="H411" s="718"/>
      <c r="I411" s="24">
        <f t="shared" si="71"/>
        <v>0.05</v>
      </c>
      <c r="J411" s="718"/>
      <c r="K411" s="24">
        <f t="shared" si="72"/>
        <v>0.2</v>
      </c>
      <c r="L411" s="718"/>
      <c r="M411" s="24">
        <f t="shared" si="73"/>
        <v>1</v>
      </c>
      <c r="N411" s="718"/>
      <c r="O411" s="24">
        <f t="shared" si="74"/>
        <v>1</v>
      </c>
      <c r="P411" s="718"/>
      <c r="Q411" s="24">
        <f t="shared" si="75"/>
        <v>1</v>
      </c>
      <c r="R411" s="714">
        <f t="shared" si="76"/>
        <v>0</v>
      </c>
      <c r="S411" s="361">
        <f t="shared" si="67"/>
        <v>0</v>
      </c>
    </row>
    <row r="412" spans="1:19">
      <c r="A412" s="159"/>
      <c r="B412" s="59"/>
      <c r="C412" s="24">
        <f t="shared" si="68"/>
        <v>1</v>
      </c>
      <c r="D412" s="718"/>
      <c r="E412" s="24">
        <f t="shared" si="69"/>
        <v>0.02</v>
      </c>
      <c r="F412" s="718"/>
      <c r="G412" s="24">
        <f t="shared" si="70"/>
        <v>0.1</v>
      </c>
      <c r="H412" s="718"/>
      <c r="I412" s="24">
        <f t="shared" si="71"/>
        <v>0.05</v>
      </c>
      <c r="J412" s="718"/>
      <c r="K412" s="24">
        <f t="shared" si="72"/>
        <v>0.2</v>
      </c>
      <c r="L412" s="718"/>
      <c r="M412" s="24">
        <f t="shared" si="73"/>
        <v>1</v>
      </c>
      <c r="N412" s="718"/>
      <c r="O412" s="24">
        <f t="shared" si="74"/>
        <v>1</v>
      </c>
      <c r="P412" s="718"/>
      <c r="Q412" s="24">
        <f t="shared" si="75"/>
        <v>1</v>
      </c>
      <c r="R412" s="714">
        <f t="shared" si="76"/>
        <v>0</v>
      </c>
      <c r="S412" s="361">
        <f t="shared" si="67"/>
        <v>0</v>
      </c>
    </row>
    <row r="413" spans="1:19">
      <c r="A413" s="159"/>
      <c r="B413" s="59"/>
      <c r="C413" s="24">
        <f t="shared" si="68"/>
        <v>1</v>
      </c>
      <c r="D413" s="718"/>
      <c r="E413" s="24">
        <f t="shared" si="69"/>
        <v>0.02</v>
      </c>
      <c r="F413" s="718"/>
      <c r="G413" s="24">
        <f t="shared" si="70"/>
        <v>0.1</v>
      </c>
      <c r="H413" s="718"/>
      <c r="I413" s="24">
        <f t="shared" si="71"/>
        <v>0.05</v>
      </c>
      <c r="J413" s="718"/>
      <c r="K413" s="24">
        <f t="shared" si="72"/>
        <v>0.2</v>
      </c>
      <c r="L413" s="718"/>
      <c r="M413" s="24">
        <f t="shared" si="73"/>
        <v>1</v>
      </c>
      <c r="N413" s="718"/>
      <c r="O413" s="24">
        <f t="shared" si="74"/>
        <v>1</v>
      </c>
      <c r="P413" s="718"/>
      <c r="Q413" s="24">
        <f t="shared" si="75"/>
        <v>1</v>
      </c>
      <c r="R413" s="714">
        <f t="shared" si="76"/>
        <v>0</v>
      </c>
      <c r="S413" s="361">
        <f t="shared" si="67"/>
        <v>0</v>
      </c>
    </row>
    <row r="414" spans="1:19">
      <c r="A414" s="159"/>
      <c r="B414" s="59"/>
      <c r="C414" s="24">
        <f t="shared" si="68"/>
        <v>1</v>
      </c>
      <c r="D414" s="718"/>
      <c r="E414" s="24">
        <f t="shared" si="69"/>
        <v>0.02</v>
      </c>
      <c r="F414" s="718"/>
      <c r="G414" s="24">
        <f t="shared" si="70"/>
        <v>0.1</v>
      </c>
      <c r="H414" s="718"/>
      <c r="I414" s="24">
        <f t="shared" si="71"/>
        <v>0.05</v>
      </c>
      <c r="J414" s="718"/>
      <c r="K414" s="24">
        <f t="shared" si="72"/>
        <v>0.2</v>
      </c>
      <c r="L414" s="718"/>
      <c r="M414" s="24">
        <f t="shared" si="73"/>
        <v>1</v>
      </c>
      <c r="N414" s="718"/>
      <c r="O414" s="24">
        <f t="shared" si="74"/>
        <v>1</v>
      </c>
      <c r="P414" s="718"/>
      <c r="Q414" s="24">
        <f t="shared" si="75"/>
        <v>1</v>
      </c>
      <c r="R414" s="714">
        <f t="shared" si="76"/>
        <v>0</v>
      </c>
      <c r="S414" s="361">
        <f t="shared" si="67"/>
        <v>0</v>
      </c>
    </row>
    <row r="415" spans="1:19">
      <c r="A415" s="159"/>
      <c r="B415" s="59"/>
      <c r="C415" s="24">
        <f t="shared" si="68"/>
        <v>1</v>
      </c>
      <c r="D415" s="718"/>
      <c r="E415" s="24">
        <f t="shared" si="69"/>
        <v>0.02</v>
      </c>
      <c r="F415" s="718"/>
      <c r="G415" s="24">
        <f t="shared" si="70"/>
        <v>0.1</v>
      </c>
      <c r="H415" s="718"/>
      <c r="I415" s="24">
        <f t="shared" si="71"/>
        <v>0.05</v>
      </c>
      <c r="J415" s="718"/>
      <c r="K415" s="24">
        <f t="shared" si="72"/>
        <v>0.2</v>
      </c>
      <c r="L415" s="718"/>
      <c r="M415" s="24">
        <f t="shared" si="73"/>
        <v>1</v>
      </c>
      <c r="N415" s="718"/>
      <c r="O415" s="24">
        <f t="shared" si="74"/>
        <v>1</v>
      </c>
      <c r="P415" s="718"/>
      <c r="Q415" s="24">
        <f t="shared" si="75"/>
        <v>1</v>
      </c>
      <c r="R415" s="714">
        <f t="shared" si="76"/>
        <v>0</v>
      </c>
      <c r="S415" s="361">
        <f t="shared" si="67"/>
        <v>0</v>
      </c>
    </row>
    <row r="416" spans="1:19">
      <c r="A416" s="159"/>
      <c r="B416" s="59"/>
      <c r="C416" s="24">
        <f t="shared" si="68"/>
        <v>1</v>
      </c>
      <c r="D416" s="718"/>
      <c r="E416" s="24">
        <f t="shared" si="69"/>
        <v>0.02</v>
      </c>
      <c r="F416" s="718"/>
      <c r="G416" s="24">
        <f t="shared" si="70"/>
        <v>0.1</v>
      </c>
      <c r="H416" s="718"/>
      <c r="I416" s="24">
        <f t="shared" si="71"/>
        <v>0.05</v>
      </c>
      <c r="J416" s="718"/>
      <c r="K416" s="24">
        <f t="shared" si="72"/>
        <v>0.2</v>
      </c>
      <c r="L416" s="718"/>
      <c r="M416" s="24">
        <f t="shared" si="73"/>
        <v>1</v>
      </c>
      <c r="N416" s="718"/>
      <c r="O416" s="24">
        <f t="shared" si="74"/>
        <v>1</v>
      </c>
      <c r="P416" s="718"/>
      <c r="Q416" s="24">
        <f t="shared" si="75"/>
        <v>1</v>
      </c>
      <c r="R416" s="714">
        <f t="shared" si="76"/>
        <v>0</v>
      </c>
      <c r="S416" s="361">
        <f t="shared" si="67"/>
        <v>0</v>
      </c>
    </row>
    <row r="417" spans="1:19">
      <c r="A417" s="159"/>
      <c r="B417" s="59"/>
      <c r="C417" s="24">
        <f t="shared" si="68"/>
        <v>1</v>
      </c>
      <c r="D417" s="718"/>
      <c r="E417" s="24">
        <f t="shared" si="69"/>
        <v>0.02</v>
      </c>
      <c r="F417" s="718"/>
      <c r="G417" s="24">
        <f t="shared" si="70"/>
        <v>0.1</v>
      </c>
      <c r="H417" s="718"/>
      <c r="I417" s="24">
        <f t="shared" si="71"/>
        <v>0.05</v>
      </c>
      <c r="J417" s="718"/>
      <c r="K417" s="24">
        <f t="shared" si="72"/>
        <v>0.2</v>
      </c>
      <c r="L417" s="718"/>
      <c r="M417" s="24">
        <f t="shared" si="73"/>
        <v>1</v>
      </c>
      <c r="N417" s="718"/>
      <c r="O417" s="24">
        <f t="shared" si="74"/>
        <v>1</v>
      </c>
      <c r="P417" s="718"/>
      <c r="Q417" s="24">
        <f t="shared" si="75"/>
        <v>1</v>
      </c>
      <c r="R417" s="714">
        <f t="shared" si="76"/>
        <v>0</v>
      </c>
      <c r="S417" s="361">
        <f t="shared" si="67"/>
        <v>0</v>
      </c>
    </row>
    <row r="418" spans="1:19">
      <c r="A418" s="159"/>
      <c r="B418" s="59"/>
      <c r="C418" s="24">
        <f t="shared" si="68"/>
        <v>1</v>
      </c>
      <c r="D418" s="718"/>
      <c r="E418" s="24">
        <f t="shared" si="69"/>
        <v>0.02</v>
      </c>
      <c r="F418" s="718"/>
      <c r="G418" s="24">
        <f t="shared" si="70"/>
        <v>0.1</v>
      </c>
      <c r="H418" s="718"/>
      <c r="I418" s="24">
        <f t="shared" si="71"/>
        <v>0.05</v>
      </c>
      <c r="J418" s="718"/>
      <c r="K418" s="24">
        <f t="shared" si="72"/>
        <v>0.2</v>
      </c>
      <c r="L418" s="718"/>
      <c r="M418" s="24">
        <f t="shared" si="73"/>
        <v>1</v>
      </c>
      <c r="N418" s="718"/>
      <c r="O418" s="24">
        <f t="shared" si="74"/>
        <v>1</v>
      </c>
      <c r="P418" s="718"/>
      <c r="Q418" s="24">
        <f t="shared" si="75"/>
        <v>1</v>
      </c>
      <c r="R418" s="714">
        <f t="shared" si="76"/>
        <v>0</v>
      </c>
      <c r="S418" s="361">
        <f t="shared" si="67"/>
        <v>0</v>
      </c>
    </row>
    <row r="419" spans="1:19">
      <c r="A419" s="159"/>
      <c r="B419" s="59"/>
      <c r="C419" s="24">
        <f t="shared" si="68"/>
        <v>1</v>
      </c>
      <c r="D419" s="718"/>
      <c r="E419" s="24">
        <f t="shared" si="69"/>
        <v>0.02</v>
      </c>
      <c r="F419" s="718"/>
      <c r="G419" s="24">
        <f t="shared" si="70"/>
        <v>0.1</v>
      </c>
      <c r="H419" s="718"/>
      <c r="I419" s="24">
        <f t="shared" si="71"/>
        <v>0.05</v>
      </c>
      <c r="J419" s="718"/>
      <c r="K419" s="24">
        <f t="shared" si="72"/>
        <v>0.2</v>
      </c>
      <c r="L419" s="718"/>
      <c r="M419" s="24">
        <f t="shared" si="73"/>
        <v>1</v>
      </c>
      <c r="N419" s="718"/>
      <c r="O419" s="24">
        <f t="shared" si="74"/>
        <v>1</v>
      </c>
      <c r="P419" s="718"/>
      <c r="Q419" s="24">
        <f t="shared" si="75"/>
        <v>1</v>
      </c>
      <c r="R419" s="714">
        <f t="shared" si="76"/>
        <v>0</v>
      </c>
      <c r="S419" s="361">
        <f t="shared" si="67"/>
        <v>0</v>
      </c>
    </row>
    <row r="420" spans="1:19">
      <c r="A420" s="159"/>
      <c r="B420" s="59"/>
      <c r="C420" s="24">
        <f t="shared" si="68"/>
        <v>1</v>
      </c>
      <c r="D420" s="718"/>
      <c r="E420" s="24">
        <f t="shared" si="69"/>
        <v>0.02</v>
      </c>
      <c r="F420" s="718"/>
      <c r="G420" s="24">
        <f t="shared" si="70"/>
        <v>0.1</v>
      </c>
      <c r="H420" s="718"/>
      <c r="I420" s="24">
        <f t="shared" si="71"/>
        <v>0.05</v>
      </c>
      <c r="J420" s="718"/>
      <c r="K420" s="24">
        <f t="shared" si="72"/>
        <v>0.2</v>
      </c>
      <c r="L420" s="718"/>
      <c r="M420" s="24">
        <f t="shared" si="73"/>
        <v>1</v>
      </c>
      <c r="N420" s="718"/>
      <c r="O420" s="24">
        <f t="shared" si="74"/>
        <v>1</v>
      </c>
      <c r="P420" s="718"/>
      <c r="Q420" s="24">
        <f t="shared" si="75"/>
        <v>1</v>
      </c>
      <c r="R420" s="714">
        <f t="shared" si="76"/>
        <v>0</v>
      </c>
      <c r="S420" s="361">
        <f t="shared" si="67"/>
        <v>0</v>
      </c>
    </row>
    <row r="421" spans="1:19">
      <c r="A421" s="159"/>
      <c r="B421" s="59"/>
      <c r="C421" s="24">
        <f t="shared" si="68"/>
        <v>1</v>
      </c>
      <c r="D421" s="718"/>
      <c r="E421" s="24">
        <f t="shared" si="69"/>
        <v>0.02</v>
      </c>
      <c r="F421" s="718"/>
      <c r="G421" s="24">
        <f t="shared" si="70"/>
        <v>0.1</v>
      </c>
      <c r="H421" s="718"/>
      <c r="I421" s="24">
        <f t="shared" si="71"/>
        <v>0.05</v>
      </c>
      <c r="J421" s="718"/>
      <c r="K421" s="24">
        <f t="shared" si="72"/>
        <v>0.2</v>
      </c>
      <c r="L421" s="718"/>
      <c r="M421" s="24">
        <f t="shared" si="73"/>
        <v>1</v>
      </c>
      <c r="N421" s="718"/>
      <c r="O421" s="24">
        <f t="shared" si="74"/>
        <v>1</v>
      </c>
      <c r="P421" s="718"/>
      <c r="Q421" s="24">
        <f t="shared" si="75"/>
        <v>1</v>
      </c>
      <c r="R421" s="714">
        <f t="shared" si="76"/>
        <v>0</v>
      </c>
      <c r="S421" s="361">
        <f t="shared" si="67"/>
        <v>0</v>
      </c>
    </row>
    <row r="422" spans="1:19">
      <c r="A422" s="159"/>
      <c r="B422" s="59"/>
      <c r="C422" s="24">
        <f t="shared" si="68"/>
        <v>1</v>
      </c>
      <c r="D422" s="718"/>
      <c r="E422" s="24">
        <f t="shared" si="69"/>
        <v>0.02</v>
      </c>
      <c r="F422" s="718"/>
      <c r="G422" s="24">
        <f t="shared" si="70"/>
        <v>0.1</v>
      </c>
      <c r="H422" s="718"/>
      <c r="I422" s="24">
        <f t="shared" si="71"/>
        <v>0.05</v>
      </c>
      <c r="J422" s="718"/>
      <c r="K422" s="24">
        <f t="shared" si="72"/>
        <v>0.2</v>
      </c>
      <c r="L422" s="718"/>
      <c r="M422" s="24">
        <f t="shared" si="73"/>
        <v>1</v>
      </c>
      <c r="N422" s="718"/>
      <c r="O422" s="24">
        <f t="shared" si="74"/>
        <v>1</v>
      </c>
      <c r="P422" s="718"/>
      <c r="Q422" s="24">
        <f t="shared" si="75"/>
        <v>1</v>
      </c>
      <c r="R422" s="714">
        <f t="shared" si="76"/>
        <v>0</v>
      </c>
      <c r="S422" s="361">
        <f t="shared" si="67"/>
        <v>0</v>
      </c>
    </row>
    <row r="423" spans="1:19">
      <c r="A423" s="159"/>
      <c r="B423" s="59"/>
      <c r="C423" s="24">
        <f t="shared" si="68"/>
        <v>1</v>
      </c>
      <c r="D423" s="718"/>
      <c r="E423" s="24">
        <f t="shared" si="69"/>
        <v>0.02</v>
      </c>
      <c r="F423" s="718"/>
      <c r="G423" s="24">
        <f t="shared" si="70"/>
        <v>0.1</v>
      </c>
      <c r="H423" s="718"/>
      <c r="I423" s="24">
        <f t="shared" si="71"/>
        <v>0.05</v>
      </c>
      <c r="J423" s="718"/>
      <c r="K423" s="24">
        <f t="shared" si="72"/>
        <v>0.2</v>
      </c>
      <c r="L423" s="718"/>
      <c r="M423" s="24">
        <f t="shared" si="73"/>
        <v>1</v>
      </c>
      <c r="N423" s="718"/>
      <c r="O423" s="24">
        <f t="shared" si="74"/>
        <v>1</v>
      </c>
      <c r="P423" s="718"/>
      <c r="Q423" s="24">
        <f t="shared" si="75"/>
        <v>1</v>
      </c>
      <c r="R423" s="714">
        <f t="shared" si="76"/>
        <v>0</v>
      </c>
      <c r="S423" s="361">
        <f t="shared" si="67"/>
        <v>0</v>
      </c>
    </row>
    <row r="424" spans="1:19">
      <c r="A424" s="159"/>
      <c r="B424" s="59"/>
      <c r="C424" s="24">
        <f t="shared" si="68"/>
        <v>1</v>
      </c>
      <c r="D424" s="718"/>
      <c r="E424" s="24">
        <f t="shared" si="69"/>
        <v>0.02</v>
      </c>
      <c r="F424" s="718"/>
      <c r="G424" s="24">
        <f t="shared" si="70"/>
        <v>0.1</v>
      </c>
      <c r="H424" s="718"/>
      <c r="I424" s="24">
        <f t="shared" si="71"/>
        <v>0.05</v>
      </c>
      <c r="J424" s="718"/>
      <c r="K424" s="24">
        <f t="shared" si="72"/>
        <v>0.2</v>
      </c>
      <c r="L424" s="718"/>
      <c r="M424" s="24">
        <f t="shared" si="73"/>
        <v>1</v>
      </c>
      <c r="N424" s="718"/>
      <c r="O424" s="24">
        <f t="shared" si="74"/>
        <v>1</v>
      </c>
      <c r="P424" s="718"/>
      <c r="Q424" s="24">
        <f t="shared" si="75"/>
        <v>1</v>
      </c>
      <c r="R424" s="714">
        <f t="shared" si="76"/>
        <v>0</v>
      </c>
      <c r="S424" s="361">
        <f t="shared" si="67"/>
        <v>0</v>
      </c>
    </row>
    <row r="425" spans="1:19">
      <c r="A425" s="159"/>
      <c r="B425" s="59"/>
      <c r="C425" s="24">
        <f t="shared" si="68"/>
        <v>1</v>
      </c>
      <c r="D425" s="718"/>
      <c r="E425" s="24">
        <f t="shared" si="69"/>
        <v>0.02</v>
      </c>
      <c r="F425" s="718"/>
      <c r="G425" s="24">
        <f t="shared" si="70"/>
        <v>0.1</v>
      </c>
      <c r="H425" s="718"/>
      <c r="I425" s="24">
        <f t="shared" si="71"/>
        <v>0.05</v>
      </c>
      <c r="J425" s="718"/>
      <c r="K425" s="24">
        <f t="shared" si="72"/>
        <v>0.2</v>
      </c>
      <c r="L425" s="718"/>
      <c r="M425" s="24">
        <f t="shared" si="73"/>
        <v>1</v>
      </c>
      <c r="N425" s="718"/>
      <c r="O425" s="24">
        <f t="shared" si="74"/>
        <v>1</v>
      </c>
      <c r="P425" s="718"/>
      <c r="Q425" s="24">
        <f t="shared" si="75"/>
        <v>1</v>
      </c>
      <c r="R425" s="714">
        <f t="shared" si="76"/>
        <v>0</v>
      </c>
      <c r="S425" s="361">
        <f t="shared" si="67"/>
        <v>0</v>
      </c>
    </row>
    <row r="426" spans="1:19">
      <c r="A426" s="159"/>
      <c r="B426" s="59"/>
      <c r="C426" s="24">
        <f t="shared" si="68"/>
        <v>1</v>
      </c>
      <c r="D426" s="718"/>
      <c r="E426" s="24">
        <f t="shared" si="69"/>
        <v>0.02</v>
      </c>
      <c r="F426" s="718"/>
      <c r="G426" s="24">
        <f t="shared" si="70"/>
        <v>0.1</v>
      </c>
      <c r="H426" s="718"/>
      <c r="I426" s="24">
        <f t="shared" si="71"/>
        <v>0.05</v>
      </c>
      <c r="J426" s="718"/>
      <c r="K426" s="24">
        <f t="shared" si="72"/>
        <v>0.2</v>
      </c>
      <c r="L426" s="718"/>
      <c r="M426" s="24">
        <f t="shared" si="73"/>
        <v>1</v>
      </c>
      <c r="N426" s="718"/>
      <c r="O426" s="24">
        <f t="shared" si="74"/>
        <v>1</v>
      </c>
      <c r="P426" s="718"/>
      <c r="Q426" s="24">
        <f t="shared" si="75"/>
        <v>1</v>
      </c>
      <c r="R426" s="714">
        <f t="shared" si="76"/>
        <v>0</v>
      </c>
      <c r="S426" s="361">
        <f t="shared" si="67"/>
        <v>0</v>
      </c>
    </row>
    <row r="427" spans="1:19">
      <c r="A427" s="159"/>
      <c r="B427" s="59"/>
      <c r="C427" s="24">
        <f t="shared" si="68"/>
        <v>1</v>
      </c>
      <c r="D427" s="718"/>
      <c r="E427" s="24">
        <f t="shared" si="69"/>
        <v>0.02</v>
      </c>
      <c r="F427" s="718"/>
      <c r="G427" s="24">
        <f t="shared" si="70"/>
        <v>0.1</v>
      </c>
      <c r="H427" s="718"/>
      <c r="I427" s="24">
        <f t="shared" si="71"/>
        <v>0.05</v>
      </c>
      <c r="J427" s="718"/>
      <c r="K427" s="24">
        <f t="shared" si="72"/>
        <v>0.2</v>
      </c>
      <c r="L427" s="718"/>
      <c r="M427" s="24">
        <f t="shared" si="73"/>
        <v>1</v>
      </c>
      <c r="N427" s="718"/>
      <c r="O427" s="24">
        <f t="shared" si="74"/>
        <v>1</v>
      </c>
      <c r="P427" s="718"/>
      <c r="Q427" s="24">
        <f t="shared" si="75"/>
        <v>1</v>
      </c>
      <c r="R427" s="714">
        <f t="shared" si="76"/>
        <v>0</v>
      </c>
      <c r="S427" s="361">
        <f t="shared" si="67"/>
        <v>0</v>
      </c>
    </row>
    <row r="428" spans="1:19">
      <c r="A428" s="159"/>
      <c r="B428" s="59"/>
      <c r="C428" s="24">
        <f t="shared" si="68"/>
        <v>1</v>
      </c>
      <c r="D428" s="718"/>
      <c r="E428" s="24">
        <f t="shared" si="69"/>
        <v>0.02</v>
      </c>
      <c r="F428" s="718"/>
      <c r="G428" s="24">
        <f t="shared" si="70"/>
        <v>0.1</v>
      </c>
      <c r="H428" s="718"/>
      <c r="I428" s="24">
        <f t="shared" si="71"/>
        <v>0.05</v>
      </c>
      <c r="J428" s="718"/>
      <c r="K428" s="24">
        <f t="shared" si="72"/>
        <v>0.2</v>
      </c>
      <c r="L428" s="718"/>
      <c r="M428" s="24">
        <f t="shared" si="73"/>
        <v>1</v>
      </c>
      <c r="N428" s="718"/>
      <c r="O428" s="24">
        <f t="shared" si="74"/>
        <v>1</v>
      </c>
      <c r="P428" s="718"/>
      <c r="Q428" s="24">
        <f t="shared" si="75"/>
        <v>1</v>
      </c>
      <c r="R428" s="714">
        <f t="shared" si="76"/>
        <v>0</v>
      </c>
      <c r="S428" s="361">
        <f t="shared" si="67"/>
        <v>0</v>
      </c>
    </row>
    <row r="429" spans="1:19">
      <c r="A429" s="159"/>
      <c r="B429" s="59"/>
      <c r="C429" s="24">
        <f t="shared" si="68"/>
        <v>1</v>
      </c>
      <c r="D429" s="718"/>
      <c r="E429" s="24">
        <f t="shared" si="69"/>
        <v>0.02</v>
      </c>
      <c r="F429" s="718"/>
      <c r="G429" s="24">
        <f t="shared" si="70"/>
        <v>0.1</v>
      </c>
      <c r="H429" s="718"/>
      <c r="I429" s="24">
        <f t="shared" si="71"/>
        <v>0.05</v>
      </c>
      <c r="J429" s="718"/>
      <c r="K429" s="24">
        <f t="shared" si="72"/>
        <v>0.2</v>
      </c>
      <c r="L429" s="718"/>
      <c r="M429" s="24">
        <f t="shared" si="73"/>
        <v>1</v>
      </c>
      <c r="N429" s="718"/>
      <c r="O429" s="24">
        <f t="shared" si="74"/>
        <v>1</v>
      </c>
      <c r="P429" s="718"/>
      <c r="Q429" s="24">
        <f t="shared" si="75"/>
        <v>1</v>
      </c>
      <c r="R429" s="714">
        <f t="shared" si="76"/>
        <v>0</v>
      </c>
      <c r="S429" s="361">
        <f t="shared" si="67"/>
        <v>0</v>
      </c>
    </row>
    <row r="430" spans="1:19">
      <c r="A430" s="159"/>
      <c r="B430" s="59"/>
      <c r="C430" s="24">
        <f t="shared" si="68"/>
        <v>1</v>
      </c>
      <c r="D430" s="718"/>
      <c r="E430" s="24">
        <f t="shared" si="69"/>
        <v>0.02</v>
      </c>
      <c r="F430" s="718"/>
      <c r="G430" s="24">
        <f t="shared" si="70"/>
        <v>0.1</v>
      </c>
      <c r="H430" s="718"/>
      <c r="I430" s="24">
        <f t="shared" si="71"/>
        <v>0.05</v>
      </c>
      <c r="J430" s="718"/>
      <c r="K430" s="24">
        <f t="shared" si="72"/>
        <v>0.2</v>
      </c>
      <c r="L430" s="718"/>
      <c r="M430" s="24">
        <f t="shared" si="73"/>
        <v>1</v>
      </c>
      <c r="N430" s="718"/>
      <c r="O430" s="24">
        <f t="shared" si="74"/>
        <v>1</v>
      </c>
      <c r="P430" s="718"/>
      <c r="Q430" s="24">
        <f t="shared" si="75"/>
        <v>1</v>
      </c>
      <c r="R430" s="714">
        <f t="shared" si="76"/>
        <v>0</v>
      </c>
      <c r="S430" s="361">
        <f t="shared" si="67"/>
        <v>0</v>
      </c>
    </row>
    <row r="431" spans="1:19">
      <c r="A431" s="159"/>
      <c r="B431" s="59"/>
      <c r="C431" s="24">
        <f t="shared" si="68"/>
        <v>1</v>
      </c>
      <c r="D431" s="718"/>
      <c r="E431" s="24">
        <f t="shared" si="69"/>
        <v>0.02</v>
      </c>
      <c r="F431" s="718"/>
      <c r="G431" s="24">
        <f t="shared" si="70"/>
        <v>0.1</v>
      </c>
      <c r="H431" s="718"/>
      <c r="I431" s="24">
        <f t="shared" si="71"/>
        <v>0.05</v>
      </c>
      <c r="J431" s="718"/>
      <c r="K431" s="24">
        <f t="shared" si="72"/>
        <v>0.2</v>
      </c>
      <c r="L431" s="718"/>
      <c r="M431" s="24">
        <f t="shared" si="73"/>
        <v>1</v>
      </c>
      <c r="N431" s="718"/>
      <c r="O431" s="24">
        <f t="shared" si="74"/>
        <v>1</v>
      </c>
      <c r="P431" s="718"/>
      <c r="Q431" s="24">
        <f t="shared" si="75"/>
        <v>1</v>
      </c>
      <c r="R431" s="714">
        <f t="shared" si="76"/>
        <v>0</v>
      </c>
      <c r="S431" s="361">
        <f t="shared" si="67"/>
        <v>0</v>
      </c>
    </row>
    <row r="432" spans="1:19">
      <c r="A432" s="159"/>
      <c r="B432" s="59"/>
      <c r="C432" s="24">
        <f t="shared" si="68"/>
        <v>1</v>
      </c>
      <c r="D432" s="718"/>
      <c r="E432" s="24">
        <f t="shared" si="69"/>
        <v>0.02</v>
      </c>
      <c r="F432" s="718"/>
      <c r="G432" s="24">
        <f t="shared" si="70"/>
        <v>0.1</v>
      </c>
      <c r="H432" s="718"/>
      <c r="I432" s="24">
        <f t="shared" si="71"/>
        <v>0.05</v>
      </c>
      <c r="J432" s="718"/>
      <c r="K432" s="24">
        <f t="shared" si="72"/>
        <v>0.2</v>
      </c>
      <c r="L432" s="718"/>
      <c r="M432" s="24">
        <f t="shared" si="73"/>
        <v>1</v>
      </c>
      <c r="N432" s="718"/>
      <c r="O432" s="24">
        <f t="shared" si="74"/>
        <v>1</v>
      </c>
      <c r="P432" s="718"/>
      <c r="Q432" s="24">
        <f t="shared" si="75"/>
        <v>1</v>
      </c>
      <c r="R432" s="714">
        <f t="shared" si="76"/>
        <v>0</v>
      </c>
      <c r="S432" s="361">
        <f t="shared" si="67"/>
        <v>0</v>
      </c>
    </row>
    <row r="433" spans="1:19">
      <c r="A433" s="159"/>
      <c r="B433" s="59"/>
      <c r="C433" s="24">
        <f t="shared" si="68"/>
        <v>1</v>
      </c>
      <c r="D433" s="718"/>
      <c r="E433" s="24">
        <f t="shared" si="69"/>
        <v>0.02</v>
      </c>
      <c r="F433" s="718"/>
      <c r="G433" s="24">
        <f t="shared" si="70"/>
        <v>0.1</v>
      </c>
      <c r="H433" s="718"/>
      <c r="I433" s="24">
        <f t="shared" si="71"/>
        <v>0.05</v>
      </c>
      <c r="J433" s="718"/>
      <c r="K433" s="24">
        <f t="shared" si="72"/>
        <v>0.2</v>
      </c>
      <c r="L433" s="718"/>
      <c r="M433" s="24">
        <f t="shared" si="73"/>
        <v>1</v>
      </c>
      <c r="N433" s="718"/>
      <c r="O433" s="24">
        <f t="shared" si="74"/>
        <v>1</v>
      </c>
      <c r="P433" s="718"/>
      <c r="Q433" s="24">
        <f t="shared" si="75"/>
        <v>1</v>
      </c>
      <c r="R433" s="714">
        <f t="shared" si="76"/>
        <v>0</v>
      </c>
      <c r="S433" s="361">
        <f t="shared" si="67"/>
        <v>0</v>
      </c>
    </row>
    <row r="434" spans="1:19">
      <c r="A434" s="159"/>
      <c r="B434" s="59"/>
      <c r="C434" s="24">
        <f t="shared" si="68"/>
        <v>1</v>
      </c>
      <c r="D434" s="718"/>
      <c r="E434" s="24">
        <f t="shared" si="69"/>
        <v>0.02</v>
      </c>
      <c r="F434" s="718"/>
      <c r="G434" s="24">
        <f t="shared" si="70"/>
        <v>0.1</v>
      </c>
      <c r="H434" s="718"/>
      <c r="I434" s="24">
        <f t="shared" si="71"/>
        <v>0.05</v>
      </c>
      <c r="J434" s="718"/>
      <c r="K434" s="24">
        <f t="shared" si="72"/>
        <v>0.2</v>
      </c>
      <c r="L434" s="718"/>
      <c r="M434" s="24">
        <f t="shared" si="73"/>
        <v>1</v>
      </c>
      <c r="N434" s="718"/>
      <c r="O434" s="24">
        <f t="shared" si="74"/>
        <v>1</v>
      </c>
      <c r="P434" s="718"/>
      <c r="Q434" s="24">
        <f t="shared" si="75"/>
        <v>1</v>
      </c>
      <c r="R434" s="714">
        <f t="shared" si="76"/>
        <v>0</v>
      </c>
      <c r="S434" s="361">
        <f t="shared" si="67"/>
        <v>0</v>
      </c>
    </row>
    <row r="435" spans="1:19">
      <c r="A435" s="159"/>
      <c r="B435" s="59"/>
      <c r="C435" s="24">
        <f t="shared" si="68"/>
        <v>1</v>
      </c>
      <c r="D435" s="718"/>
      <c r="E435" s="24">
        <f t="shared" si="69"/>
        <v>0.02</v>
      </c>
      <c r="F435" s="718"/>
      <c r="G435" s="24">
        <f t="shared" si="70"/>
        <v>0.1</v>
      </c>
      <c r="H435" s="718"/>
      <c r="I435" s="24">
        <f t="shared" si="71"/>
        <v>0.05</v>
      </c>
      <c r="J435" s="718"/>
      <c r="K435" s="24">
        <f t="shared" si="72"/>
        <v>0.2</v>
      </c>
      <c r="L435" s="718"/>
      <c r="M435" s="24">
        <f t="shared" si="73"/>
        <v>1</v>
      </c>
      <c r="N435" s="718"/>
      <c r="O435" s="24">
        <f t="shared" si="74"/>
        <v>1</v>
      </c>
      <c r="P435" s="718"/>
      <c r="Q435" s="24">
        <f t="shared" si="75"/>
        <v>1</v>
      </c>
      <c r="R435" s="714">
        <f t="shared" si="76"/>
        <v>0</v>
      </c>
      <c r="S435" s="361">
        <f t="shared" si="67"/>
        <v>0</v>
      </c>
    </row>
    <row r="436" spans="1:19">
      <c r="A436" s="159"/>
      <c r="B436" s="59"/>
      <c r="C436" s="24">
        <f t="shared" si="68"/>
        <v>1</v>
      </c>
      <c r="D436" s="718"/>
      <c r="E436" s="24">
        <f t="shared" si="69"/>
        <v>0.02</v>
      </c>
      <c r="F436" s="718"/>
      <c r="G436" s="24">
        <f t="shared" si="70"/>
        <v>0.1</v>
      </c>
      <c r="H436" s="718"/>
      <c r="I436" s="24">
        <f t="shared" si="71"/>
        <v>0.05</v>
      </c>
      <c r="J436" s="718"/>
      <c r="K436" s="24">
        <f t="shared" si="72"/>
        <v>0.2</v>
      </c>
      <c r="L436" s="718"/>
      <c r="M436" s="24">
        <f t="shared" si="73"/>
        <v>1</v>
      </c>
      <c r="N436" s="718"/>
      <c r="O436" s="24">
        <f t="shared" si="74"/>
        <v>1</v>
      </c>
      <c r="P436" s="718"/>
      <c r="Q436" s="24">
        <f t="shared" si="75"/>
        <v>1</v>
      </c>
      <c r="R436" s="714">
        <f t="shared" si="76"/>
        <v>0</v>
      </c>
      <c r="S436" s="361">
        <f t="shared" si="67"/>
        <v>0</v>
      </c>
    </row>
    <row r="437" spans="1:19">
      <c r="A437" s="159"/>
      <c r="B437" s="59"/>
      <c r="C437" s="24">
        <f t="shared" si="68"/>
        <v>1</v>
      </c>
      <c r="D437" s="718"/>
      <c r="E437" s="24">
        <f t="shared" si="69"/>
        <v>0.02</v>
      </c>
      <c r="F437" s="718"/>
      <c r="G437" s="24">
        <f t="shared" si="70"/>
        <v>0.1</v>
      </c>
      <c r="H437" s="718"/>
      <c r="I437" s="24">
        <f t="shared" si="71"/>
        <v>0.05</v>
      </c>
      <c r="J437" s="718"/>
      <c r="K437" s="24">
        <f t="shared" si="72"/>
        <v>0.2</v>
      </c>
      <c r="L437" s="718"/>
      <c r="M437" s="24">
        <f t="shared" si="73"/>
        <v>1</v>
      </c>
      <c r="N437" s="718"/>
      <c r="O437" s="24">
        <f t="shared" si="74"/>
        <v>1</v>
      </c>
      <c r="P437" s="718"/>
      <c r="Q437" s="24">
        <f t="shared" si="75"/>
        <v>1</v>
      </c>
      <c r="R437" s="714">
        <f t="shared" si="76"/>
        <v>0</v>
      </c>
      <c r="S437" s="361">
        <f t="shared" si="67"/>
        <v>0</v>
      </c>
    </row>
    <row r="438" spans="1:19">
      <c r="A438" s="159"/>
      <c r="B438" s="59"/>
      <c r="C438" s="24">
        <f t="shared" si="68"/>
        <v>1</v>
      </c>
      <c r="D438" s="718"/>
      <c r="E438" s="24">
        <f t="shared" si="69"/>
        <v>0.02</v>
      </c>
      <c r="F438" s="718"/>
      <c r="G438" s="24">
        <f t="shared" si="70"/>
        <v>0.1</v>
      </c>
      <c r="H438" s="718"/>
      <c r="I438" s="24">
        <f t="shared" si="71"/>
        <v>0.05</v>
      </c>
      <c r="J438" s="718"/>
      <c r="K438" s="24">
        <f t="shared" si="72"/>
        <v>0.2</v>
      </c>
      <c r="L438" s="718"/>
      <c r="M438" s="24">
        <f t="shared" si="73"/>
        <v>1</v>
      </c>
      <c r="N438" s="718"/>
      <c r="O438" s="24">
        <f t="shared" si="74"/>
        <v>1</v>
      </c>
      <c r="P438" s="718"/>
      <c r="Q438" s="24">
        <f t="shared" si="75"/>
        <v>1</v>
      </c>
      <c r="R438" s="714">
        <f t="shared" si="76"/>
        <v>0</v>
      </c>
      <c r="S438" s="361">
        <f t="shared" si="67"/>
        <v>0</v>
      </c>
    </row>
    <row r="439" spans="1:19">
      <c r="A439" s="159"/>
      <c r="B439" s="59"/>
      <c r="C439" s="24">
        <f t="shared" si="68"/>
        <v>1</v>
      </c>
      <c r="D439" s="718"/>
      <c r="E439" s="24">
        <f t="shared" si="69"/>
        <v>0.02</v>
      </c>
      <c r="F439" s="718"/>
      <c r="G439" s="24">
        <f t="shared" si="70"/>
        <v>0.1</v>
      </c>
      <c r="H439" s="718"/>
      <c r="I439" s="24">
        <f t="shared" si="71"/>
        <v>0.05</v>
      </c>
      <c r="J439" s="718"/>
      <c r="K439" s="24">
        <f t="shared" si="72"/>
        <v>0.2</v>
      </c>
      <c r="L439" s="718"/>
      <c r="M439" s="24">
        <f t="shared" si="73"/>
        <v>1</v>
      </c>
      <c r="N439" s="718"/>
      <c r="O439" s="24">
        <f t="shared" si="74"/>
        <v>1</v>
      </c>
      <c r="P439" s="718"/>
      <c r="Q439" s="24">
        <f t="shared" si="75"/>
        <v>1</v>
      </c>
      <c r="R439" s="714">
        <f t="shared" si="76"/>
        <v>0</v>
      </c>
      <c r="S439" s="361">
        <f t="shared" si="67"/>
        <v>0</v>
      </c>
    </row>
    <row r="440" spans="1:19">
      <c r="A440" s="159"/>
      <c r="B440" s="59"/>
      <c r="C440" s="24">
        <f t="shared" si="68"/>
        <v>1</v>
      </c>
      <c r="D440" s="718"/>
      <c r="E440" s="24">
        <f t="shared" si="69"/>
        <v>0.02</v>
      </c>
      <c r="F440" s="718"/>
      <c r="G440" s="24">
        <f t="shared" si="70"/>
        <v>0.1</v>
      </c>
      <c r="H440" s="718"/>
      <c r="I440" s="24">
        <f t="shared" si="71"/>
        <v>0.05</v>
      </c>
      <c r="J440" s="718"/>
      <c r="K440" s="24">
        <f t="shared" si="72"/>
        <v>0.2</v>
      </c>
      <c r="L440" s="718"/>
      <c r="M440" s="24">
        <f t="shared" si="73"/>
        <v>1</v>
      </c>
      <c r="N440" s="718"/>
      <c r="O440" s="24">
        <f t="shared" si="74"/>
        <v>1</v>
      </c>
      <c r="P440" s="718"/>
      <c r="Q440" s="24">
        <f t="shared" si="75"/>
        <v>1</v>
      </c>
      <c r="R440" s="714">
        <f t="shared" si="76"/>
        <v>0</v>
      </c>
      <c r="S440" s="361">
        <f t="shared" si="67"/>
        <v>0</v>
      </c>
    </row>
    <row r="441" spans="1:19">
      <c r="A441" s="159"/>
      <c r="B441" s="59"/>
      <c r="C441" s="24">
        <f t="shared" si="68"/>
        <v>1</v>
      </c>
      <c r="D441" s="718"/>
      <c r="E441" s="24">
        <f t="shared" si="69"/>
        <v>0.02</v>
      </c>
      <c r="F441" s="718"/>
      <c r="G441" s="24">
        <f t="shared" si="70"/>
        <v>0.1</v>
      </c>
      <c r="H441" s="718"/>
      <c r="I441" s="24">
        <f t="shared" si="71"/>
        <v>0.05</v>
      </c>
      <c r="J441" s="718"/>
      <c r="K441" s="24">
        <f t="shared" si="72"/>
        <v>0.2</v>
      </c>
      <c r="L441" s="718"/>
      <c r="M441" s="24">
        <f t="shared" si="73"/>
        <v>1</v>
      </c>
      <c r="N441" s="718"/>
      <c r="O441" s="24">
        <f t="shared" si="74"/>
        <v>1</v>
      </c>
      <c r="P441" s="718"/>
      <c r="Q441" s="24">
        <f t="shared" si="75"/>
        <v>1</v>
      </c>
      <c r="R441" s="714">
        <f t="shared" si="76"/>
        <v>0</v>
      </c>
      <c r="S441" s="361">
        <f t="shared" si="67"/>
        <v>0</v>
      </c>
    </row>
    <row r="442" spans="1:19">
      <c r="A442" s="159"/>
      <c r="B442" s="59"/>
      <c r="C442" s="24">
        <f t="shared" si="68"/>
        <v>1</v>
      </c>
      <c r="D442" s="718"/>
      <c r="E442" s="24">
        <f t="shared" si="69"/>
        <v>0.02</v>
      </c>
      <c r="F442" s="718"/>
      <c r="G442" s="24">
        <f t="shared" si="70"/>
        <v>0.1</v>
      </c>
      <c r="H442" s="718"/>
      <c r="I442" s="24">
        <f t="shared" si="71"/>
        <v>0.05</v>
      </c>
      <c r="J442" s="718"/>
      <c r="K442" s="24">
        <f t="shared" si="72"/>
        <v>0.2</v>
      </c>
      <c r="L442" s="718"/>
      <c r="M442" s="24">
        <f t="shared" si="73"/>
        <v>1</v>
      </c>
      <c r="N442" s="718"/>
      <c r="O442" s="24">
        <f t="shared" si="74"/>
        <v>1</v>
      </c>
      <c r="P442" s="718"/>
      <c r="Q442" s="24">
        <f t="shared" si="75"/>
        <v>1</v>
      </c>
      <c r="R442" s="714">
        <f t="shared" si="76"/>
        <v>0</v>
      </c>
      <c r="S442" s="361">
        <f t="shared" si="67"/>
        <v>0</v>
      </c>
    </row>
    <row r="443" spans="1:19">
      <c r="A443" s="159"/>
      <c r="B443" s="59"/>
      <c r="C443" s="24">
        <f t="shared" si="68"/>
        <v>1</v>
      </c>
      <c r="D443" s="718"/>
      <c r="E443" s="24">
        <f t="shared" si="69"/>
        <v>0.02</v>
      </c>
      <c r="F443" s="718"/>
      <c r="G443" s="24">
        <f t="shared" si="70"/>
        <v>0.1</v>
      </c>
      <c r="H443" s="718"/>
      <c r="I443" s="24">
        <f t="shared" si="71"/>
        <v>0.05</v>
      </c>
      <c r="J443" s="718"/>
      <c r="K443" s="24">
        <f t="shared" si="72"/>
        <v>0.2</v>
      </c>
      <c r="L443" s="718"/>
      <c r="M443" s="24">
        <f t="shared" si="73"/>
        <v>1</v>
      </c>
      <c r="N443" s="718"/>
      <c r="O443" s="24">
        <f t="shared" si="74"/>
        <v>1</v>
      </c>
      <c r="P443" s="718"/>
      <c r="Q443" s="24">
        <f t="shared" si="75"/>
        <v>1</v>
      </c>
      <c r="R443" s="714">
        <f t="shared" si="76"/>
        <v>0</v>
      </c>
      <c r="S443" s="361">
        <f t="shared" si="67"/>
        <v>0</v>
      </c>
    </row>
    <row r="444" spans="1:19">
      <c r="A444" s="159"/>
      <c r="B444" s="59"/>
      <c r="C444" s="24">
        <f t="shared" si="68"/>
        <v>1</v>
      </c>
      <c r="D444" s="718"/>
      <c r="E444" s="24">
        <f t="shared" si="69"/>
        <v>0.02</v>
      </c>
      <c r="F444" s="718"/>
      <c r="G444" s="24">
        <f t="shared" si="70"/>
        <v>0.1</v>
      </c>
      <c r="H444" s="718"/>
      <c r="I444" s="24">
        <f t="shared" si="71"/>
        <v>0.05</v>
      </c>
      <c r="J444" s="718"/>
      <c r="K444" s="24">
        <f t="shared" si="72"/>
        <v>0.2</v>
      </c>
      <c r="L444" s="718"/>
      <c r="M444" s="24">
        <f t="shared" si="73"/>
        <v>1</v>
      </c>
      <c r="N444" s="718"/>
      <c r="O444" s="24">
        <f t="shared" si="74"/>
        <v>1</v>
      </c>
      <c r="P444" s="718"/>
      <c r="Q444" s="24">
        <f t="shared" si="75"/>
        <v>1</v>
      </c>
      <c r="R444" s="714">
        <f t="shared" si="76"/>
        <v>0</v>
      </c>
      <c r="S444" s="361">
        <f t="shared" si="67"/>
        <v>0</v>
      </c>
    </row>
    <row r="445" spans="1:19">
      <c r="A445" s="159"/>
      <c r="B445" s="59"/>
      <c r="C445" s="24">
        <f t="shared" si="68"/>
        <v>1</v>
      </c>
      <c r="D445" s="718"/>
      <c r="E445" s="24">
        <f t="shared" si="69"/>
        <v>0.02</v>
      </c>
      <c r="F445" s="718"/>
      <c r="G445" s="24">
        <f t="shared" si="70"/>
        <v>0.1</v>
      </c>
      <c r="H445" s="718"/>
      <c r="I445" s="24">
        <f t="shared" si="71"/>
        <v>0.05</v>
      </c>
      <c r="J445" s="718"/>
      <c r="K445" s="24">
        <f t="shared" si="72"/>
        <v>0.2</v>
      </c>
      <c r="L445" s="718"/>
      <c r="M445" s="24">
        <f t="shared" si="73"/>
        <v>1</v>
      </c>
      <c r="N445" s="718"/>
      <c r="O445" s="24">
        <f t="shared" si="74"/>
        <v>1</v>
      </c>
      <c r="P445" s="718"/>
      <c r="Q445" s="24">
        <f t="shared" si="75"/>
        <v>1</v>
      </c>
      <c r="R445" s="714">
        <f t="shared" si="76"/>
        <v>0</v>
      </c>
      <c r="S445" s="361">
        <f t="shared" si="67"/>
        <v>0</v>
      </c>
    </row>
    <row r="446" spans="1:19">
      <c r="A446" s="159"/>
      <c r="B446" s="59"/>
      <c r="C446" s="24">
        <f t="shared" si="68"/>
        <v>1</v>
      </c>
      <c r="D446" s="718"/>
      <c r="E446" s="24">
        <f t="shared" si="69"/>
        <v>0.02</v>
      </c>
      <c r="F446" s="718"/>
      <c r="G446" s="24">
        <f t="shared" si="70"/>
        <v>0.1</v>
      </c>
      <c r="H446" s="718"/>
      <c r="I446" s="24">
        <f t="shared" si="71"/>
        <v>0.05</v>
      </c>
      <c r="J446" s="718"/>
      <c r="K446" s="24">
        <f t="shared" si="72"/>
        <v>0.2</v>
      </c>
      <c r="L446" s="718"/>
      <c r="M446" s="24">
        <f t="shared" si="73"/>
        <v>1</v>
      </c>
      <c r="N446" s="718"/>
      <c r="O446" s="24">
        <f t="shared" si="74"/>
        <v>1</v>
      </c>
      <c r="P446" s="718"/>
      <c r="Q446" s="24">
        <f t="shared" si="75"/>
        <v>1</v>
      </c>
      <c r="R446" s="714">
        <f t="shared" si="76"/>
        <v>0</v>
      </c>
      <c r="S446" s="361">
        <f t="shared" si="67"/>
        <v>0</v>
      </c>
    </row>
    <row r="447" spans="1:19">
      <c r="A447" s="159"/>
      <c r="B447" s="59"/>
      <c r="C447" s="24">
        <f t="shared" si="68"/>
        <v>1</v>
      </c>
      <c r="D447" s="718"/>
      <c r="E447" s="24">
        <f t="shared" si="69"/>
        <v>0.02</v>
      </c>
      <c r="F447" s="718"/>
      <c r="G447" s="24">
        <f t="shared" si="70"/>
        <v>0.1</v>
      </c>
      <c r="H447" s="718"/>
      <c r="I447" s="24">
        <f t="shared" si="71"/>
        <v>0.05</v>
      </c>
      <c r="J447" s="718"/>
      <c r="K447" s="24">
        <f t="shared" si="72"/>
        <v>0.2</v>
      </c>
      <c r="L447" s="718"/>
      <c r="M447" s="24">
        <f t="shared" si="73"/>
        <v>1</v>
      </c>
      <c r="N447" s="718"/>
      <c r="O447" s="24">
        <f t="shared" si="74"/>
        <v>1</v>
      </c>
      <c r="P447" s="718"/>
      <c r="Q447" s="24">
        <f t="shared" si="75"/>
        <v>1</v>
      </c>
      <c r="R447" s="714">
        <f t="shared" si="76"/>
        <v>0</v>
      </c>
      <c r="S447" s="361">
        <f t="shared" si="67"/>
        <v>0</v>
      </c>
    </row>
    <row r="448" spans="1:19">
      <c r="A448" s="159"/>
      <c r="B448" s="59"/>
      <c r="C448" s="24">
        <f t="shared" si="68"/>
        <v>1</v>
      </c>
      <c r="D448" s="718"/>
      <c r="E448" s="24">
        <f t="shared" si="69"/>
        <v>0.02</v>
      </c>
      <c r="F448" s="718"/>
      <c r="G448" s="24">
        <f t="shared" si="70"/>
        <v>0.1</v>
      </c>
      <c r="H448" s="718"/>
      <c r="I448" s="24">
        <f t="shared" si="71"/>
        <v>0.05</v>
      </c>
      <c r="J448" s="718"/>
      <c r="K448" s="24">
        <f t="shared" si="72"/>
        <v>0.2</v>
      </c>
      <c r="L448" s="718"/>
      <c r="M448" s="24">
        <f t="shared" si="73"/>
        <v>1</v>
      </c>
      <c r="N448" s="718"/>
      <c r="O448" s="24">
        <f t="shared" si="74"/>
        <v>1</v>
      </c>
      <c r="P448" s="718"/>
      <c r="Q448" s="24">
        <f t="shared" si="75"/>
        <v>1</v>
      </c>
      <c r="R448" s="714">
        <f t="shared" si="76"/>
        <v>0</v>
      </c>
      <c r="S448" s="361">
        <f t="shared" si="67"/>
        <v>0</v>
      </c>
    </row>
    <row r="449" spans="1:19">
      <c r="A449" s="159"/>
      <c r="B449" s="59"/>
      <c r="C449" s="24">
        <f t="shared" si="68"/>
        <v>1</v>
      </c>
      <c r="D449" s="718"/>
      <c r="E449" s="24">
        <f t="shared" si="69"/>
        <v>0.02</v>
      </c>
      <c r="F449" s="718"/>
      <c r="G449" s="24">
        <f t="shared" si="70"/>
        <v>0.1</v>
      </c>
      <c r="H449" s="718"/>
      <c r="I449" s="24">
        <f t="shared" si="71"/>
        <v>0.05</v>
      </c>
      <c r="J449" s="718"/>
      <c r="K449" s="24">
        <f t="shared" si="72"/>
        <v>0.2</v>
      </c>
      <c r="L449" s="718"/>
      <c r="M449" s="24">
        <f t="shared" si="73"/>
        <v>1</v>
      </c>
      <c r="N449" s="718"/>
      <c r="O449" s="24">
        <f t="shared" si="74"/>
        <v>1</v>
      </c>
      <c r="P449" s="718"/>
      <c r="Q449" s="24">
        <f t="shared" si="75"/>
        <v>1</v>
      </c>
      <c r="R449" s="714">
        <f t="shared" si="76"/>
        <v>0</v>
      </c>
      <c r="S449" s="361">
        <f t="shared" si="67"/>
        <v>0</v>
      </c>
    </row>
    <row r="450" spans="1:19">
      <c r="A450" s="159"/>
      <c r="B450" s="59"/>
      <c r="C450" s="24">
        <f t="shared" si="68"/>
        <v>1</v>
      </c>
      <c r="D450" s="718"/>
      <c r="E450" s="24">
        <f t="shared" si="69"/>
        <v>0.02</v>
      </c>
      <c r="F450" s="718"/>
      <c r="G450" s="24">
        <f t="shared" si="70"/>
        <v>0.1</v>
      </c>
      <c r="H450" s="718"/>
      <c r="I450" s="24">
        <f t="shared" si="71"/>
        <v>0.05</v>
      </c>
      <c r="J450" s="718"/>
      <c r="K450" s="24">
        <f t="shared" si="72"/>
        <v>0.2</v>
      </c>
      <c r="L450" s="718"/>
      <c r="M450" s="24">
        <f t="shared" si="73"/>
        <v>1</v>
      </c>
      <c r="N450" s="718"/>
      <c r="O450" s="24">
        <f t="shared" si="74"/>
        <v>1</v>
      </c>
      <c r="P450" s="718"/>
      <c r="Q450" s="24">
        <f t="shared" si="75"/>
        <v>1</v>
      </c>
      <c r="R450" s="714">
        <f t="shared" si="76"/>
        <v>0</v>
      </c>
      <c r="S450" s="361">
        <f t="shared" si="67"/>
        <v>0</v>
      </c>
    </row>
    <row r="451" spans="1:19">
      <c r="A451" s="159"/>
      <c r="B451" s="59"/>
      <c r="C451" s="24">
        <f t="shared" si="68"/>
        <v>1</v>
      </c>
      <c r="D451" s="718"/>
      <c r="E451" s="24">
        <f t="shared" si="69"/>
        <v>0.02</v>
      </c>
      <c r="F451" s="718"/>
      <c r="G451" s="24">
        <f t="shared" si="70"/>
        <v>0.1</v>
      </c>
      <c r="H451" s="718"/>
      <c r="I451" s="24">
        <f t="shared" si="71"/>
        <v>0.05</v>
      </c>
      <c r="J451" s="718"/>
      <c r="K451" s="24">
        <f t="shared" si="72"/>
        <v>0.2</v>
      </c>
      <c r="L451" s="718"/>
      <c r="M451" s="24">
        <f t="shared" si="73"/>
        <v>1</v>
      </c>
      <c r="N451" s="718"/>
      <c r="O451" s="24">
        <f t="shared" si="74"/>
        <v>1</v>
      </c>
      <c r="P451" s="718"/>
      <c r="Q451" s="24">
        <f t="shared" si="75"/>
        <v>1</v>
      </c>
      <c r="R451" s="714">
        <f t="shared" si="76"/>
        <v>0</v>
      </c>
      <c r="S451" s="361">
        <f t="shared" si="67"/>
        <v>0</v>
      </c>
    </row>
    <row r="452" spans="1:19">
      <c r="A452" s="159"/>
      <c r="B452" s="59"/>
      <c r="C452" s="24">
        <f t="shared" si="68"/>
        <v>1</v>
      </c>
      <c r="D452" s="718"/>
      <c r="E452" s="24">
        <f t="shared" si="69"/>
        <v>0.02</v>
      </c>
      <c r="F452" s="718"/>
      <c r="G452" s="24">
        <f t="shared" si="70"/>
        <v>0.1</v>
      </c>
      <c r="H452" s="718"/>
      <c r="I452" s="24">
        <f t="shared" si="71"/>
        <v>0.05</v>
      </c>
      <c r="J452" s="718"/>
      <c r="K452" s="24">
        <f t="shared" si="72"/>
        <v>0.2</v>
      </c>
      <c r="L452" s="718"/>
      <c r="M452" s="24">
        <f t="shared" si="73"/>
        <v>1</v>
      </c>
      <c r="N452" s="718"/>
      <c r="O452" s="24">
        <f t="shared" si="74"/>
        <v>1</v>
      </c>
      <c r="P452" s="718"/>
      <c r="Q452" s="24">
        <f t="shared" si="75"/>
        <v>1</v>
      </c>
      <c r="R452" s="714">
        <f t="shared" si="76"/>
        <v>0</v>
      </c>
      <c r="S452" s="361">
        <f t="shared" si="67"/>
        <v>0</v>
      </c>
    </row>
    <row r="453" spans="1:19">
      <c r="A453" s="159"/>
      <c r="B453" s="59"/>
      <c r="C453" s="24">
        <f t="shared" si="68"/>
        <v>1</v>
      </c>
      <c r="D453" s="718"/>
      <c r="E453" s="24">
        <f t="shared" si="69"/>
        <v>0.02</v>
      </c>
      <c r="F453" s="718"/>
      <c r="G453" s="24">
        <f t="shared" si="70"/>
        <v>0.1</v>
      </c>
      <c r="H453" s="718"/>
      <c r="I453" s="24">
        <f t="shared" si="71"/>
        <v>0.05</v>
      </c>
      <c r="J453" s="718"/>
      <c r="K453" s="24">
        <f t="shared" si="72"/>
        <v>0.2</v>
      </c>
      <c r="L453" s="718"/>
      <c r="M453" s="24">
        <f t="shared" si="73"/>
        <v>1</v>
      </c>
      <c r="N453" s="718"/>
      <c r="O453" s="24">
        <f t="shared" si="74"/>
        <v>1</v>
      </c>
      <c r="P453" s="718"/>
      <c r="Q453" s="24">
        <f t="shared" si="75"/>
        <v>1</v>
      </c>
      <c r="R453" s="714">
        <f t="shared" si="76"/>
        <v>0</v>
      </c>
      <c r="S453" s="361">
        <f t="shared" si="67"/>
        <v>0</v>
      </c>
    </row>
    <row r="454" spans="1:19">
      <c r="A454" s="159"/>
      <c r="B454" s="59"/>
      <c r="C454" s="24">
        <f t="shared" si="68"/>
        <v>1</v>
      </c>
      <c r="D454" s="718"/>
      <c r="E454" s="24">
        <f t="shared" si="69"/>
        <v>0.02</v>
      </c>
      <c r="F454" s="718"/>
      <c r="G454" s="24">
        <f t="shared" si="70"/>
        <v>0.1</v>
      </c>
      <c r="H454" s="718"/>
      <c r="I454" s="24">
        <f t="shared" si="71"/>
        <v>0.05</v>
      </c>
      <c r="J454" s="718"/>
      <c r="K454" s="24">
        <f t="shared" si="72"/>
        <v>0.2</v>
      </c>
      <c r="L454" s="718"/>
      <c r="M454" s="24">
        <f t="shared" si="73"/>
        <v>1</v>
      </c>
      <c r="N454" s="718"/>
      <c r="O454" s="24">
        <f t="shared" si="74"/>
        <v>1</v>
      </c>
      <c r="P454" s="718"/>
      <c r="Q454" s="24">
        <f t="shared" si="75"/>
        <v>1</v>
      </c>
      <c r="R454" s="714">
        <f t="shared" si="76"/>
        <v>0</v>
      </c>
      <c r="S454" s="361">
        <f t="shared" si="67"/>
        <v>0</v>
      </c>
    </row>
    <row r="455" spans="1:19">
      <c r="A455" s="159"/>
      <c r="B455" s="59"/>
      <c r="C455" s="24">
        <f t="shared" si="68"/>
        <v>1</v>
      </c>
      <c r="D455" s="718"/>
      <c r="E455" s="24">
        <f t="shared" si="69"/>
        <v>0.02</v>
      </c>
      <c r="F455" s="718"/>
      <c r="G455" s="24">
        <f t="shared" si="70"/>
        <v>0.1</v>
      </c>
      <c r="H455" s="718"/>
      <c r="I455" s="24">
        <f t="shared" si="71"/>
        <v>0.05</v>
      </c>
      <c r="J455" s="718"/>
      <c r="K455" s="24">
        <f t="shared" si="72"/>
        <v>0.2</v>
      </c>
      <c r="L455" s="718"/>
      <c r="M455" s="24">
        <f t="shared" si="73"/>
        <v>1</v>
      </c>
      <c r="N455" s="718"/>
      <c r="O455" s="24">
        <f t="shared" si="74"/>
        <v>1</v>
      </c>
      <c r="P455" s="718"/>
      <c r="Q455" s="24">
        <f t="shared" si="75"/>
        <v>1</v>
      </c>
      <c r="R455" s="714">
        <f t="shared" si="76"/>
        <v>0</v>
      </c>
      <c r="S455" s="361">
        <f t="shared" si="67"/>
        <v>0</v>
      </c>
    </row>
    <row r="456" spans="1:19">
      <c r="A456" s="159"/>
      <c r="B456" s="59"/>
      <c r="C456" s="24">
        <f t="shared" si="68"/>
        <v>1</v>
      </c>
      <c r="D456" s="718"/>
      <c r="E456" s="24">
        <f t="shared" si="69"/>
        <v>0.02</v>
      </c>
      <c r="F456" s="718"/>
      <c r="G456" s="24">
        <f t="shared" si="70"/>
        <v>0.1</v>
      </c>
      <c r="H456" s="718"/>
      <c r="I456" s="24">
        <f t="shared" si="71"/>
        <v>0.05</v>
      </c>
      <c r="J456" s="718"/>
      <c r="K456" s="24">
        <f t="shared" si="72"/>
        <v>0.2</v>
      </c>
      <c r="L456" s="718"/>
      <c r="M456" s="24">
        <f t="shared" si="73"/>
        <v>1</v>
      </c>
      <c r="N456" s="718"/>
      <c r="O456" s="24">
        <f t="shared" si="74"/>
        <v>1</v>
      </c>
      <c r="P456" s="718"/>
      <c r="Q456" s="24">
        <f t="shared" si="75"/>
        <v>1</v>
      </c>
      <c r="R456" s="714">
        <f t="shared" si="76"/>
        <v>0</v>
      </c>
      <c r="S456" s="361">
        <f t="shared" si="67"/>
        <v>0</v>
      </c>
    </row>
    <row r="457" spans="1:19">
      <c r="A457" s="159"/>
      <c r="B457" s="59"/>
      <c r="C457" s="24">
        <f t="shared" si="68"/>
        <v>1</v>
      </c>
      <c r="D457" s="718"/>
      <c r="E457" s="24">
        <f t="shared" si="69"/>
        <v>0.02</v>
      </c>
      <c r="F457" s="718"/>
      <c r="G457" s="24">
        <f t="shared" si="70"/>
        <v>0.1</v>
      </c>
      <c r="H457" s="718"/>
      <c r="I457" s="24">
        <f t="shared" si="71"/>
        <v>0.05</v>
      </c>
      <c r="J457" s="718"/>
      <c r="K457" s="24">
        <f t="shared" si="72"/>
        <v>0.2</v>
      </c>
      <c r="L457" s="718"/>
      <c r="M457" s="24">
        <f t="shared" si="73"/>
        <v>1</v>
      </c>
      <c r="N457" s="718"/>
      <c r="O457" s="24">
        <f t="shared" si="74"/>
        <v>1</v>
      </c>
      <c r="P457" s="718"/>
      <c r="Q457" s="24">
        <f t="shared" si="75"/>
        <v>1</v>
      </c>
      <c r="R457" s="714">
        <f t="shared" si="76"/>
        <v>0</v>
      </c>
      <c r="S457" s="361">
        <f t="shared" si="67"/>
        <v>0</v>
      </c>
    </row>
    <row r="458" spans="1:19">
      <c r="A458" s="159"/>
      <c r="B458" s="59"/>
      <c r="C458" s="24">
        <f t="shared" si="68"/>
        <v>1</v>
      </c>
      <c r="D458" s="718"/>
      <c r="E458" s="24">
        <f t="shared" si="69"/>
        <v>0.02</v>
      </c>
      <c r="F458" s="718"/>
      <c r="G458" s="24">
        <f t="shared" si="70"/>
        <v>0.1</v>
      </c>
      <c r="H458" s="718"/>
      <c r="I458" s="24">
        <f t="shared" si="71"/>
        <v>0.05</v>
      </c>
      <c r="J458" s="718"/>
      <c r="K458" s="24">
        <f t="shared" si="72"/>
        <v>0.2</v>
      </c>
      <c r="L458" s="718"/>
      <c r="M458" s="24">
        <f t="shared" si="73"/>
        <v>1</v>
      </c>
      <c r="N458" s="718"/>
      <c r="O458" s="24">
        <f t="shared" si="74"/>
        <v>1</v>
      </c>
      <c r="P458" s="718"/>
      <c r="Q458" s="24">
        <f t="shared" si="75"/>
        <v>1</v>
      </c>
      <c r="R458" s="714">
        <f t="shared" si="76"/>
        <v>0</v>
      </c>
      <c r="S458" s="361">
        <f t="shared" si="67"/>
        <v>0</v>
      </c>
    </row>
    <row r="459" spans="1:19">
      <c r="A459" s="159"/>
      <c r="B459" s="59"/>
      <c r="C459" s="24">
        <f t="shared" si="68"/>
        <v>1</v>
      </c>
      <c r="D459" s="718"/>
      <c r="E459" s="24">
        <f t="shared" si="69"/>
        <v>0.02</v>
      </c>
      <c r="F459" s="718"/>
      <c r="G459" s="24">
        <f t="shared" si="70"/>
        <v>0.1</v>
      </c>
      <c r="H459" s="718"/>
      <c r="I459" s="24">
        <f t="shared" si="71"/>
        <v>0.05</v>
      </c>
      <c r="J459" s="718"/>
      <c r="K459" s="24">
        <f t="shared" si="72"/>
        <v>0.2</v>
      </c>
      <c r="L459" s="718"/>
      <c r="M459" s="24">
        <f t="shared" si="73"/>
        <v>1</v>
      </c>
      <c r="N459" s="718"/>
      <c r="O459" s="24">
        <f t="shared" si="74"/>
        <v>1</v>
      </c>
      <c r="P459" s="718"/>
      <c r="Q459" s="24">
        <f t="shared" si="75"/>
        <v>1</v>
      </c>
      <c r="R459" s="714">
        <f t="shared" si="76"/>
        <v>0</v>
      </c>
      <c r="S459" s="361">
        <f t="shared" si="67"/>
        <v>0</v>
      </c>
    </row>
    <row r="460" spans="1:19">
      <c r="A460" s="159"/>
      <c r="B460" s="59"/>
      <c r="C460" s="24">
        <f t="shared" si="68"/>
        <v>1</v>
      </c>
      <c r="D460" s="718"/>
      <c r="E460" s="24">
        <f t="shared" si="69"/>
        <v>0.02</v>
      </c>
      <c r="F460" s="718"/>
      <c r="G460" s="24">
        <f t="shared" si="70"/>
        <v>0.1</v>
      </c>
      <c r="H460" s="718"/>
      <c r="I460" s="24">
        <f t="shared" si="71"/>
        <v>0.05</v>
      </c>
      <c r="J460" s="718"/>
      <c r="K460" s="24">
        <f t="shared" si="72"/>
        <v>0.2</v>
      </c>
      <c r="L460" s="718"/>
      <c r="M460" s="24">
        <f t="shared" si="73"/>
        <v>1</v>
      </c>
      <c r="N460" s="718"/>
      <c r="O460" s="24">
        <f t="shared" si="74"/>
        <v>1</v>
      </c>
      <c r="P460" s="718"/>
      <c r="Q460" s="24">
        <f t="shared" si="75"/>
        <v>1</v>
      </c>
      <c r="R460" s="714">
        <f t="shared" si="76"/>
        <v>0</v>
      </c>
      <c r="S460" s="361">
        <f t="shared" si="67"/>
        <v>0</v>
      </c>
    </row>
    <row r="461" spans="1:19">
      <c r="A461" s="159"/>
      <c r="B461" s="59"/>
      <c r="C461" s="24">
        <f t="shared" si="68"/>
        <v>1</v>
      </c>
      <c r="D461" s="718"/>
      <c r="E461" s="24">
        <f t="shared" si="69"/>
        <v>0.02</v>
      </c>
      <c r="F461" s="718"/>
      <c r="G461" s="24">
        <f t="shared" si="70"/>
        <v>0.1</v>
      </c>
      <c r="H461" s="718"/>
      <c r="I461" s="24">
        <f t="shared" si="71"/>
        <v>0.05</v>
      </c>
      <c r="J461" s="718"/>
      <c r="K461" s="24">
        <f t="shared" si="72"/>
        <v>0.2</v>
      </c>
      <c r="L461" s="718"/>
      <c r="M461" s="24">
        <f t="shared" si="73"/>
        <v>1</v>
      </c>
      <c r="N461" s="718"/>
      <c r="O461" s="24">
        <f t="shared" si="74"/>
        <v>1</v>
      </c>
      <c r="P461" s="718"/>
      <c r="Q461" s="24">
        <f t="shared" si="75"/>
        <v>1</v>
      </c>
      <c r="R461" s="714">
        <f t="shared" si="76"/>
        <v>0</v>
      </c>
      <c r="S461" s="361">
        <f t="shared" si="67"/>
        <v>0</v>
      </c>
    </row>
    <row r="462" spans="1:19">
      <c r="A462" s="159"/>
      <c r="B462" s="59"/>
      <c r="C462" s="24">
        <f t="shared" si="68"/>
        <v>1</v>
      </c>
      <c r="D462" s="718"/>
      <c r="E462" s="24">
        <f t="shared" si="69"/>
        <v>0.02</v>
      </c>
      <c r="F462" s="718"/>
      <c r="G462" s="24">
        <f t="shared" si="70"/>
        <v>0.1</v>
      </c>
      <c r="H462" s="718"/>
      <c r="I462" s="24">
        <f t="shared" si="71"/>
        <v>0.05</v>
      </c>
      <c r="J462" s="718"/>
      <c r="K462" s="24">
        <f t="shared" si="72"/>
        <v>0.2</v>
      </c>
      <c r="L462" s="718"/>
      <c r="M462" s="24">
        <f t="shared" si="73"/>
        <v>1</v>
      </c>
      <c r="N462" s="718"/>
      <c r="O462" s="24">
        <f t="shared" si="74"/>
        <v>1</v>
      </c>
      <c r="P462" s="718"/>
      <c r="Q462" s="24">
        <f t="shared" si="75"/>
        <v>1</v>
      </c>
      <c r="R462" s="714">
        <f t="shared" si="76"/>
        <v>0</v>
      </c>
      <c r="S462" s="361">
        <f t="shared" si="67"/>
        <v>0</v>
      </c>
    </row>
    <row r="463" spans="1:19">
      <c r="A463" s="159"/>
      <c r="B463" s="59"/>
      <c r="C463" s="24">
        <f t="shared" si="68"/>
        <v>1</v>
      </c>
      <c r="D463" s="718"/>
      <c r="E463" s="24">
        <f t="shared" si="69"/>
        <v>0.02</v>
      </c>
      <c r="F463" s="718"/>
      <c r="G463" s="24">
        <f t="shared" si="70"/>
        <v>0.1</v>
      </c>
      <c r="H463" s="718"/>
      <c r="I463" s="24">
        <f t="shared" si="71"/>
        <v>0.05</v>
      </c>
      <c r="J463" s="718"/>
      <c r="K463" s="24">
        <f t="shared" si="72"/>
        <v>0.2</v>
      </c>
      <c r="L463" s="718"/>
      <c r="M463" s="24">
        <f t="shared" si="73"/>
        <v>1</v>
      </c>
      <c r="N463" s="718"/>
      <c r="O463" s="24">
        <f t="shared" si="74"/>
        <v>1</v>
      </c>
      <c r="P463" s="718"/>
      <c r="Q463" s="24">
        <f t="shared" si="75"/>
        <v>1</v>
      </c>
      <c r="R463" s="714">
        <f t="shared" si="76"/>
        <v>0</v>
      </c>
      <c r="S463" s="361">
        <f t="shared" si="67"/>
        <v>0</v>
      </c>
    </row>
    <row r="464" spans="1:19">
      <c r="A464" s="159"/>
      <c r="B464" s="59"/>
      <c r="C464" s="24">
        <f t="shared" si="68"/>
        <v>1</v>
      </c>
      <c r="D464" s="718"/>
      <c r="E464" s="24">
        <f t="shared" si="69"/>
        <v>0.02</v>
      </c>
      <c r="F464" s="718"/>
      <c r="G464" s="24">
        <f t="shared" si="70"/>
        <v>0.1</v>
      </c>
      <c r="H464" s="718"/>
      <c r="I464" s="24">
        <f t="shared" si="71"/>
        <v>0.05</v>
      </c>
      <c r="J464" s="718"/>
      <c r="K464" s="24">
        <f t="shared" si="72"/>
        <v>0.2</v>
      </c>
      <c r="L464" s="718"/>
      <c r="M464" s="24">
        <f t="shared" si="73"/>
        <v>1</v>
      </c>
      <c r="N464" s="718"/>
      <c r="O464" s="24">
        <f t="shared" si="74"/>
        <v>1</v>
      </c>
      <c r="P464" s="718"/>
      <c r="Q464" s="24">
        <f t="shared" si="75"/>
        <v>1</v>
      </c>
      <c r="R464" s="714">
        <f t="shared" si="76"/>
        <v>0</v>
      </c>
      <c r="S464" s="361">
        <f t="shared" si="67"/>
        <v>0</v>
      </c>
    </row>
    <row r="465" spans="1:19">
      <c r="A465" s="159"/>
      <c r="B465" s="59"/>
      <c r="C465" s="24">
        <f t="shared" si="68"/>
        <v>1</v>
      </c>
      <c r="D465" s="718"/>
      <c r="E465" s="24">
        <f t="shared" si="69"/>
        <v>0.02</v>
      </c>
      <c r="F465" s="718"/>
      <c r="G465" s="24">
        <f t="shared" si="70"/>
        <v>0.1</v>
      </c>
      <c r="H465" s="718"/>
      <c r="I465" s="24">
        <f t="shared" si="71"/>
        <v>0.05</v>
      </c>
      <c r="J465" s="718"/>
      <c r="K465" s="24">
        <f t="shared" si="72"/>
        <v>0.2</v>
      </c>
      <c r="L465" s="718"/>
      <c r="M465" s="24">
        <f t="shared" si="73"/>
        <v>1</v>
      </c>
      <c r="N465" s="718"/>
      <c r="O465" s="24">
        <f t="shared" si="74"/>
        <v>1</v>
      </c>
      <c r="P465" s="718"/>
      <c r="Q465" s="24">
        <f t="shared" si="75"/>
        <v>1</v>
      </c>
      <c r="R465" s="714">
        <f t="shared" si="76"/>
        <v>0</v>
      </c>
      <c r="S465" s="361">
        <f t="shared" si="67"/>
        <v>0</v>
      </c>
    </row>
    <row r="466" spans="1:19">
      <c r="A466" s="159"/>
      <c r="B466" s="59"/>
      <c r="C466" s="24">
        <f t="shared" si="68"/>
        <v>1</v>
      </c>
      <c r="D466" s="718"/>
      <c r="E466" s="24">
        <f t="shared" si="69"/>
        <v>0.02</v>
      </c>
      <c r="F466" s="718"/>
      <c r="G466" s="24">
        <f t="shared" si="70"/>
        <v>0.1</v>
      </c>
      <c r="H466" s="718"/>
      <c r="I466" s="24">
        <f t="shared" si="71"/>
        <v>0.05</v>
      </c>
      <c r="J466" s="718"/>
      <c r="K466" s="24">
        <f t="shared" si="72"/>
        <v>0.2</v>
      </c>
      <c r="L466" s="718"/>
      <c r="M466" s="24">
        <f t="shared" si="73"/>
        <v>1</v>
      </c>
      <c r="N466" s="718"/>
      <c r="O466" s="24">
        <f t="shared" si="74"/>
        <v>1</v>
      </c>
      <c r="P466" s="718"/>
      <c r="Q466" s="24">
        <f t="shared" si="75"/>
        <v>1</v>
      </c>
      <c r="R466" s="714">
        <f t="shared" si="76"/>
        <v>0</v>
      </c>
      <c r="S466" s="361">
        <f t="shared" si="67"/>
        <v>0</v>
      </c>
    </row>
    <row r="467" spans="1:19">
      <c r="A467" s="159"/>
      <c r="B467" s="59"/>
      <c r="C467" s="24">
        <f t="shared" si="68"/>
        <v>1</v>
      </c>
      <c r="D467" s="718"/>
      <c r="E467" s="24">
        <f t="shared" si="69"/>
        <v>0.02</v>
      </c>
      <c r="F467" s="718"/>
      <c r="G467" s="24">
        <f t="shared" si="70"/>
        <v>0.1</v>
      </c>
      <c r="H467" s="718"/>
      <c r="I467" s="24">
        <f t="shared" si="71"/>
        <v>0.05</v>
      </c>
      <c r="J467" s="718"/>
      <c r="K467" s="24">
        <f t="shared" si="72"/>
        <v>0.2</v>
      </c>
      <c r="L467" s="718"/>
      <c r="M467" s="24">
        <f t="shared" si="73"/>
        <v>1</v>
      </c>
      <c r="N467" s="718"/>
      <c r="O467" s="24">
        <f t="shared" si="74"/>
        <v>1</v>
      </c>
      <c r="P467" s="718"/>
      <c r="Q467" s="24">
        <f t="shared" si="75"/>
        <v>1</v>
      </c>
      <c r="R467" s="714">
        <f t="shared" si="76"/>
        <v>0</v>
      </c>
      <c r="S467" s="361">
        <f t="shared" si="67"/>
        <v>0</v>
      </c>
    </row>
    <row r="468" spans="1:19">
      <c r="A468" s="159"/>
      <c r="B468" s="59"/>
      <c r="C468" s="24">
        <f t="shared" si="68"/>
        <v>1</v>
      </c>
      <c r="D468" s="718"/>
      <c r="E468" s="24">
        <f t="shared" si="69"/>
        <v>0.02</v>
      </c>
      <c r="F468" s="718"/>
      <c r="G468" s="24">
        <f t="shared" si="70"/>
        <v>0.1</v>
      </c>
      <c r="H468" s="718"/>
      <c r="I468" s="24">
        <f t="shared" si="71"/>
        <v>0.05</v>
      </c>
      <c r="J468" s="718"/>
      <c r="K468" s="24">
        <f t="shared" si="72"/>
        <v>0.2</v>
      </c>
      <c r="L468" s="718"/>
      <c r="M468" s="24">
        <f t="shared" si="73"/>
        <v>1</v>
      </c>
      <c r="N468" s="718"/>
      <c r="O468" s="24">
        <f t="shared" si="74"/>
        <v>1</v>
      </c>
      <c r="P468" s="718"/>
      <c r="Q468" s="24">
        <f t="shared" si="75"/>
        <v>1</v>
      </c>
      <c r="R468" s="714">
        <f t="shared" si="76"/>
        <v>0</v>
      </c>
      <c r="S468" s="361">
        <f t="shared" si="67"/>
        <v>0</v>
      </c>
    </row>
    <row r="469" spans="1:19">
      <c r="A469" s="159"/>
      <c r="B469" s="59"/>
      <c r="C469" s="24">
        <f t="shared" si="68"/>
        <v>1</v>
      </c>
      <c r="D469" s="718"/>
      <c r="E469" s="24">
        <f t="shared" si="69"/>
        <v>0.02</v>
      </c>
      <c r="F469" s="718"/>
      <c r="G469" s="24">
        <f t="shared" si="70"/>
        <v>0.1</v>
      </c>
      <c r="H469" s="718"/>
      <c r="I469" s="24">
        <f t="shared" si="71"/>
        <v>0.05</v>
      </c>
      <c r="J469" s="718"/>
      <c r="K469" s="24">
        <f t="shared" si="72"/>
        <v>0.2</v>
      </c>
      <c r="L469" s="718"/>
      <c r="M469" s="24">
        <f t="shared" si="73"/>
        <v>1</v>
      </c>
      <c r="N469" s="718"/>
      <c r="O469" s="24">
        <f t="shared" si="74"/>
        <v>1</v>
      </c>
      <c r="P469" s="718"/>
      <c r="Q469" s="24">
        <f t="shared" si="75"/>
        <v>1</v>
      </c>
      <c r="R469" s="714">
        <f t="shared" si="76"/>
        <v>0</v>
      </c>
      <c r="S469" s="361">
        <f t="shared" si="67"/>
        <v>0</v>
      </c>
    </row>
    <row r="470" spans="1:19">
      <c r="A470" s="159"/>
      <c r="B470" s="59"/>
      <c r="C470" s="24">
        <f t="shared" si="68"/>
        <v>1</v>
      </c>
      <c r="D470" s="718"/>
      <c r="E470" s="24">
        <f t="shared" si="69"/>
        <v>0.02</v>
      </c>
      <c r="F470" s="718"/>
      <c r="G470" s="24">
        <f t="shared" si="70"/>
        <v>0.1</v>
      </c>
      <c r="H470" s="718"/>
      <c r="I470" s="24">
        <f t="shared" si="71"/>
        <v>0.05</v>
      </c>
      <c r="J470" s="718"/>
      <c r="K470" s="24">
        <f t="shared" si="72"/>
        <v>0.2</v>
      </c>
      <c r="L470" s="718"/>
      <c r="M470" s="24">
        <f t="shared" si="73"/>
        <v>1</v>
      </c>
      <c r="N470" s="718"/>
      <c r="O470" s="24">
        <f t="shared" si="74"/>
        <v>1</v>
      </c>
      <c r="P470" s="718"/>
      <c r="Q470" s="24">
        <f t="shared" si="75"/>
        <v>1</v>
      </c>
      <c r="R470" s="714">
        <f t="shared" si="76"/>
        <v>0</v>
      </c>
      <c r="S470" s="361">
        <f t="shared" si="67"/>
        <v>0</v>
      </c>
    </row>
    <row r="471" spans="1:19">
      <c r="A471" s="159"/>
      <c r="B471" s="59"/>
      <c r="C471" s="24">
        <f t="shared" si="68"/>
        <v>1</v>
      </c>
      <c r="D471" s="718"/>
      <c r="E471" s="24">
        <f t="shared" si="69"/>
        <v>0.02</v>
      </c>
      <c r="F471" s="718"/>
      <c r="G471" s="24">
        <f t="shared" si="70"/>
        <v>0.1</v>
      </c>
      <c r="H471" s="718"/>
      <c r="I471" s="24">
        <f t="shared" si="71"/>
        <v>0.05</v>
      </c>
      <c r="J471" s="718"/>
      <c r="K471" s="24">
        <f t="shared" si="72"/>
        <v>0.2</v>
      </c>
      <c r="L471" s="718"/>
      <c r="M471" s="24">
        <f t="shared" si="73"/>
        <v>1</v>
      </c>
      <c r="N471" s="718"/>
      <c r="O471" s="24">
        <f t="shared" si="74"/>
        <v>1</v>
      </c>
      <c r="P471" s="718"/>
      <c r="Q471" s="24">
        <f t="shared" si="75"/>
        <v>1</v>
      </c>
      <c r="R471" s="714">
        <f t="shared" si="76"/>
        <v>0</v>
      </c>
      <c r="S471" s="361">
        <f t="shared" si="67"/>
        <v>0</v>
      </c>
    </row>
    <row r="472" spans="1:19">
      <c r="A472" s="159"/>
      <c r="B472" s="59"/>
      <c r="C472" s="24">
        <f t="shared" si="68"/>
        <v>1</v>
      </c>
      <c r="D472" s="718"/>
      <c r="E472" s="24">
        <f t="shared" si="69"/>
        <v>0.02</v>
      </c>
      <c r="F472" s="718"/>
      <c r="G472" s="24">
        <f t="shared" si="70"/>
        <v>0.1</v>
      </c>
      <c r="H472" s="718"/>
      <c r="I472" s="24">
        <f t="shared" si="71"/>
        <v>0.05</v>
      </c>
      <c r="J472" s="718"/>
      <c r="K472" s="24">
        <f t="shared" si="72"/>
        <v>0.2</v>
      </c>
      <c r="L472" s="718"/>
      <c r="M472" s="24">
        <f t="shared" si="73"/>
        <v>1</v>
      </c>
      <c r="N472" s="718"/>
      <c r="O472" s="24">
        <f t="shared" si="74"/>
        <v>1</v>
      </c>
      <c r="P472" s="718"/>
      <c r="Q472" s="24">
        <f t="shared" si="75"/>
        <v>1</v>
      </c>
      <c r="R472" s="714">
        <f t="shared" si="76"/>
        <v>0</v>
      </c>
      <c r="S472" s="361">
        <f t="shared" ref="S472:S524" si="77">ROUND(R472*B472/10000,0)</f>
        <v>0</v>
      </c>
    </row>
    <row r="473" spans="1:19">
      <c r="A473" s="159"/>
      <c r="B473" s="59"/>
      <c r="C473" s="24">
        <f t="shared" si="68"/>
        <v>1</v>
      </c>
      <c r="D473" s="718"/>
      <c r="E473" s="24">
        <f t="shared" si="69"/>
        <v>0.02</v>
      </c>
      <c r="F473" s="718"/>
      <c r="G473" s="24">
        <f t="shared" si="70"/>
        <v>0.1</v>
      </c>
      <c r="H473" s="718"/>
      <c r="I473" s="24">
        <f t="shared" si="71"/>
        <v>0.05</v>
      </c>
      <c r="J473" s="718"/>
      <c r="K473" s="24">
        <f t="shared" si="72"/>
        <v>0.2</v>
      </c>
      <c r="L473" s="718"/>
      <c r="M473" s="24">
        <f t="shared" si="73"/>
        <v>1</v>
      </c>
      <c r="N473" s="718"/>
      <c r="O473" s="24">
        <f t="shared" si="74"/>
        <v>1</v>
      </c>
      <c r="P473" s="718"/>
      <c r="Q473" s="24">
        <f t="shared" si="75"/>
        <v>1</v>
      </c>
      <c r="R473" s="714">
        <f t="shared" si="76"/>
        <v>0</v>
      </c>
      <c r="S473" s="361">
        <f t="shared" si="77"/>
        <v>0</v>
      </c>
    </row>
    <row r="474" spans="1:19">
      <c r="A474" s="159"/>
      <c r="B474" s="59"/>
      <c r="C474" s="24">
        <f t="shared" ref="C474:C524" si="78">IF(B474="",1,(LOOKUP(B474,$3:$3,$4:$4)-LOOKUP($B$24,$3:$3,$4:$4)+100)/100)</f>
        <v>1</v>
      </c>
      <c r="D474" s="718"/>
      <c r="E474" s="24">
        <f t="shared" ref="E474:E524" si="79">(SUMIF($5:$5,D474,$6:$6)-SUMIF($5:$5,$D$24,$6:$6)+100)/100</f>
        <v>0.02</v>
      </c>
      <c r="F474" s="718"/>
      <c r="G474" s="24">
        <f t="shared" ref="G474:G524" si="80">(SUMIF($7:$7,F474,$8:$8)-SUMIF($7:$7,$F$24,$8:$8)+100)/100</f>
        <v>0.1</v>
      </c>
      <c r="H474" s="718"/>
      <c r="I474" s="24">
        <f t="shared" ref="I474:I524" si="81">(SUMIF($9:$9,H474,$10:$10)-SUMIF($9:$9,$H$24,$10:$10)+100)/100</f>
        <v>0.05</v>
      </c>
      <c r="J474" s="718"/>
      <c r="K474" s="24">
        <f t="shared" ref="K474:K524" si="82">(SUMIF($11:$11,J474,$12:$12)-SUMIF($11:$11,$J$24,$12:$12)+100)/100</f>
        <v>0.2</v>
      </c>
      <c r="L474" s="718"/>
      <c r="M474" s="24">
        <f t="shared" ref="M474:M524" si="83">(SUMIF($13:$13,L474,$14:$14)-SUMIF($13:$13,$L$24,$14:$14)+100)/100</f>
        <v>1</v>
      </c>
      <c r="N474" s="718"/>
      <c r="O474" s="24">
        <f t="shared" ref="O474:O524" si="84">(SUMIF($15:$15,N474,$16:$16)-SUMIF($15:$15,$N$24,$16:$16)+100)/100</f>
        <v>1</v>
      </c>
      <c r="P474" s="718"/>
      <c r="Q474" s="24">
        <f t="shared" ref="Q474:Q524" si="85">(SUMIF($17:$17,P474,$18:$18)-SUMIF($17:$17,$P$24,$18:$18)+100)/100</f>
        <v>1</v>
      </c>
      <c r="R474" s="714">
        <f t="shared" ref="R474:R524" si="86">IF(B474="",0,ROUND($R$24*C474*E474*G474*I474*K474*M474*O474*Q474,0))</f>
        <v>0</v>
      </c>
      <c r="S474" s="361">
        <f t="shared" si="77"/>
        <v>0</v>
      </c>
    </row>
    <row r="475" spans="1:19">
      <c r="A475" s="159"/>
      <c r="B475" s="59"/>
      <c r="C475" s="24">
        <f t="shared" si="78"/>
        <v>1</v>
      </c>
      <c r="D475" s="718"/>
      <c r="E475" s="24">
        <f t="shared" si="79"/>
        <v>0.02</v>
      </c>
      <c r="F475" s="718"/>
      <c r="G475" s="24">
        <f t="shared" si="80"/>
        <v>0.1</v>
      </c>
      <c r="H475" s="718"/>
      <c r="I475" s="24">
        <f t="shared" si="81"/>
        <v>0.05</v>
      </c>
      <c r="J475" s="718"/>
      <c r="K475" s="24">
        <f t="shared" si="82"/>
        <v>0.2</v>
      </c>
      <c r="L475" s="718"/>
      <c r="M475" s="24">
        <f t="shared" si="83"/>
        <v>1</v>
      </c>
      <c r="N475" s="718"/>
      <c r="O475" s="24">
        <f t="shared" si="84"/>
        <v>1</v>
      </c>
      <c r="P475" s="718"/>
      <c r="Q475" s="24">
        <f t="shared" si="85"/>
        <v>1</v>
      </c>
      <c r="R475" s="714">
        <f t="shared" si="86"/>
        <v>0</v>
      </c>
      <c r="S475" s="361">
        <f t="shared" si="77"/>
        <v>0</v>
      </c>
    </row>
    <row r="476" spans="1:19">
      <c r="A476" s="159"/>
      <c r="B476" s="59"/>
      <c r="C476" s="24">
        <f t="shared" si="78"/>
        <v>1</v>
      </c>
      <c r="D476" s="718"/>
      <c r="E476" s="24">
        <f t="shared" si="79"/>
        <v>0.02</v>
      </c>
      <c r="F476" s="718"/>
      <c r="G476" s="24">
        <f t="shared" si="80"/>
        <v>0.1</v>
      </c>
      <c r="H476" s="718"/>
      <c r="I476" s="24">
        <f t="shared" si="81"/>
        <v>0.05</v>
      </c>
      <c r="J476" s="718"/>
      <c r="K476" s="24">
        <f t="shared" si="82"/>
        <v>0.2</v>
      </c>
      <c r="L476" s="718"/>
      <c r="M476" s="24">
        <f t="shared" si="83"/>
        <v>1</v>
      </c>
      <c r="N476" s="718"/>
      <c r="O476" s="24">
        <f t="shared" si="84"/>
        <v>1</v>
      </c>
      <c r="P476" s="718"/>
      <c r="Q476" s="24">
        <f t="shared" si="85"/>
        <v>1</v>
      </c>
      <c r="R476" s="714">
        <f t="shared" si="86"/>
        <v>0</v>
      </c>
      <c r="S476" s="361">
        <f t="shared" si="77"/>
        <v>0</v>
      </c>
    </row>
    <row r="477" spans="1:19">
      <c r="A477" s="159"/>
      <c r="B477" s="59"/>
      <c r="C477" s="24">
        <f t="shared" si="78"/>
        <v>1</v>
      </c>
      <c r="D477" s="718"/>
      <c r="E477" s="24">
        <f t="shared" si="79"/>
        <v>0.02</v>
      </c>
      <c r="F477" s="718"/>
      <c r="G477" s="24">
        <f t="shared" si="80"/>
        <v>0.1</v>
      </c>
      <c r="H477" s="718"/>
      <c r="I477" s="24">
        <f t="shared" si="81"/>
        <v>0.05</v>
      </c>
      <c r="J477" s="718"/>
      <c r="K477" s="24">
        <f t="shared" si="82"/>
        <v>0.2</v>
      </c>
      <c r="L477" s="718"/>
      <c r="M477" s="24">
        <f t="shared" si="83"/>
        <v>1</v>
      </c>
      <c r="N477" s="718"/>
      <c r="O477" s="24">
        <f t="shared" si="84"/>
        <v>1</v>
      </c>
      <c r="P477" s="718"/>
      <c r="Q477" s="24">
        <f t="shared" si="85"/>
        <v>1</v>
      </c>
      <c r="R477" s="714">
        <f t="shared" si="86"/>
        <v>0</v>
      </c>
      <c r="S477" s="361">
        <f t="shared" si="77"/>
        <v>0</v>
      </c>
    </row>
    <row r="478" spans="1:19">
      <c r="A478" s="159"/>
      <c r="B478" s="59"/>
      <c r="C478" s="24">
        <f t="shared" si="78"/>
        <v>1</v>
      </c>
      <c r="D478" s="718"/>
      <c r="E478" s="24">
        <f t="shared" si="79"/>
        <v>0.02</v>
      </c>
      <c r="F478" s="718"/>
      <c r="G478" s="24">
        <f t="shared" si="80"/>
        <v>0.1</v>
      </c>
      <c r="H478" s="718"/>
      <c r="I478" s="24">
        <f t="shared" si="81"/>
        <v>0.05</v>
      </c>
      <c r="J478" s="718"/>
      <c r="K478" s="24">
        <f t="shared" si="82"/>
        <v>0.2</v>
      </c>
      <c r="L478" s="718"/>
      <c r="M478" s="24">
        <f t="shared" si="83"/>
        <v>1</v>
      </c>
      <c r="N478" s="718"/>
      <c r="O478" s="24">
        <f t="shared" si="84"/>
        <v>1</v>
      </c>
      <c r="P478" s="718"/>
      <c r="Q478" s="24">
        <f t="shared" si="85"/>
        <v>1</v>
      </c>
      <c r="R478" s="714">
        <f t="shared" si="86"/>
        <v>0</v>
      </c>
      <c r="S478" s="361">
        <f t="shared" si="77"/>
        <v>0</v>
      </c>
    </row>
    <row r="479" spans="1:19">
      <c r="A479" s="159"/>
      <c r="B479" s="59"/>
      <c r="C479" s="24">
        <f t="shared" si="78"/>
        <v>1</v>
      </c>
      <c r="D479" s="718"/>
      <c r="E479" s="24">
        <f t="shared" si="79"/>
        <v>0.02</v>
      </c>
      <c r="F479" s="718"/>
      <c r="G479" s="24">
        <f t="shared" si="80"/>
        <v>0.1</v>
      </c>
      <c r="H479" s="718"/>
      <c r="I479" s="24">
        <f t="shared" si="81"/>
        <v>0.05</v>
      </c>
      <c r="J479" s="718"/>
      <c r="K479" s="24">
        <f t="shared" si="82"/>
        <v>0.2</v>
      </c>
      <c r="L479" s="718"/>
      <c r="M479" s="24">
        <f t="shared" si="83"/>
        <v>1</v>
      </c>
      <c r="N479" s="718"/>
      <c r="O479" s="24">
        <f t="shared" si="84"/>
        <v>1</v>
      </c>
      <c r="P479" s="718"/>
      <c r="Q479" s="24">
        <f t="shared" si="85"/>
        <v>1</v>
      </c>
      <c r="R479" s="714">
        <f t="shared" si="86"/>
        <v>0</v>
      </c>
      <c r="S479" s="361">
        <f t="shared" si="77"/>
        <v>0</v>
      </c>
    </row>
    <row r="480" spans="1:19">
      <c r="A480" s="159"/>
      <c r="B480" s="59"/>
      <c r="C480" s="24">
        <f t="shared" si="78"/>
        <v>1</v>
      </c>
      <c r="D480" s="718"/>
      <c r="E480" s="24">
        <f t="shared" si="79"/>
        <v>0.02</v>
      </c>
      <c r="F480" s="718"/>
      <c r="G480" s="24">
        <f t="shared" si="80"/>
        <v>0.1</v>
      </c>
      <c r="H480" s="718"/>
      <c r="I480" s="24">
        <f t="shared" si="81"/>
        <v>0.05</v>
      </c>
      <c r="J480" s="718"/>
      <c r="K480" s="24">
        <f t="shared" si="82"/>
        <v>0.2</v>
      </c>
      <c r="L480" s="718"/>
      <c r="M480" s="24">
        <f t="shared" si="83"/>
        <v>1</v>
      </c>
      <c r="N480" s="718"/>
      <c r="O480" s="24">
        <f t="shared" si="84"/>
        <v>1</v>
      </c>
      <c r="P480" s="718"/>
      <c r="Q480" s="24">
        <f t="shared" si="85"/>
        <v>1</v>
      </c>
      <c r="R480" s="714">
        <f t="shared" si="86"/>
        <v>0</v>
      </c>
      <c r="S480" s="361">
        <f t="shared" si="77"/>
        <v>0</v>
      </c>
    </row>
    <row r="481" spans="1:19">
      <c r="A481" s="159"/>
      <c r="B481" s="59"/>
      <c r="C481" s="24">
        <f t="shared" si="78"/>
        <v>1</v>
      </c>
      <c r="D481" s="718"/>
      <c r="E481" s="24">
        <f t="shared" si="79"/>
        <v>0.02</v>
      </c>
      <c r="F481" s="718"/>
      <c r="G481" s="24">
        <f t="shared" si="80"/>
        <v>0.1</v>
      </c>
      <c r="H481" s="718"/>
      <c r="I481" s="24">
        <f t="shared" si="81"/>
        <v>0.05</v>
      </c>
      <c r="J481" s="718"/>
      <c r="K481" s="24">
        <f t="shared" si="82"/>
        <v>0.2</v>
      </c>
      <c r="L481" s="718"/>
      <c r="M481" s="24">
        <f t="shared" si="83"/>
        <v>1</v>
      </c>
      <c r="N481" s="718"/>
      <c r="O481" s="24">
        <f t="shared" si="84"/>
        <v>1</v>
      </c>
      <c r="P481" s="718"/>
      <c r="Q481" s="24">
        <f t="shared" si="85"/>
        <v>1</v>
      </c>
      <c r="R481" s="714">
        <f t="shared" si="86"/>
        <v>0</v>
      </c>
      <c r="S481" s="361">
        <f t="shared" si="77"/>
        <v>0</v>
      </c>
    </row>
    <row r="482" spans="1:19">
      <c r="A482" s="159"/>
      <c r="B482" s="59"/>
      <c r="C482" s="24">
        <f t="shared" si="78"/>
        <v>1</v>
      </c>
      <c r="D482" s="718"/>
      <c r="E482" s="24">
        <f t="shared" si="79"/>
        <v>0.02</v>
      </c>
      <c r="F482" s="718"/>
      <c r="G482" s="24">
        <f t="shared" si="80"/>
        <v>0.1</v>
      </c>
      <c r="H482" s="718"/>
      <c r="I482" s="24">
        <f t="shared" si="81"/>
        <v>0.05</v>
      </c>
      <c r="J482" s="718"/>
      <c r="K482" s="24">
        <f t="shared" si="82"/>
        <v>0.2</v>
      </c>
      <c r="L482" s="718"/>
      <c r="M482" s="24">
        <f t="shared" si="83"/>
        <v>1</v>
      </c>
      <c r="N482" s="718"/>
      <c r="O482" s="24">
        <f t="shared" si="84"/>
        <v>1</v>
      </c>
      <c r="P482" s="718"/>
      <c r="Q482" s="24">
        <f t="shared" si="85"/>
        <v>1</v>
      </c>
      <c r="R482" s="714">
        <f t="shared" si="86"/>
        <v>0</v>
      </c>
      <c r="S482" s="361">
        <f t="shared" si="77"/>
        <v>0</v>
      </c>
    </row>
    <row r="483" spans="1:19">
      <c r="A483" s="159"/>
      <c r="B483" s="59"/>
      <c r="C483" s="24">
        <f t="shared" si="78"/>
        <v>1</v>
      </c>
      <c r="D483" s="718"/>
      <c r="E483" s="24">
        <f t="shared" si="79"/>
        <v>0.02</v>
      </c>
      <c r="F483" s="718"/>
      <c r="G483" s="24">
        <f t="shared" si="80"/>
        <v>0.1</v>
      </c>
      <c r="H483" s="718"/>
      <c r="I483" s="24">
        <f t="shared" si="81"/>
        <v>0.05</v>
      </c>
      <c r="J483" s="718"/>
      <c r="K483" s="24">
        <f t="shared" si="82"/>
        <v>0.2</v>
      </c>
      <c r="L483" s="718"/>
      <c r="M483" s="24">
        <f t="shared" si="83"/>
        <v>1</v>
      </c>
      <c r="N483" s="718"/>
      <c r="O483" s="24">
        <f t="shared" si="84"/>
        <v>1</v>
      </c>
      <c r="P483" s="718"/>
      <c r="Q483" s="24">
        <f t="shared" si="85"/>
        <v>1</v>
      </c>
      <c r="R483" s="714">
        <f t="shared" si="86"/>
        <v>0</v>
      </c>
      <c r="S483" s="361">
        <f t="shared" si="77"/>
        <v>0</v>
      </c>
    </row>
    <row r="484" spans="1:19">
      <c r="A484" s="159"/>
      <c r="B484" s="59"/>
      <c r="C484" s="24">
        <f t="shared" si="78"/>
        <v>1</v>
      </c>
      <c r="D484" s="718"/>
      <c r="E484" s="24">
        <f t="shared" si="79"/>
        <v>0.02</v>
      </c>
      <c r="F484" s="718"/>
      <c r="G484" s="24">
        <f t="shared" si="80"/>
        <v>0.1</v>
      </c>
      <c r="H484" s="718"/>
      <c r="I484" s="24">
        <f t="shared" si="81"/>
        <v>0.05</v>
      </c>
      <c r="J484" s="718"/>
      <c r="K484" s="24">
        <f t="shared" si="82"/>
        <v>0.2</v>
      </c>
      <c r="L484" s="718"/>
      <c r="M484" s="24">
        <f t="shared" si="83"/>
        <v>1</v>
      </c>
      <c r="N484" s="718"/>
      <c r="O484" s="24">
        <f t="shared" si="84"/>
        <v>1</v>
      </c>
      <c r="P484" s="718"/>
      <c r="Q484" s="24">
        <f t="shared" si="85"/>
        <v>1</v>
      </c>
      <c r="R484" s="714">
        <f t="shared" si="86"/>
        <v>0</v>
      </c>
      <c r="S484" s="361">
        <f t="shared" si="77"/>
        <v>0</v>
      </c>
    </row>
    <row r="485" spans="1:19">
      <c r="A485" s="159"/>
      <c r="B485" s="59"/>
      <c r="C485" s="24">
        <f t="shared" si="78"/>
        <v>1</v>
      </c>
      <c r="D485" s="718"/>
      <c r="E485" s="24">
        <f t="shared" si="79"/>
        <v>0.02</v>
      </c>
      <c r="F485" s="718"/>
      <c r="G485" s="24">
        <f t="shared" si="80"/>
        <v>0.1</v>
      </c>
      <c r="H485" s="718"/>
      <c r="I485" s="24">
        <f t="shared" si="81"/>
        <v>0.05</v>
      </c>
      <c r="J485" s="718"/>
      <c r="K485" s="24">
        <f t="shared" si="82"/>
        <v>0.2</v>
      </c>
      <c r="L485" s="718"/>
      <c r="M485" s="24">
        <f t="shared" si="83"/>
        <v>1</v>
      </c>
      <c r="N485" s="718"/>
      <c r="O485" s="24">
        <f t="shared" si="84"/>
        <v>1</v>
      </c>
      <c r="P485" s="718"/>
      <c r="Q485" s="24">
        <f t="shared" si="85"/>
        <v>1</v>
      </c>
      <c r="R485" s="714">
        <f t="shared" si="86"/>
        <v>0</v>
      </c>
      <c r="S485" s="361">
        <f t="shared" si="77"/>
        <v>0</v>
      </c>
    </row>
    <row r="486" spans="1:19">
      <c r="A486" s="159"/>
      <c r="B486" s="59"/>
      <c r="C486" s="24">
        <f t="shared" si="78"/>
        <v>1</v>
      </c>
      <c r="D486" s="718"/>
      <c r="E486" s="24">
        <f t="shared" si="79"/>
        <v>0.02</v>
      </c>
      <c r="F486" s="718"/>
      <c r="G486" s="24">
        <f t="shared" si="80"/>
        <v>0.1</v>
      </c>
      <c r="H486" s="718"/>
      <c r="I486" s="24">
        <f t="shared" si="81"/>
        <v>0.05</v>
      </c>
      <c r="J486" s="718"/>
      <c r="K486" s="24">
        <f t="shared" si="82"/>
        <v>0.2</v>
      </c>
      <c r="L486" s="718"/>
      <c r="M486" s="24">
        <f t="shared" si="83"/>
        <v>1</v>
      </c>
      <c r="N486" s="718"/>
      <c r="O486" s="24">
        <f t="shared" si="84"/>
        <v>1</v>
      </c>
      <c r="P486" s="718"/>
      <c r="Q486" s="24">
        <f t="shared" si="85"/>
        <v>1</v>
      </c>
      <c r="R486" s="714">
        <f t="shared" si="86"/>
        <v>0</v>
      </c>
      <c r="S486" s="361">
        <f t="shared" si="77"/>
        <v>0</v>
      </c>
    </row>
    <row r="487" spans="1:19">
      <c r="A487" s="159"/>
      <c r="B487" s="59"/>
      <c r="C487" s="24">
        <f t="shared" si="78"/>
        <v>1</v>
      </c>
      <c r="D487" s="718"/>
      <c r="E487" s="24">
        <f t="shared" si="79"/>
        <v>0.02</v>
      </c>
      <c r="F487" s="718"/>
      <c r="G487" s="24">
        <f t="shared" si="80"/>
        <v>0.1</v>
      </c>
      <c r="H487" s="718"/>
      <c r="I487" s="24">
        <f t="shared" si="81"/>
        <v>0.05</v>
      </c>
      <c r="J487" s="718"/>
      <c r="K487" s="24">
        <f t="shared" si="82"/>
        <v>0.2</v>
      </c>
      <c r="L487" s="718"/>
      <c r="M487" s="24">
        <f t="shared" si="83"/>
        <v>1</v>
      </c>
      <c r="N487" s="718"/>
      <c r="O487" s="24">
        <f t="shared" si="84"/>
        <v>1</v>
      </c>
      <c r="P487" s="718"/>
      <c r="Q487" s="24">
        <f t="shared" si="85"/>
        <v>1</v>
      </c>
      <c r="R487" s="714">
        <f t="shared" si="86"/>
        <v>0</v>
      </c>
      <c r="S487" s="361">
        <f t="shared" si="77"/>
        <v>0</v>
      </c>
    </row>
    <row r="488" spans="1:19">
      <c r="A488" s="159"/>
      <c r="B488" s="59"/>
      <c r="C488" s="24">
        <f t="shared" si="78"/>
        <v>1</v>
      </c>
      <c r="D488" s="718"/>
      <c r="E488" s="24">
        <f t="shared" si="79"/>
        <v>0.02</v>
      </c>
      <c r="F488" s="718"/>
      <c r="G488" s="24">
        <f t="shared" si="80"/>
        <v>0.1</v>
      </c>
      <c r="H488" s="718"/>
      <c r="I488" s="24">
        <f t="shared" si="81"/>
        <v>0.05</v>
      </c>
      <c r="J488" s="718"/>
      <c r="K488" s="24">
        <f t="shared" si="82"/>
        <v>0.2</v>
      </c>
      <c r="L488" s="718"/>
      <c r="M488" s="24">
        <f t="shared" si="83"/>
        <v>1</v>
      </c>
      <c r="N488" s="718"/>
      <c r="O488" s="24">
        <f t="shared" si="84"/>
        <v>1</v>
      </c>
      <c r="P488" s="718"/>
      <c r="Q488" s="24">
        <f t="shared" si="85"/>
        <v>1</v>
      </c>
      <c r="R488" s="714">
        <f t="shared" si="86"/>
        <v>0</v>
      </c>
      <c r="S488" s="361">
        <f t="shared" si="77"/>
        <v>0</v>
      </c>
    </row>
    <row r="489" spans="1:19">
      <c r="A489" s="159"/>
      <c r="B489" s="59"/>
      <c r="C489" s="24">
        <f t="shared" si="78"/>
        <v>1</v>
      </c>
      <c r="D489" s="718"/>
      <c r="E489" s="24">
        <f t="shared" si="79"/>
        <v>0.02</v>
      </c>
      <c r="F489" s="718"/>
      <c r="G489" s="24">
        <f t="shared" si="80"/>
        <v>0.1</v>
      </c>
      <c r="H489" s="718"/>
      <c r="I489" s="24">
        <f t="shared" si="81"/>
        <v>0.05</v>
      </c>
      <c r="J489" s="718"/>
      <c r="K489" s="24">
        <f t="shared" si="82"/>
        <v>0.2</v>
      </c>
      <c r="L489" s="718"/>
      <c r="M489" s="24">
        <f t="shared" si="83"/>
        <v>1</v>
      </c>
      <c r="N489" s="718"/>
      <c r="O489" s="24">
        <f t="shared" si="84"/>
        <v>1</v>
      </c>
      <c r="P489" s="718"/>
      <c r="Q489" s="24">
        <f t="shared" si="85"/>
        <v>1</v>
      </c>
      <c r="R489" s="714">
        <f t="shared" si="86"/>
        <v>0</v>
      </c>
      <c r="S489" s="361">
        <f t="shared" si="77"/>
        <v>0</v>
      </c>
    </row>
    <row r="490" spans="1:19">
      <c r="A490" s="159"/>
      <c r="B490" s="59"/>
      <c r="C490" s="24">
        <f t="shared" si="78"/>
        <v>1</v>
      </c>
      <c r="D490" s="718"/>
      <c r="E490" s="24">
        <f t="shared" si="79"/>
        <v>0.02</v>
      </c>
      <c r="F490" s="718"/>
      <c r="G490" s="24">
        <f t="shared" si="80"/>
        <v>0.1</v>
      </c>
      <c r="H490" s="718"/>
      <c r="I490" s="24">
        <f t="shared" si="81"/>
        <v>0.05</v>
      </c>
      <c r="J490" s="718"/>
      <c r="K490" s="24">
        <f t="shared" si="82"/>
        <v>0.2</v>
      </c>
      <c r="L490" s="718"/>
      <c r="M490" s="24">
        <f t="shared" si="83"/>
        <v>1</v>
      </c>
      <c r="N490" s="718"/>
      <c r="O490" s="24">
        <f t="shared" si="84"/>
        <v>1</v>
      </c>
      <c r="P490" s="718"/>
      <c r="Q490" s="24">
        <f t="shared" si="85"/>
        <v>1</v>
      </c>
      <c r="R490" s="714">
        <f t="shared" si="86"/>
        <v>0</v>
      </c>
      <c r="S490" s="361">
        <f t="shared" si="77"/>
        <v>0</v>
      </c>
    </row>
    <row r="491" spans="1:19">
      <c r="A491" s="159"/>
      <c r="B491" s="59"/>
      <c r="C491" s="24">
        <f t="shared" si="78"/>
        <v>1</v>
      </c>
      <c r="D491" s="718"/>
      <c r="E491" s="24">
        <f t="shared" si="79"/>
        <v>0.02</v>
      </c>
      <c r="F491" s="718"/>
      <c r="G491" s="24">
        <f t="shared" si="80"/>
        <v>0.1</v>
      </c>
      <c r="H491" s="718"/>
      <c r="I491" s="24">
        <f t="shared" si="81"/>
        <v>0.05</v>
      </c>
      <c r="J491" s="718"/>
      <c r="K491" s="24">
        <f t="shared" si="82"/>
        <v>0.2</v>
      </c>
      <c r="L491" s="718"/>
      <c r="M491" s="24">
        <f t="shared" si="83"/>
        <v>1</v>
      </c>
      <c r="N491" s="718"/>
      <c r="O491" s="24">
        <f t="shared" si="84"/>
        <v>1</v>
      </c>
      <c r="P491" s="718"/>
      <c r="Q491" s="24">
        <f t="shared" si="85"/>
        <v>1</v>
      </c>
      <c r="R491" s="714">
        <f t="shared" si="86"/>
        <v>0</v>
      </c>
      <c r="S491" s="361">
        <f t="shared" si="77"/>
        <v>0</v>
      </c>
    </row>
    <row r="492" spans="1:19">
      <c r="A492" s="159"/>
      <c r="B492" s="59"/>
      <c r="C492" s="24">
        <f t="shared" si="78"/>
        <v>1</v>
      </c>
      <c r="D492" s="718"/>
      <c r="E492" s="24">
        <f t="shared" si="79"/>
        <v>0.02</v>
      </c>
      <c r="F492" s="718"/>
      <c r="G492" s="24">
        <f t="shared" si="80"/>
        <v>0.1</v>
      </c>
      <c r="H492" s="718"/>
      <c r="I492" s="24">
        <f t="shared" si="81"/>
        <v>0.05</v>
      </c>
      <c r="J492" s="718"/>
      <c r="K492" s="24">
        <f t="shared" si="82"/>
        <v>0.2</v>
      </c>
      <c r="L492" s="718"/>
      <c r="M492" s="24">
        <f t="shared" si="83"/>
        <v>1</v>
      </c>
      <c r="N492" s="718"/>
      <c r="O492" s="24">
        <f t="shared" si="84"/>
        <v>1</v>
      </c>
      <c r="P492" s="718"/>
      <c r="Q492" s="24">
        <f t="shared" si="85"/>
        <v>1</v>
      </c>
      <c r="R492" s="714">
        <f t="shared" si="86"/>
        <v>0</v>
      </c>
      <c r="S492" s="361">
        <f t="shared" si="77"/>
        <v>0</v>
      </c>
    </row>
    <row r="493" spans="1:19">
      <c r="A493" s="159"/>
      <c r="B493" s="59"/>
      <c r="C493" s="24">
        <f t="shared" si="78"/>
        <v>1</v>
      </c>
      <c r="D493" s="718"/>
      <c r="E493" s="24">
        <f t="shared" si="79"/>
        <v>0.02</v>
      </c>
      <c r="F493" s="718"/>
      <c r="G493" s="24">
        <f t="shared" si="80"/>
        <v>0.1</v>
      </c>
      <c r="H493" s="718"/>
      <c r="I493" s="24">
        <f t="shared" si="81"/>
        <v>0.05</v>
      </c>
      <c r="J493" s="718"/>
      <c r="K493" s="24">
        <f t="shared" si="82"/>
        <v>0.2</v>
      </c>
      <c r="L493" s="718"/>
      <c r="M493" s="24">
        <f t="shared" si="83"/>
        <v>1</v>
      </c>
      <c r="N493" s="718"/>
      <c r="O493" s="24">
        <f t="shared" si="84"/>
        <v>1</v>
      </c>
      <c r="P493" s="718"/>
      <c r="Q493" s="24">
        <f t="shared" si="85"/>
        <v>1</v>
      </c>
      <c r="R493" s="714">
        <f t="shared" si="86"/>
        <v>0</v>
      </c>
      <c r="S493" s="361">
        <f t="shared" si="77"/>
        <v>0</v>
      </c>
    </row>
    <row r="494" spans="1:19">
      <c r="A494" s="159"/>
      <c r="B494" s="59"/>
      <c r="C494" s="24">
        <f t="shared" si="78"/>
        <v>1</v>
      </c>
      <c r="D494" s="718"/>
      <c r="E494" s="24">
        <f t="shared" si="79"/>
        <v>0.02</v>
      </c>
      <c r="F494" s="718"/>
      <c r="G494" s="24">
        <f t="shared" si="80"/>
        <v>0.1</v>
      </c>
      <c r="H494" s="718"/>
      <c r="I494" s="24">
        <f t="shared" si="81"/>
        <v>0.05</v>
      </c>
      <c r="J494" s="718"/>
      <c r="K494" s="24">
        <f t="shared" si="82"/>
        <v>0.2</v>
      </c>
      <c r="L494" s="718"/>
      <c r="M494" s="24">
        <f t="shared" si="83"/>
        <v>1</v>
      </c>
      <c r="N494" s="718"/>
      <c r="O494" s="24">
        <f t="shared" si="84"/>
        <v>1</v>
      </c>
      <c r="P494" s="718"/>
      <c r="Q494" s="24">
        <f t="shared" si="85"/>
        <v>1</v>
      </c>
      <c r="R494" s="714">
        <f t="shared" si="86"/>
        <v>0</v>
      </c>
      <c r="S494" s="361">
        <f t="shared" si="77"/>
        <v>0</v>
      </c>
    </row>
    <row r="495" spans="1:19">
      <c r="A495" s="159"/>
      <c r="B495" s="59"/>
      <c r="C495" s="24">
        <f t="shared" si="78"/>
        <v>1</v>
      </c>
      <c r="D495" s="718"/>
      <c r="E495" s="24">
        <f t="shared" si="79"/>
        <v>0.02</v>
      </c>
      <c r="F495" s="718"/>
      <c r="G495" s="24">
        <f t="shared" si="80"/>
        <v>0.1</v>
      </c>
      <c r="H495" s="718"/>
      <c r="I495" s="24">
        <f t="shared" si="81"/>
        <v>0.05</v>
      </c>
      <c r="J495" s="718"/>
      <c r="K495" s="24">
        <f t="shared" si="82"/>
        <v>0.2</v>
      </c>
      <c r="L495" s="718"/>
      <c r="M495" s="24">
        <f t="shared" si="83"/>
        <v>1</v>
      </c>
      <c r="N495" s="718"/>
      <c r="O495" s="24">
        <f t="shared" si="84"/>
        <v>1</v>
      </c>
      <c r="P495" s="718"/>
      <c r="Q495" s="24">
        <f t="shared" si="85"/>
        <v>1</v>
      </c>
      <c r="R495" s="714">
        <f t="shared" si="86"/>
        <v>0</v>
      </c>
      <c r="S495" s="361">
        <f t="shared" si="77"/>
        <v>0</v>
      </c>
    </row>
    <row r="496" spans="1:19">
      <c r="A496" s="159"/>
      <c r="B496" s="59"/>
      <c r="C496" s="24">
        <f t="shared" si="78"/>
        <v>1</v>
      </c>
      <c r="D496" s="718"/>
      <c r="E496" s="24">
        <f t="shared" si="79"/>
        <v>0.02</v>
      </c>
      <c r="F496" s="718"/>
      <c r="G496" s="24">
        <f t="shared" si="80"/>
        <v>0.1</v>
      </c>
      <c r="H496" s="718"/>
      <c r="I496" s="24">
        <f t="shared" si="81"/>
        <v>0.05</v>
      </c>
      <c r="J496" s="718"/>
      <c r="K496" s="24">
        <f t="shared" si="82"/>
        <v>0.2</v>
      </c>
      <c r="L496" s="718"/>
      <c r="M496" s="24">
        <f t="shared" si="83"/>
        <v>1</v>
      </c>
      <c r="N496" s="718"/>
      <c r="O496" s="24">
        <f t="shared" si="84"/>
        <v>1</v>
      </c>
      <c r="P496" s="718"/>
      <c r="Q496" s="24">
        <f t="shared" si="85"/>
        <v>1</v>
      </c>
      <c r="R496" s="714">
        <f t="shared" si="86"/>
        <v>0</v>
      </c>
      <c r="S496" s="361">
        <f t="shared" si="77"/>
        <v>0</v>
      </c>
    </row>
    <row r="497" spans="1:19">
      <c r="A497" s="159"/>
      <c r="B497" s="59"/>
      <c r="C497" s="24">
        <f t="shared" si="78"/>
        <v>1</v>
      </c>
      <c r="D497" s="718"/>
      <c r="E497" s="24">
        <f t="shared" si="79"/>
        <v>0.02</v>
      </c>
      <c r="F497" s="718"/>
      <c r="G497" s="24">
        <f t="shared" si="80"/>
        <v>0.1</v>
      </c>
      <c r="H497" s="718"/>
      <c r="I497" s="24">
        <f t="shared" si="81"/>
        <v>0.05</v>
      </c>
      <c r="J497" s="718"/>
      <c r="K497" s="24">
        <f t="shared" si="82"/>
        <v>0.2</v>
      </c>
      <c r="L497" s="718"/>
      <c r="M497" s="24">
        <f t="shared" si="83"/>
        <v>1</v>
      </c>
      <c r="N497" s="718"/>
      <c r="O497" s="24">
        <f t="shared" si="84"/>
        <v>1</v>
      </c>
      <c r="P497" s="718"/>
      <c r="Q497" s="24">
        <f t="shared" si="85"/>
        <v>1</v>
      </c>
      <c r="R497" s="714">
        <f t="shared" si="86"/>
        <v>0</v>
      </c>
      <c r="S497" s="361">
        <f t="shared" si="77"/>
        <v>0</v>
      </c>
    </row>
    <row r="498" spans="1:19">
      <c r="A498" s="159"/>
      <c r="B498" s="59"/>
      <c r="C498" s="24">
        <f t="shared" si="78"/>
        <v>1</v>
      </c>
      <c r="D498" s="718"/>
      <c r="E498" s="24">
        <f t="shared" si="79"/>
        <v>0.02</v>
      </c>
      <c r="F498" s="718"/>
      <c r="G498" s="24">
        <f t="shared" si="80"/>
        <v>0.1</v>
      </c>
      <c r="H498" s="718"/>
      <c r="I498" s="24">
        <f t="shared" si="81"/>
        <v>0.05</v>
      </c>
      <c r="J498" s="718"/>
      <c r="K498" s="24">
        <f t="shared" si="82"/>
        <v>0.2</v>
      </c>
      <c r="L498" s="718"/>
      <c r="M498" s="24">
        <f t="shared" si="83"/>
        <v>1</v>
      </c>
      <c r="N498" s="718"/>
      <c r="O498" s="24">
        <f t="shared" si="84"/>
        <v>1</v>
      </c>
      <c r="P498" s="718"/>
      <c r="Q498" s="24">
        <f t="shared" si="85"/>
        <v>1</v>
      </c>
      <c r="R498" s="714">
        <f t="shared" si="86"/>
        <v>0</v>
      </c>
      <c r="S498" s="361">
        <f t="shared" si="77"/>
        <v>0</v>
      </c>
    </row>
    <row r="499" spans="1:19">
      <c r="A499" s="159"/>
      <c r="B499" s="59"/>
      <c r="C499" s="24">
        <f t="shared" si="78"/>
        <v>1</v>
      </c>
      <c r="D499" s="718"/>
      <c r="E499" s="24">
        <f t="shared" si="79"/>
        <v>0.02</v>
      </c>
      <c r="F499" s="718"/>
      <c r="G499" s="24">
        <f t="shared" si="80"/>
        <v>0.1</v>
      </c>
      <c r="H499" s="718"/>
      <c r="I499" s="24">
        <f t="shared" si="81"/>
        <v>0.05</v>
      </c>
      <c r="J499" s="718"/>
      <c r="K499" s="24">
        <f t="shared" si="82"/>
        <v>0.2</v>
      </c>
      <c r="L499" s="718"/>
      <c r="M499" s="24">
        <f t="shared" si="83"/>
        <v>1</v>
      </c>
      <c r="N499" s="718"/>
      <c r="O499" s="24">
        <f t="shared" si="84"/>
        <v>1</v>
      </c>
      <c r="P499" s="718"/>
      <c r="Q499" s="24">
        <f t="shared" si="85"/>
        <v>1</v>
      </c>
      <c r="R499" s="714">
        <f t="shared" si="86"/>
        <v>0</v>
      </c>
      <c r="S499" s="361">
        <f t="shared" si="77"/>
        <v>0</v>
      </c>
    </row>
    <row r="500" spans="1:19">
      <c r="A500" s="159"/>
      <c r="B500" s="59"/>
      <c r="C500" s="24">
        <f t="shared" si="78"/>
        <v>1</v>
      </c>
      <c r="D500" s="718"/>
      <c r="E500" s="24">
        <f t="shared" si="79"/>
        <v>0.02</v>
      </c>
      <c r="F500" s="718"/>
      <c r="G500" s="24">
        <f t="shared" si="80"/>
        <v>0.1</v>
      </c>
      <c r="H500" s="718"/>
      <c r="I500" s="24">
        <f t="shared" si="81"/>
        <v>0.05</v>
      </c>
      <c r="J500" s="718"/>
      <c r="K500" s="24">
        <f t="shared" si="82"/>
        <v>0.2</v>
      </c>
      <c r="L500" s="718"/>
      <c r="M500" s="24">
        <f t="shared" si="83"/>
        <v>1</v>
      </c>
      <c r="N500" s="718"/>
      <c r="O500" s="24">
        <f t="shared" si="84"/>
        <v>1</v>
      </c>
      <c r="P500" s="718"/>
      <c r="Q500" s="24">
        <f t="shared" si="85"/>
        <v>1</v>
      </c>
      <c r="R500" s="714">
        <f t="shared" si="86"/>
        <v>0</v>
      </c>
      <c r="S500" s="361">
        <f t="shared" si="77"/>
        <v>0</v>
      </c>
    </row>
    <row r="501" spans="1:19">
      <c r="A501" s="159"/>
      <c r="B501" s="59"/>
      <c r="C501" s="24">
        <f t="shared" si="78"/>
        <v>1</v>
      </c>
      <c r="D501" s="718"/>
      <c r="E501" s="24">
        <f t="shared" si="79"/>
        <v>0.02</v>
      </c>
      <c r="F501" s="718"/>
      <c r="G501" s="24">
        <f t="shared" si="80"/>
        <v>0.1</v>
      </c>
      <c r="H501" s="718"/>
      <c r="I501" s="24">
        <f t="shared" si="81"/>
        <v>0.05</v>
      </c>
      <c r="J501" s="718"/>
      <c r="K501" s="24">
        <f t="shared" si="82"/>
        <v>0.2</v>
      </c>
      <c r="L501" s="718"/>
      <c r="M501" s="24">
        <f t="shared" si="83"/>
        <v>1</v>
      </c>
      <c r="N501" s="718"/>
      <c r="O501" s="24">
        <f t="shared" si="84"/>
        <v>1</v>
      </c>
      <c r="P501" s="718"/>
      <c r="Q501" s="24">
        <f t="shared" si="85"/>
        <v>1</v>
      </c>
      <c r="R501" s="714">
        <f t="shared" si="86"/>
        <v>0</v>
      </c>
      <c r="S501" s="361">
        <f t="shared" si="77"/>
        <v>0</v>
      </c>
    </row>
    <row r="502" spans="1:19">
      <c r="A502" s="159"/>
      <c r="B502" s="59"/>
      <c r="C502" s="24">
        <f t="shared" si="78"/>
        <v>1</v>
      </c>
      <c r="D502" s="718"/>
      <c r="E502" s="24">
        <f t="shared" si="79"/>
        <v>0.02</v>
      </c>
      <c r="F502" s="718"/>
      <c r="G502" s="24">
        <f t="shared" si="80"/>
        <v>0.1</v>
      </c>
      <c r="H502" s="718"/>
      <c r="I502" s="24">
        <f t="shared" si="81"/>
        <v>0.05</v>
      </c>
      <c r="J502" s="718"/>
      <c r="K502" s="24">
        <f t="shared" si="82"/>
        <v>0.2</v>
      </c>
      <c r="L502" s="718"/>
      <c r="M502" s="24">
        <f t="shared" si="83"/>
        <v>1</v>
      </c>
      <c r="N502" s="718"/>
      <c r="O502" s="24">
        <f t="shared" si="84"/>
        <v>1</v>
      </c>
      <c r="P502" s="718"/>
      <c r="Q502" s="24">
        <f t="shared" si="85"/>
        <v>1</v>
      </c>
      <c r="R502" s="714">
        <f t="shared" si="86"/>
        <v>0</v>
      </c>
      <c r="S502" s="361">
        <f t="shared" si="77"/>
        <v>0</v>
      </c>
    </row>
    <row r="503" spans="1:19">
      <c r="A503" s="159"/>
      <c r="B503" s="59"/>
      <c r="C503" s="24">
        <f t="shared" si="78"/>
        <v>1</v>
      </c>
      <c r="D503" s="718"/>
      <c r="E503" s="24">
        <f t="shared" si="79"/>
        <v>0.02</v>
      </c>
      <c r="F503" s="718"/>
      <c r="G503" s="24">
        <f t="shared" si="80"/>
        <v>0.1</v>
      </c>
      <c r="H503" s="718"/>
      <c r="I503" s="24">
        <f t="shared" si="81"/>
        <v>0.05</v>
      </c>
      <c r="J503" s="718"/>
      <c r="K503" s="24">
        <f t="shared" si="82"/>
        <v>0.2</v>
      </c>
      <c r="L503" s="718"/>
      <c r="M503" s="24">
        <f t="shared" si="83"/>
        <v>1</v>
      </c>
      <c r="N503" s="718"/>
      <c r="O503" s="24">
        <f t="shared" si="84"/>
        <v>1</v>
      </c>
      <c r="P503" s="718"/>
      <c r="Q503" s="24">
        <f t="shared" si="85"/>
        <v>1</v>
      </c>
      <c r="R503" s="714">
        <f t="shared" si="86"/>
        <v>0</v>
      </c>
      <c r="S503" s="361">
        <f t="shared" si="77"/>
        <v>0</v>
      </c>
    </row>
    <row r="504" spans="1:19">
      <c r="A504" s="159"/>
      <c r="B504" s="59"/>
      <c r="C504" s="24">
        <f t="shared" si="78"/>
        <v>1</v>
      </c>
      <c r="D504" s="718"/>
      <c r="E504" s="24">
        <f t="shared" si="79"/>
        <v>0.02</v>
      </c>
      <c r="F504" s="718"/>
      <c r="G504" s="24">
        <f t="shared" si="80"/>
        <v>0.1</v>
      </c>
      <c r="H504" s="718"/>
      <c r="I504" s="24">
        <f t="shared" si="81"/>
        <v>0.05</v>
      </c>
      <c r="J504" s="718"/>
      <c r="K504" s="24">
        <f t="shared" si="82"/>
        <v>0.2</v>
      </c>
      <c r="L504" s="718"/>
      <c r="M504" s="24">
        <f t="shared" si="83"/>
        <v>1</v>
      </c>
      <c r="N504" s="718"/>
      <c r="O504" s="24">
        <f t="shared" si="84"/>
        <v>1</v>
      </c>
      <c r="P504" s="718"/>
      <c r="Q504" s="24">
        <f t="shared" si="85"/>
        <v>1</v>
      </c>
      <c r="R504" s="714">
        <f t="shared" si="86"/>
        <v>0</v>
      </c>
      <c r="S504" s="361">
        <f t="shared" si="77"/>
        <v>0</v>
      </c>
    </row>
    <row r="505" spans="1:19">
      <c r="A505" s="159"/>
      <c r="B505" s="59"/>
      <c r="C505" s="24">
        <f t="shared" si="78"/>
        <v>1</v>
      </c>
      <c r="D505" s="718"/>
      <c r="E505" s="24">
        <f t="shared" si="79"/>
        <v>0.02</v>
      </c>
      <c r="F505" s="718"/>
      <c r="G505" s="24">
        <f t="shared" si="80"/>
        <v>0.1</v>
      </c>
      <c r="H505" s="718"/>
      <c r="I505" s="24">
        <f t="shared" si="81"/>
        <v>0.05</v>
      </c>
      <c r="J505" s="718"/>
      <c r="K505" s="24">
        <f t="shared" si="82"/>
        <v>0.2</v>
      </c>
      <c r="L505" s="718"/>
      <c r="M505" s="24">
        <f t="shared" si="83"/>
        <v>1</v>
      </c>
      <c r="N505" s="718"/>
      <c r="O505" s="24">
        <f t="shared" si="84"/>
        <v>1</v>
      </c>
      <c r="P505" s="718"/>
      <c r="Q505" s="24">
        <f t="shared" si="85"/>
        <v>1</v>
      </c>
      <c r="R505" s="714">
        <f t="shared" si="86"/>
        <v>0</v>
      </c>
      <c r="S505" s="361">
        <f t="shared" si="77"/>
        <v>0</v>
      </c>
    </row>
    <row r="506" spans="1:19">
      <c r="A506" s="159"/>
      <c r="B506" s="59"/>
      <c r="C506" s="24">
        <f t="shared" si="78"/>
        <v>1</v>
      </c>
      <c r="D506" s="718"/>
      <c r="E506" s="24">
        <f t="shared" si="79"/>
        <v>0.02</v>
      </c>
      <c r="F506" s="718"/>
      <c r="G506" s="24">
        <f t="shared" si="80"/>
        <v>0.1</v>
      </c>
      <c r="H506" s="718"/>
      <c r="I506" s="24">
        <f t="shared" si="81"/>
        <v>0.05</v>
      </c>
      <c r="J506" s="718"/>
      <c r="K506" s="24">
        <f t="shared" si="82"/>
        <v>0.2</v>
      </c>
      <c r="L506" s="718"/>
      <c r="M506" s="24">
        <f t="shared" si="83"/>
        <v>1</v>
      </c>
      <c r="N506" s="718"/>
      <c r="O506" s="24">
        <f t="shared" si="84"/>
        <v>1</v>
      </c>
      <c r="P506" s="718"/>
      <c r="Q506" s="24">
        <f t="shared" si="85"/>
        <v>1</v>
      </c>
      <c r="R506" s="714">
        <f t="shared" si="86"/>
        <v>0</v>
      </c>
      <c r="S506" s="361">
        <f t="shared" si="77"/>
        <v>0</v>
      </c>
    </row>
    <row r="507" spans="1:19">
      <c r="A507" s="159"/>
      <c r="B507" s="59"/>
      <c r="C507" s="24">
        <f t="shared" si="78"/>
        <v>1</v>
      </c>
      <c r="D507" s="718"/>
      <c r="E507" s="24">
        <f t="shared" si="79"/>
        <v>0.02</v>
      </c>
      <c r="F507" s="718"/>
      <c r="G507" s="24">
        <f t="shared" si="80"/>
        <v>0.1</v>
      </c>
      <c r="H507" s="718"/>
      <c r="I507" s="24">
        <f t="shared" si="81"/>
        <v>0.05</v>
      </c>
      <c r="J507" s="718"/>
      <c r="K507" s="24">
        <f t="shared" si="82"/>
        <v>0.2</v>
      </c>
      <c r="L507" s="718"/>
      <c r="M507" s="24">
        <f t="shared" si="83"/>
        <v>1</v>
      </c>
      <c r="N507" s="718"/>
      <c r="O507" s="24">
        <f t="shared" si="84"/>
        <v>1</v>
      </c>
      <c r="P507" s="718"/>
      <c r="Q507" s="24">
        <f t="shared" si="85"/>
        <v>1</v>
      </c>
      <c r="R507" s="714">
        <f t="shared" si="86"/>
        <v>0</v>
      </c>
      <c r="S507" s="361">
        <f t="shared" si="77"/>
        <v>0</v>
      </c>
    </row>
    <row r="508" spans="1:19">
      <c r="A508" s="159"/>
      <c r="B508" s="59"/>
      <c r="C508" s="24">
        <f t="shared" si="78"/>
        <v>1</v>
      </c>
      <c r="D508" s="718"/>
      <c r="E508" s="24">
        <f t="shared" si="79"/>
        <v>0.02</v>
      </c>
      <c r="F508" s="718"/>
      <c r="G508" s="24">
        <f t="shared" si="80"/>
        <v>0.1</v>
      </c>
      <c r="H508" s="718"/>
      <c r="I508" s="24">
        <f t="shared" si="81"/>
        <v>0.05</v>
      </c>
      <c r="J508" s="718"/>
      <c r="K508" s="24">
        <f t="shared" si="82"/>
        <v>0.2</v>
      </c>
      <c r="L508" s="718"/>
      <c r="M508" s="24">
        <f t="shared" si="83"/>
        <v>1</v>
      </c>
      <c r="N508" s="718"/>
      <c r="O508" s="24">
        <f t="shared" si="84"/>
        <v>1</v>
      </c>
      <c r="P508" s="718"/>
      <c r="Q508" s="24">
        <f t="shared" si="85"/>
        <v>1</v>
      </c>
      <c r="R508" s="714">
        <f t="shared" si="86"/>
        <v>0</v>
      </c>
      <c r="S508" s="361">
        <f t="shared" si="77"/>
        <v>0</v>
      </c>
    </row>
    <row r="509" spans="1:19">
      <c r="A509" s="159"/>
      <c r="B509" s="59"/>
      <c r="C509" s="24">
        <f t="shared" si="78"/>
        <v>1</v>
      </c>
      <c r="D509" s="718"/>
      <c r="E509" s="24">
        <f t="shared" si="79"/>
        <v>0.02</v>
      </c>
      <c r="F509" s="718"/>
      <c r="G509" s="24">
        <f t="shared" si="80"/>
        <v>0.1</v>
      </c>
      <c r="H509" s="718"/>
      <c r="I509" s="24">
        <f t="shared" si="81"/>
        <v>0.05</v>
      </c>
      <c r="J509" s="718"/>
      <c r="K509" s="24">
        <f t="shared" si="82"/>
        <v>0.2</v>
      </c>
      <c r="L509" s="718"/>
      <c r="M509" s="24">
        <f t="shared" si="83"/>
        <v>1</v>
      </c>
      <c r="N509" s="718"/>
      <c r="O509" s="24">
        <f t="shared" si="84"/>
        <v>1</v>
      </c>
      <c r="P509" s="718"/>
      <c r="Q509" s="24">
        <f t="shared" si="85"/>
        <v>1</v>
      </c>
      <c r="R509" s="714">
        <f t="shared" si="86"/>
        <v>0</v>
      </c>
      <c r="S509" s="361">
        <f t="shared" si="77"/>
        <v>0</v>
      </c>
    </row>
    <row r="510" spans="1:19">
      <c r="A510" s="159"/>
      <c r="B510" s="59"/>
      <c r="C510" s="24">
        <f t="shared" si="78"/>
        <v>1</v>
      </c>
      <c r="D510" s="718"/>
      <c r="E510" s="24">
        <f t="shared" si="79"/>
        <v>0.02</v>
      </c>
      <c r="F510" s="718"/>
      <c r="G510" s="24">
        <f t="shared" si="80"/>
        <v>0.1</v>
      </c>
      <c r="H510" s="718"/>
      <c r="I510" s="24">
        <f t="shared" si="81"/>
        <v>0.05</v>
      </c>
      <c r="J510" s="718"/>
      <c r="K510" s="24">
        <f t="shared" si="82"/>
        <v>0.2</v>
      </c>
      <c r="L510" s="718"/>
      <c r="M510" s="24">
        <f t="shared" si="83"/>
        <v>1</v>
      </c>
      <c r="N510" s="718"/>
      <c r="O510" s="24">
        <f t="shared" si="84"/>
        <v>1</v>
      </c>
      <c r="P510" s="718"/>
      <c r="Q510" s="24">
        <f t="shared" si="85"/>
        <v>1</v>
      </c>
      <c r="R510" s="714">
        <f t="shared" si="86"/>
        <v>0</v>
      </c>
      <c r="S510" s="361">
        <f t="shared" si="77"/>
        <v>0</v>
      </c>
    </row>
    <row r="511" spans="1:19">
      <c r="A511" s="159"/>
      <c r="B511" s="59"/>
      <c r="C511" s="24">
        <f t="shared" si="78"/>
        <v>1</v>
      </c>
      <c r="D511" s="718"/>
      <c r="E511" s="24">
        <f t="shared" si="79"/>
        <v>0.02</v>
      </c>
      <c r="F511" s="718"/>
      <c r="G511" s="24">
        <f t="shared" si="80"/>
        <v>0.1</v>
      </c>
      <c r="H511" s="718"/>
      <c r="I511" s="24">
        <f t="shared" si="81"/>
        <v>0.05</v>
      </c>
      <c r="J511" s="718"/>
      <c r="K511" s="24">
        <f t="shared" si="82"/>
        <v>0.2</v>
      </c>
      <c r="L511" s="718"/>
      <c r="M511" s="24">
        <f t="shared" si="83"/>
        <v>1</v>
      </c>
      <c r="N511" s="718"/>
      <c r="O511" s="24">
        <f t="shared" si="84"/>
        <v>1</v>
      </c>
      <c r="P511" s="718"/>
      <c r="Q511" s="24">
        <f t="shared" si="85"/>
        <v>1</v>
      </c>
      <c r="R511" s="714">
        <f t="shared" si="86"/>
        <v>0</v>
      </c>
      <c r="S511" s="361">
        <f t="shared" si="77"/>
        <v>0</v>
      </c>
    </row>
    <row r="512" spans="1:19">
      <c r="A512" s="159"/>
      <c r="B512" s="59"/>
      <c r="C512" s="24">
        <f t="shared" si="78"/>
        <v>1</v>
      </c>
      <c r="D512" s="718"/>
      <c r="E512" s="24">
        <f t="shared" si="79"/>
        <v>0.02</v>
      </c>
      <c r="F512" s="718"/>
      <c r="G512" s="24">
        <f t="shared" si="80"/>
        <v>0.1</v>
      </c>
      <c r="H512" s="718"/>
      <c r="I512" s="24">
        <f t="shared" si="81"/>
        <v>0.05</v>
      </c>
      <c r="J512" s="718"/>
      <c r="K512" s="24">
        <f t="shared" si="82"/>
        <v>0.2</v>
      </c>
      <c r="L512" s="718"/>
      <c r="M512" s="24">
        <f t="shared" si="83"/>
        <v>1</v>
      </c>
      <c r="N512" s="718"/>
      <c r="O512" s="24">
        <f t="shared" si="84"/>
        <v>1</v>
      </c>
      <c r="P512" s="718"/>
      <c r="Q512" s="24">
        <f t="shared" si="85"/>
        <v>1</v>
      </c>
      <c r="R512" s="714">
        <f t="shared" si="86"/>
        <v>0</v>
      </c>
      <c r="S512" s="361">
        <f t="shared" si="77"/>
        <v>0</v>
      </c>
    </row>
    <row r="513" spans="1:19">
      <c r="A513" s="159"/>
      <c r="B513" s="59"/>
      <c r="C513" s="24">
        <f t="shared" si="78"/>
        <v>1</v>
      </c>
      <c r="D513" s="718"/>
      <c r="E513" s="24">
        <f t="shared" si="79"/>
        <v>0.02</v>
      </c>
      <c r="F513" s="718"/>
      <c r="G513" s="24">
        <f t="shared" si="80"/>
        <v>0.1</v>
      </c>
      <c r="H513" s="718"/>
      <c r="I513" s="24">
        <f t="shared" si="81"/>
        <v>0.05</v>
      </c>
      <c r="J513" s="718"/>
      <c r="K513" s="24">
        <f t="shared" si="82"/>
        <v>0.2</v>
      </c>
      <c r="L513" s="718"/>
      <c r="M513" s="24">
        <f t="shared" si="83"/>
        <v>1</v>
      </c>
      <c r="N513" s="718"/>
      <c r="O513" s="24">
        <f t="shared" si="84"/>
        <v>1</v>
      </c>
      <c r="P513" s="718"/>
      <c r="Q513" s="24">
        <f t="shared" si="85"/>
        <v>1</v>
      </c>
      <c r="R513" s="714">
        <f t="shared" si="86"/>
        <v>0</v>
      </c>
      <c r="S513" s="361">
        <f t="shared" si="77"/>
        <v>0</v>
      </c>
    </row>
    <row r="514" spans="1:19">
      <c r="A514" s="159"/>
      <c r="B514" s="59"/>
      <c r="C514" s="24">
        <f t="shared" si="78"/>
        <v>1</v>
      </c>
      <c r="D514" s="718"/>
      <c r="E514" s="24">
        <f t="shared" si="79"/>
        <v>0.02</v>
      </c>
      <c r="F514" s="718"/>
      <c r="G514" s="24">
        <f t="shared" si="80"/>
        <v>0.1</v>
      </c>
      <c r="H514" s="718"/>
      <c r="I514" s="24">
        <f t="shared" si="81"/>
        <v>0.05</v>
      </c>
      <c r="J514" s="718"/>
      <c r="K514" s="24">
        <f t="shared" si="82"/>
        <v>0.2</v>
      </c>
      <c r="L514" s="718"/>
      <c r="M514" s="24">
        <f t="shared" si="83"/>
        <v>1</v>
      </c>
      <c r="N514" s="718"/>
      <c r="O514" s="24">
        <f t="shared" si="84"/>
        <v>1</v>
      </c>
      <c r="P514" s="718"/>
      <c r="Q514" s="24">
        <f t="shared" si="85"/>
        <v>1</v>
      </c>
      <c r="R514" s="714">
        <f t="shared" si="86"/>
        <v>0</v>
      </c>
      <c r="S514" s="361">
        <f t="shared" si="77"/>
        <v>0</v>
      </c>
    </row>
    <row r="515" spans="1:19">
      <c r="A515" s="159"/>
      <c r="B515" s="59"/>
      <c r="C515" s="24">
        <f t="shared" si="78"/>
        <v>1</v>
      </c>
      <c r="D515" s="718"/>
      <c r="E515" s="24">
        <f t="shared" si="79"/>
        <v>0.02</v>
      </c>
      <c r="F515" s="718"/>
      <c r="G515" s="24">
        <f t="shared" si="80"/>
        <v>0.1</v>
      </c>
      <c r="H515" s="718"/>
      <c r="I515" s="24">
        <f t="shared" si="81"/>
        <v>0.05</v>
      </c>
      <c r="J515" s="718"/>
      <c r="K515" s="24">
        <f t="shared" si="82"/>
        <v>0.2</v>
      </c>
      <c r="L515" s="718"/>
      <c r="M515" s="24">
        <f t="shared" si="83"/>
        <v>1</v>
      </c>
      <c r="N515" s="718"/>
      <c r="O515" s="24">
        <f t="shared" si="84"/>
        <v>1</v>
      </c>
      <c r="P515" s="718"/>
      <c r="Q515" s="24">
        <f t="shared" si="85"/>
        <v>1</v>
      </c>
      <c r="R515" s="714">
        <f t="shared" si="86"/>
        <v>0</v>
      </c>
      <c r="S515" s="361">
        <f t="shared" si="77"/>
        <v>0</v>
      </c>
    </row>
    <row r="516" spans="1:19">
      <c r="A516" s="159"/>
      <c r="B516" s="59"/>
      <c r="C516" s="24">
        <f t="shared" si="78"/>
        <v>1</v>
      </c>
      <c r="D516" s="718"/>
      <c r="E516" s="24">
        <f t="shared" si="79"/>
        <v>0.02</v>
      </c>
      <c r="F516" s="718"/>
      <c r="G516" s="24">
        <f t="shared" si="80"/>
        <v>0.1</v>
      </c>
      <c r="H516" s="718"/>
      <c r="I516" s="24">
        <f t="shared" si="81"/>
        <v>0.05</v>
      </c>
      <c r="J516" s="718"/>
      <c r="K516" s="24">
        <f t="shared" si="82"/>
        <v>0.2</v>
      </c>
      <c r="L516" s="718"/>
      <c r="M516" s="24">
        <f t="shared" si="83"/>
        <v>1</v>
      </c>
      <c r="N516" s="718"/>
      <c r="O516" s="24">
        <f t="shared" si="84"/>
        <v>1</v>
      </c>
      <c r="P516" s="718"/>
      <c r="Q516" s="24">
        <f t="shared" si="85"/>
        <v>1</v>
      </c>
      <c r="R516" s="714">
        <f t="shared" si="86"/>
        <v>0</v>
      </c>
      <c r="S516" s="361">
        <f t="shared" si="77"/>
        <v>0</v>
      </c>
    </row>
    <row r="517" spans="1:19">
      <c r="A517" s="159"/>
      <c r="B517" s="59"/>
      <c r="C517" s="24">
        <f t="shared" si="78"/>
        <v>1</v>
      </c>
      <c r="D517" s="718"/>
      <c r="E517" s="24">
        <f t="shared" si="79"/>
        <v>0.02</v>
      </c>
      <c r="F517" s="718"/>
      <c r="G517" s="24">
        <f t="shared" si="80"/>
        <v>0.1</v>
      </c>
      <c r="H517" s="718"/>
      <c r="I517" s="24">
        <f t="shared" si="81"/>
        <v>0.05</v>
      </c>
      <c r="J517" s="718"/>
      <c r="K517" s="24">
        <f t="shared" si="82"/>
        <v>0.2</v>
      </c>
      <c r="L517" s="718"/>
      <c r="M517" s="24">
        <f t="shared" si="83"/>
        <v>1</v>
      </c>
      <c r="N517" s="718"/>
      <c r="O517" s="24">
        <f t="shared" si="84"/>
        <v>1</v>
      </c>
      <c r="P517" s="718"/>
      <c r="Q517" s="24">
        <f t="shared" si="85"/>
        <v>1</v>
      </c>
      <c r="R517" s="714">
        <f t="shared" si="86"/>
        <v>0</v>
      </c>
      <c r="S517" s="361">
        <f t="shared" si="77"/>
        <v>0</v>
      </c>
    </row>
    <row r="518" spans="1:19">
      <c r="A518" s="159"/>
      <c r="B518" s="59"/>
      <c r="C518" s="24">
        <f t="shared" si="78"/>
        <v>1</v>
      </c>
      <c r="D518" s="718"/>
      <c r="E518" s="24">
        <f t="shared" si="79"/>
        <v>0.02</v>
      </c>
      <c r="F518" s="718"/>
      <c r="G518" s="24">
        <f t="shared" si="80"/>
        <v>0.1</v>
      </c>
      <c r="H518" s="718"/>
      <c r="I518" s="24">
        <f t="shared" si="81"/>
        <v>0.05</v>
      </c>
      <c r="J518" s="718"/>
      <c r="K518" s="24">
        <f t="shared" si="82"/>
        <v>0.2</v>
      </c>
      <c r="L518" s="718"/>
      <c r="M518" s="24">
        <f t="shared" si="83"/>
        <v>1</v>
      </c>
      <c r="N518" s="718"/>
      <c r="O518" s="24">
        <f t="shared" si="84"/>
        <v>1</v>
      </c>
      <c r="P518" s="718"/>
      <c r="Q518" s="24">
        <f t="shared" si="85"/>
        <v>1</v>
      </c>
      <c r="R518" s="714">
        <f t="shared" si="86"/>
        <v>0</v>
      </c>
      <c r="S518" s="361">
        <f t="shared" si="77"/>
        <v>0</v>
      </c>
    </row>
    <row r="519" spans="1:19">
      <c r="A519" s="159"/>
      <c r="B519" s="59"/>
      <c r="C519" s="24">
        <f t="shared" si="78"/>
        <v>1</v>
      </c>
      <c r="D519" s="718"/>
      <c r="E519" s="24">
        <f t="shared" si="79"/>
        <v>0.02</v>
      </c>
      <c r="F519" s="718"/>
      <c r="G519" s="24">
        <f t="shared" si="80"/>
        <v>0.1</v>
      </c>
      <c r="H519" s="718"/>
      <c r="I519" s="24">
        <f t="shared" si="81"/>
        <v>0.05</v>
      </c>
      <c r="J519" s="718"/>
      <c r="K519" s="24">
        <f t="shared" si="82"/>
        <v>0.2</v>
      </c>
      <c r="L519" s="718"/>
      <c r="M519" s="24">
        <f t="shared" si="83"/>
        <v>1</v>
      </c>
      <c r="N519" s="718"/>
      <c r="O519" s="24">
        <f t="shared" si="84"/>
        <v>1</v>
      </c>
      <c r="P519" s="718"/>
      <c r="Q519" s="24">
        <f t="shared" si="85"/>
        <v>1</v>
      </c>
      <c r="R519" s="714">
        <f t="shared" si="86"/>
        <v>0</v>
      </c>
      <c r="S519" s="361">
        <f t="shared" si="77"/>
        <v>0</v>
      </c>
    </row>
    <row r="520" spans="1:19">
      <c r="A520" s="159"/>
      <c r="B520" s="59"/>
      <c r="C520" s="24">
        <f t="shared" si="78"/>
        <v>1</v>
      </c>
      <c r="D520" s="718"/>
      <c r="E520" s="24">
        <f t="shared" si="79"/>
        <v>0.02</v>
      </c>
      <c r="F520" s="718"/>
      <c r="G520" s="24">
        <f t="shared" si="80"/>
        <v>0.1</v>
      </c>
      <c r="H520" s="718"/>
      <c r="I520" s="24">
        <f t="shared" si="81"/>
        <v>0.05</v>
      </c>
      <c r="J520" s="718"/>
      <c r="K520" s="24">
        <f t="shared" si="82"/>
        <v>0.2</v>
      </c>
      <c r="L520" s="718"/>
      <c r="M520" s="24">
        <f t="shared" si="83"/>
        <v>1</v>
      </c>
      <c r="N520" s="718"/>
      <c r="O520" s="24">
        <f t="shared" si="84"/>
        <v>1</v>
      </c>
      <c r="P520" s="718"/>
      <c r="Q520" s="24">
        <f t="shared" si="85"/>
        <v>1</v>
      </c>
      <c r="R520" s="714">
        <f t="shared" si="86"/>
        <v>0</v>
      </c>
      <c r="S520" s="361">
        <f t="shared" si="77"/>
        <v>0</v>
      </c>
    </row>
    <row r="521" spans="1:19">
      <c r="A521" s="159"/>
      <c r="B521" s="59"/>
      <c r="C521" s="24">
        <f t="shared" si="78"/>
        <v>1</v>
      </c>
      <c r="D521" s="718"/>
      <c r="E521" s="24">
        <f t="shared" si="79"/>
        <v>0.02</v>
      </c>
      <c r="F521" s="718"/>
      <c r="G521" s="24">
        <f t="shared" si="80"/>
        <v>0.1</v>
      </c>
      <c r="H521" s="718"/>
      <c r="I521" s="24">
        <f t="shared" si="81"/>
        <v>0.05</v>
      </c>
      <c r="J521" s="718"/>
      <c r="K521" s="24">
        <f t="shared" si="82"/>
        <v>0.2</v>
      </c>
      <c r="L521" s="718"/>
      <c r="M521" s="24">
        <f t="shared" si="83"/>
        <v>1</v>
      </c>
      <c r="N521" s="718"/>
      <c r="O521" s="24">
        <f t="shared" si="84"/>
        <v>1</v>
      </c>
      <c r="P521" s="718"/>
      <c r="Q521" s="24">
        <f t="shared" si="85"/>
        <v>1</v>
      </c>
      <c r="R521" s="714">
        <f t="shared" si="86"/>
        <v>0</v>
      </c>
      <c r="S521" s="361">
        <f t="shared" si="77"/>
        <v>0</v>
      </c>
    </row>
    <row r="522" spans="1:19">
      <c r="A522" s="159"/>
      <c r="B522" s="59"/>
      <c r="C522" s="24">
        <f t="shared" si="78"/>
        <v>1</v>
      </c>
      <c r="D522" s="718"/>
      <c r="E522" s="24">
        <f t="shared" si="79"/>
        <v>0.02</v>
      </c>
      <c r="F522" s="718"/>
      <c r="G522" s="24">
        <f t="shared" si="80"/>
        <v>0.1</v>
      </c>
      <c r="H522" s="718"/>
      <c r="I522" s="24">
        <f t="shared" si="81"/>
        <v>0.05</v>
      </c>
      <c r="J522" s="718"/>
      <c r="K522" s="24">
        <f t="shared" si="82"/>
        <v>0.2</v>
      </c>
      <c r="L522" s="718"/>
      <c r="M522" s="24">
        <f t="shared" si="83"/>
        <v>1</v>
      </c>
      <c r="N522" s="718"/>
      <c r="O522" s="24">
        <f t="shared" si="84"/>
        <v>1</v>
      </c>
      <c r="P522" s="718"/>
      <c r="Q522" s="24">
        <f t="shared" si="85"/>
        <v>1</v>
      </c>
      <c r="R522" s="714">
        <f t="shared" si="86"/>
        <v>0</v>
      </c>
      <c r="S522" s="361">
        <f t="shared" si="77"/>
        <v>0</v>
      </c>
    </row>
    <row r="523" spans="1:19">
      <c r="A523" s="159"/>
      <c r="B523" s="59"/>
      <c r="C523" s="24">
        <f t="shared" si="78"/>
        <v>1</v>
      </c>
      <c r="D523" s="718"/>
      <c r="E523" s="24">
        <f t="shared" si="79"/>
        <v>0.02</v>
      </c>
      <c r="F523" s="718"/>
      <c r="G523" s="24">
        <f t="shared" si="80"/>
        <v>0.1</v>
      </c>
      <c r="H523" s="718"/>
      <c r="I523" s="24">
        <f t="shared" si="81"/>
        <v>0.05</v>
      </c>
      <c r="J523" s="718"/>
      <c r="K523" s="24">
        <f t="shared" si="82"/>
        <v>0.2</v>
      </c>
      <c r="L523" s="718"/>
      <c r="M523" s="24">
        <f t="shared" si="83"/>
        <v>1</v>
      </c>
      <c r="N523" s="718"/>
      <c r="O523" s="24">
        <f t="shared" si="84"/>
        <v>1</v>
      </c>
      <c r="P523" s="718"/>
      <c r="Q523" s="24">
        <f t="shared" si="85"/>
        <v>1</v>
      </c>
      <c r="R523" s="714">
        <f t="shared" si="86"/>
        <v>0</v>
      </c>
      <c r="S523" s="361">
        <f t="shared" si="77"/>
        <v>0</v>
      </c>
    </row>
    <row r="524" spans="1:19">
      <c r="A524" s="159"/>
      <c r="B524" s="59"/>
      <c r="C524" s="24">
        <f t="shared" si="78"/>
        <v>1</v>
      </c>
      <c r="D524" s="718"/>
      <c r="E524" s="24">
        <f t="shared" si="79"/>
        <v>0.02</v>
      </c>
      <c r="F524" s="718"/>
      <c r="G524" s="24">
        <f t="shared" si="80"/>
        <v>0.1</v>
      </c>
      <c r="H524" s="718"/>
      <c r="I524" s="24">
        <f t="shared" si="81"/>
        <v>0.05</v>
      </c>
      <c r="J524" s="718"/>
      <c r="K524" s="24">
        <f t="shared" si="82"/>
        <v>0.2</v>
      </c>
      <c r="L524" s="718"/>
      <c r="M524" s="24">
        <f t="shared" si="83"/>
        <v>1</v>
      </c>
      <c r="N524" s="718"/>
      <c r="O524" s="24">
        <f t="shared" si="84"/>
        <v>1</v>
      </c>
      <c r="P524" s="718"/>
      <c r="Q524" s="24">
        <f t="shared" si="85"/>
        <v>1</v>
      </c>
      <c r="R524" s="714">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G29" sqref="G28:G29"/>
    </sheetView>
  </sheetViews>
  <sheetFormatPr defaultRowHeight="13.5"/>
  <cols>
    <col min="6" max="6" width="18.5" customWidth="1"/>
    <col min="7" max="7" width="19" customWidth="1"/>
  </cols>
  <sheetData>
    <row r="1" spans="1:8">
      <c r="A1" s="2985" t="s">
        <v>3175</v>
      </c>
      <c r="B1" s="2985" t="s">
        <v>3176</v>
      </c>
      <c r="C1" s="2985" t="s">
        <v>3177</v>
      </c>
      <c r="D1" s="2986" t="s">
        <v>3178</v>
      </c>
      <c r="E1" s="2985" t="s">
        <v>3179</v>
      </c>
      <c r="F1" s="2985" t="s">
        <v>3180</v>
      </c>
      <c r="G1" s="2985" t="s">
        <v>3181</v>
      </c>
      <c r="H1" s="2985" t="s">
        <v>3182</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P20" sqref="P20"/>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42" sqref="A42"/>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19" t="s">
        <v>1658</v>
      </c>
      <c r="B1" s="3119"/>
      <c r="C1" s="3119"/>
      <c r="D1" s="3119"/>
    </row>
    <row r="2" spans="1:4" ht="18">
      <c r="A2" s="3120" t="s">
        <v>1642</v>
      </c>
      <c r="B2" s="3120"/>
      <c r="C2" s="3120"/>
      <c r="D2" s="3120"/>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120" t="s">
        <v>1648</v>
      </c>
      <c r="B6" s="3120"/>
      <c r="C6" s="3120"/>
      <c r="D6" s="3120"/>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121" t="s">
        <v>1651</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2" t="str">
        <f>IF(项目基本情况!B8="抵押","4.本次评估估价师所知悉的法定优先受偿款情况说明如下：","——")</f>
        <v>4.本次评估估价师所知悉的法定优先受偿款情况说明如下：</v>
      </c>
      <c r="B14" s="3123"/>
      <c r="C14" s="3123"/>
      <c r="D14" s="3123"/>
    </row>
    <row r="15" spans="1:4" ht="42" customHeight="1">
      <c r="A15" s="312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122"/>
      <c r="C15" s="3122"/>
      <c r="D15" s="3122"/>
    </row>
    <row r="16" spans="1:4" ht="30" customHeight="1">
      <c r="A16" s="3125" t="s">
        <v>1652</v>
      </c>
      <c r="B16" s="3125"/>
      <c r="C16" s="3125"/>
      <c r="D16" s="3125"/>
    </row>
    <row r="17" spans="1:4" ht="144" customHeight="1">
      <c r="A17" s="3125" t="s">
        <v>1653</v>
      </c>
      <c r="B17" s="3125"/>
      <c r="C17" s="3125"/>
      <c r="D17" s="3125"/>
    </row>
    <row r="18" spans="1:4" ht="15.75" customHeight="1">
      <c r="A18" s="3122" t="str">
        <f>IF(项目基本情况!B8="抵押",'结果表（典型户型价值）'!K120,"——")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典型户型价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6" t="str">
        <f>IF('结果表（典型户型价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1654</v>
      </c>
      <c r="B22" s="3127"/>
      <c r="C22" s="3127"/>
      <c r="D22" s="312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33" t="s">
        <v>1665</v>
      </c>
      <c r="B15" s="3128" t="s">
        <v>136</v>
      </c>
      <c r="C15" s="3129"/>
    </row>
    <row r="16" spans="1:7" ht="13.5">
      <c r="A16" s="3134"/>
      <c r="B16" s="3128" t="s">
        <v>69</v>
      </c>
      <c r="C16" s="3129"/>
    </row>
    <row r="17" spans="1:3" ht="13.5">
      <c r="A17" s="3134"/>
      <c r="B17" s="3131" t="s">
        <v>1666</v>
      </c>
      <c r="C17" s="1998" t="s">
        <v>1665</v>
      </c>
    </row>
    <row r="18" spans="1:3" ht="13.5">
      <c r="A18" s="3134"/>
      <c r="B18" s="3131"/>
      <c r="C18" s="1998" t="s">
        <v>1667</v>
      </c>
    </row>
    <row r="19" spans="1:3" ht="13.5">
      <c r="A19" s="3134"/>
      <c r="B19" s="3131"/>
      <c r="C19" s="1998" t="s">
        <v>1668</v>
      </c>
    </row>
    <row r="20" spans="1:3" ht="13.5">
      <c r="A20" s="3135"/>
      <c r="B20" s="3130" t="s">
        <v>1669</v>
      </c>
      <c r="C20" s="3129"/>
    </row>
    <row r="21" spans="1:3" ht="13.5">
      <c r="A21" s="1999" t="s">
        <v>1670</v>
      </c>
      <c r="B21" s="2000"/>
      <c r="C21" s="2001"/>
    </row>
    <row r="22" spans="1:3" ht="13.5">
      <c r="A22" s="3132" t="s">
        <v>1671</v>
      </c>
      <c r="B22" s="3130" t="s">
        <v>1672</v>
      </c>
      <c r="C22" s="3129"/>
    </row>
    <row r="23" spans="1:3" ht="13.5">
      <c r="A23" s="3132"/>
      <c r="B23" s="3130" t="s">
        <v>1673</v>
      </c>
      <c r="C23" s="3129"/>
    </row>
    <row r="24" spans="1:3" ht="13.5">
      <c r="A24" s="3132"/>
      <c r="B24" s="3130" t="s">
        <v>1674</v>
      </c>
      <c r="C24" s="3129"/>
    </row>
    <row r="25" spans="1:3" ht="13.5">
      <c r="A25" s="3132"/>
      <c r="B25" s="3131" t="s">
        <v>1675</v>
      </c>
      <c r="C25" s="1998" t="s">
        <v>1676</v>
      </c>
    </row>
    <row r="26" spans="1:3" ht="13.5">
      <c r="A26" s="3132"/>
      <c r="B26" s="3131"/>
      <c r="C26" s="1998" t="s">
        <v>1677</v>
      </c>
    </row>
    <row r="27" spans="1:3" ht="13.5">
      <c r="A27" s="3132"/>
      <c r="B27" s="3131"/>
      <c r="C27" s="1998" t="s">
        <v>1678</v>
      </c>
    </row>
    <row r="28" spans="1:3" ht="13.5">
      <c r="A28" s="3132"/>
      <c r="B28" s="3131"/>
      <c r="C28" s="1998" t="s">
        <v>1679</v>
      </c>
    </row>
    <row r="29" spans="1:3" ht="13.5">
      <c r="A29" s="3132"/>
      <c r="B29" s="3131"/>
      <c r="C29" s="1998" t="s">
        <v>1680</v>
      </c>
    </row>
    <row r="30" spans="1:3" ht="13.5">
      <c r="A30" s="3132"/>
      <c r="B30" s="3131"/>
      <c r="C30" s="1998" t="s">
        <v>1681</v>
      </c>
    </row>
    <row r="31" spans="1:3" ht="13.5">
      <c r="A31" s="3132"/>
      <c r="B31" s="3131"/>
      <c r="C31" s="1998" t="s">
        <v>1682</v>
      </c>
    </row>
    <row r="32" spans="1:3" ht="13.5">
      <c r="A32" s="3132"/>
      <c r="B32" s="3131"/>
      <c r="C32" s="1998" t="s">
        <v>1683</v>
      </c>
    </row>
    <row r="33" spans="1:3" ht="13.5">
      <c r="A33" s="3132"/>
      <c r="B33" s="313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43462</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136" t="s">
        <v>843</v>
      </c>
      <c r="B25" s="3136"/>
      <c r="C25" s="3136"/>
      <c r="D25" s="3136"/>
      <c r="E25" s="3136"/>
      <c r="F25" s="3136"/>
      <c r="G25" s="3136"/>
    </row>
    <row r="26" spans="1:7" s="1025" customFormat="1" ht="24" customHeight="1">
      <c r="A26" s="3137" t="s">
        <v>844</v>
      </c>
      <c r="B26" s="3137"/>
      <c r="C26" s="3138"/>
      <c r="D26" s="3139" t="s">
        <v>845</v>
      </c>
      <c r="E26" s="3137"/>
      <c r="F26" s="313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48" priority="88">
      <formula>AND($C28-TODAY()&lt;30,TODAY()&lt;$C28)</formula>
    </cfRule>
  </conditionalFormatting>
  <conditionalFormatting sqref="C28 F4">
    <cfRule type="cellIs" dxfId="247" priority="90" stopIfTrue="1" operator="lessThan">
      <formula>$B$2</formula>
    </cfRule>
  </conditionalFormatting>
  <conditionalFormatting sqref="C5">
    <cfRule type="expression" dxfId="246" priority="85">
      <formula>AND($C5-TODAY()&lt;30,TODAY()&lt;$C5)</formula>
    </cfRule>
  </conditionalFormatting>
  <conditionalFormatting sqref="C5 F5">
    <cfRule type="cellIs" dxfId="245" priority="86" stopIfTrue="1" operator="lessThan">
      <formula>$B$2</formula>
    </cfRule>
  </conditionalFormatting>
  <conditionalFormatting sqref="F6 F8 F10">
    <cfRule type="cellIs" dxfId="244" priority="84" stopIfTrue="1" operator="lessThan">
      <formula>$B$2</formula>
    </cfRule>
  </conditionalFormatting>
  <conditionalFormatting sqref="C4:C11 C13 C23 C17:C21">
    <cfRule type="expression" dxfId="243" priority="82">
      <formula>AND($C4-TODAY()&lt;30,TODAY()&lt;$C4)</formula>
    </cfRule>
  </conditionalFormatting>
  <conditionalFormatting sqref="F7 F9 F11 C4:C11 C13 C23 C17:C21">
    <cfRule type="cellIs" dxfId="242" priority="83" stopIfTrue="1" operator="lessThan">
      <formula>$B$2</formula>
    </cfRule>
  </conditionalFormatting>
  <conditionalFormatting sqref="C18">
    <cfRule type="expression" dxfId="241" priority="72">
      <formula>AND($C18-TODAY()&lt;30,TODAY()&lt;$C18)</formula>
    </cfRule>
  </conditionalFormatting>
  <conditionalFormatting sqref="C18">
    <cfRule type="cellIs" dxfId="240" priority="73" stopIfTrue="1" operator="lessThan">
      <formula>$B$2</formula>
    </cfRule>
  </conditionalFormatting>
  <conditionalFormatting sqref="C20">
    <cfRule type="expression" dxfId="239" priority="70">
      <formula>AND($C20-TODAY()&lt;30,TODAY()&lt;$C20)</formula>
    </cfRule>
  </conditionalFormatting>
  <conditionalFormatting sqref="C20">
    <cfRule type="cellIs" dxfId="238" priority="71" stopIfTrue="1" operator="lessThan">
      <formula>$B$2</formula>
    </cfRule>
  </conditionalFormatting>
  <conditionalFormatting sqref="C17">
    <cfRule type="expression" dxfId="237" priority="64">
      <formula>AND($C17-TODAY()&lt;30,TODAY()&lt;$C17)</formula>
    </cfRule>
  </conditionalFormatting>
  <conditionalFormatting sqref="C17">
    <cfRule type="cellIs" dxfId="236" priority="65" stopIfTrue="1" operator="lessThan">
      <formula>$B$2</formula>
    </cfRule>
  </conditionalFormatting>
  <conditionalFormatting sqref="C19">
    <cfRule type="expression" dxfId="235" priority="62">
      <formula>AND($C19-TODAY()&lt;30,TODAY()&lt;$C19)</formula>
    </cfRule>
  </conditionalFormatting>
  <conditionalFormatting sqref="C19">
    <cfRule type="cellIs" dxfId="234" priority="63" stopIfTrue="1" operator="lessThan">
      <formula>$B$2</formula>
    </cfRule>
  </conditionalFormatting>
  <conditionalFormatting sqref="C21">
    <cfRule type="expression" dxfId="233" priority="60">
      <formula>AND($C21-TODAY()&lt;30,TODAY()&lt;$C21)</formula>
    </cfRule>
  </conditionalFormatting>
  <conditionalFormatting sqref="C21">
    <cfRule type="cellIs" dxfId="232" priority="61" stopIfTrue="1" operator="lessThan">
      <formula>$B$2</formula>
    </cfRule>
  </conditionalFormatting>
  <conditionalFormatting sqref="C23">
    <cfRule type="expression" dxfId="231" priority="58">
      <formula>AND($C23-TODAY()&lt;30,TODAY()&lt;$C23)</formula>
    </cfRule>
  </conditionalFormatting>
  <conditionalFormatting sqref="C23">
    <cfRule type="cellIs" dxfId="230" priority="59" stopIfTrue="1" operator="lessThan">
      <formula>$B$2</formula>
    </cfRule>
  </conditionalFormatting>
  <conditionalFormatting sqref="F18">
    <cfRule type="cellIs" dxfId="229" priority="55" stopIfTrue="1" operator="lessThan">
      <formula>$B$2</formula>
    </cfRule>
  </conditionalFormatting>
  <conditionalFormatting sqref="F22">
    <cfRule type="cellIs" dxfId="228" priority="54" stopIfTrue="1" operator="lessThan">
      <formula>$B$2</formula>
    </cfRule>
  </conditionalFormatting>
  <conditionalFormatting sqref="F21">
    <cfRule type="cellIs" dxfId="227" priority="53" stopIfTrue="1" operator="lessThan">
      <formula>$B$2</formula>
    </cfRule>
  </conditionalFormatting>
  <conditionalFormatting sqref="B4:B11 E4:E11 B17:B23 E18:E23 B13 E13">
    <cfRule type="cellIs" dxfId="226" priority="51" stopIfTrue="1" operator="equal">
      <formula>"已过期"</formula>
    </cfRule>
  </conditionalFormatting>
  <conditionalFormatting sqref="A24:F24">
    <cfRule type="cellIs" dxfId="225" priority="47" stopIfTrue="1" operator="equal">
      <formula>"已过期"</formula>
    </cfRule>
  </conditionalFormatting>
  <conditionalFormatting sqref="F28">
    <cfRule type="expression" dxfId="224" priority="45">
      <formula>AND($E28-TODAY()&lt;30,TODAY()&lt;$E28)</formula>
    </cfRule>
  </conditionalFormatting>
  <conditionalFormatting sqref="F28">
    <cfRule type="cellIs" dxfId="223" priority="46" stopIfTrue="1" operator="lessThan">
      <formula>$B$2</formula>
    </cfRule>
  </conditionalFormatting>
  <conditionalFormatting sqref="F29">
    <cfRule type="expression" dxfId="222" priority="41" stopIfTrue="1">
      <formula>AND($E29-TODAY()&lt;30,TODAY()&lt;$E29)</formula>
    </cfRule>
  </conditionalFormatting>
  <conditionalFormatting sqref="F29">
    <cfRule type="cellIs" dxfId="221" priority="42" stopIfTrue="1" operator="lessThan">
      <formula>$B$2</formula>
    </cfRule>
  </conditionalFormatting>
  <conditionalFormatting sqref="F13">
    <cfRule type="cellIs" dxfId="220" priority="34" stopIfTrue="1" operator="lessThan">
      <formula>$B$2</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12">
    <cfRule type="expression" dxfId="217" priority="30">
      <formula>AND($C12-TODAY()&lt;30,TODAY()&lt;$C12)</formula>
    </cfRule>
  </conditionalFormatting>
  <conditionalFormatting sqref="C12">
    <cfRule type="cellIs" dxfId="216" priority="31" stopIfTrue="1" operator="lessThan">
      <formula>$B$2</formula>
    </cfRule>
  </conditionalFormatting>
  <conditionalFormatting sqref="B12">
    <cfRule type="cellIs" dxfId="215" priority="29" stopIfTrue="1" operator="equal">
      <formula>"已过期"</formula>
    </cfRule>
  </conditionalFormatting>
  <conditionalFormatting sqref="E12">
    <cfRule type="cellIs" dxfId="214" priority="28" stopIfTrue="1" operator="equal">
      <formula>"已过期"</formula>
    </cfRule>
  </conditionalFormatting>
  <conditionalFormatting sqref="F12">
    <cfRule type="cellIs" dxfId="213" priority="27" stopIfTrue="1" operator="lessThan">
      <formula>$B$2</formula>
    </cfRule>
  </conditionalFormatting>
  <conditionalFormatting sqref="C22">
    <cfRule type="expression" dxfId="212" priority="25">
      <formula>AND($C22-TODAY()&lt;30,TODAY()&lt;$C22)</formula>
    </cfRule>
  </conditionalFormatting>
  <conditionalFormatting sqref="C22">
    <cfRule type="cellIs" dxfId="211" priority="26" stopIfTrue="1" operator="lessThan">
      <formula>$B$2</formula>
    </cfRule>
  </conditionalFormatting>
  <conditionalFormatting sqref="C22">
    <cfRule type="expression" dxfId="210" priority="23">
      <formula>AND($C22-TODAY()&lt;30,TODAY()&lt;$C22)</formula>
    </cfRule>
  </conditionalFormatting>
  <conditionalFormatting sqref="C22">
    <cfRule type="cellIs" dxfId="209" priority="24" stopIfTrue="1" operator="lessThan">
      <formula>$B$2</formula>
    </cfRule>
  </conditionalFormatting>
  <conditionalFormatting sqref="C16">
    <cfRule type="expression" dxfId="208" priority="21">
      <formula>AND($C16-TODAY()&lt;30,TODAY()&lt;$C16)</formula>
    </cfRule>
  </conditionalFormatting>
  <conditionalFormatting sqref="C16">
    <cfRule type="cellIs" dxfId="207" priority="22" stopIfTrue="1" operator="lessThan">
      <formula>$B$2</formula>
    </cfRule>
  </conditionalFormatting>
  <conditionalFormatting sqref="C16">
    <cfRule type="expression" dxfId="206" priority="19">
      <formula>AND($C16-TODAY()&lt;30,TODAY()&lt;$C16)</formula>
    </cfRule>
  </conditionalFormatting>
  <conditionalFormatting sqref="C16">
    <cfRule type="cellIs" dxfId="205" priority="20" stopIfTrue="1" operator="lessThan">
      <formula>$B$2</formula>
    </cfRule>
  </conditionalFormatting>
  <conditionalFormatting sqref="B16">
    <cfRule type="cellIs" dxfId="204" priority="18" stopIfTrue="1" operator="equal">
      <formula>"已过期"</formula>
    </cfRule>
  </conditionalFormatting>
  <conditionalFormatting sqref="C14:C15">
    <cfRule type="expression" dxfId="203" priority="16">
      <formula>AND($C14-TODAY()&lt;30,TODAY()&lt;$C14)</formula>
    </cfRule>
  </conditionalFormatting>
  <conditionalFormatting sqref="C14:C15">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C15">
    <cfRule type="expression" dxfId="199" priority="12">
      <formula>AND($C15-TODAY()&lt;30,TODAY()&lt;$C15)</formula>
    </cfRule>
  </conditionalFormatting>
  <conditionalFormatting sqref="C15">
    <cfRule type="cellIs" dxfId="198" priority="13" stopIfTrue="1" operator="lessThan">
      <formula>$B$2</formula>
    </cfRule>
  </conditionalFormatting>
  <conditionalFormatting sqref="B14">
    <cfRule type="cellIs" dxfId="197" priority="11" stopIfTrue="1" operator="equal">
      <formula>"已过期"</formula>
    </cfRule>
  </conditionalFormatting>
  <conditionalFormatting sqref="B15">
    <cfRule type="cellIs" dxfId="196" priority="10" stopIfTrue="1" operator="equal">
      <formula>"已过期"</formula>
    </cfRule>
  </conditionalFormatting>
  <conditionalFormatting sqref="A15">
    <cfRule type="cellIs" dxfId="195" priority="9" stopIfTrue="1" operator="equal">
      <formula>"已过期"</formula>
    </cfRule>
  </conditionalFormatting>
  <conditionalFormatting sqref="C15">
    <cfRule type="expression" dxfId="194" priority="8">
      <formula>AND($C15-TODAY()&lt;30,TODAY()&lt;$C15)</formula>
    </cfRule>
  </conditionalFormatting>
  <conditionalFormatting sqref="F16">
    <cfRule type="cellIs" dxfId="193" priority="7" stopIfTrue="1" operator="lessThan">
      <formula>$B$2</formula>
    </cfRule>
  </conditionalFormatting>
  <conditionalFormatting sqref="E16 E14">
    <cfRule type="cellIs" dxfId="192" priority="6" stopIfTrue="1" operator="equal">
      <formula>"已过期"</formula>
    </cfRule>
  </conditionalFormatting>
  <conditionalFormatting sqref="E15">
    <cfRule type="cellIs" dxfId="191" priority="5" stopIfTrue="1" operator="equal">
      <formula>"已过期"</formula>
    </cfRule>
  </conditionalFormatting>
  <conditionalFormatting sqref="D15">
    <cfRule type="cellIs" dxfId="190" priority="4" stopIfTrue="1" operator="equal">
      <formula>"已过期"</formula>
    </cfRule>
  </conditionalFormatting>
  <conditionalFormatting sqref="F17">
    <cfRule type="cellIs" dxfId="189" priority="3" stopIfTrue="1" operator="lessThan">
      <formula>$B$2</formula>
    </cfRule>
  </conditionalFormatting>
  <conditionalFormatting sqref="E17">
    <cfRule type="cellIs" dxfId="188" priority="2" stopIfTrue="1" operator="equal">
      <formula>"已过期"</formula>
    </cfRule>
  </conditionalFormatting>
  <conditionalFormatting sqref="F14">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156</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(估价对象1净值)</vt:lpstr>
      <vt:lpstr>结果表 (估价对象2净值) </vt:lpstr>
      <vt:lpstr>成本法</vt:lpstr>
      <vt:lpstr>成本法 (元)</vt:lpstr>
      <vt:lpstr>假设开发法</vt:lpstr>
      <vt:lpstr>收益法</vt:lpstr>
      <vt:lpstr>结果表（典型户型价值）</vt:lpstr>
      <vt:lpstr>收益法 (元)</vt:lpstr>
      <vt:lpstr>收益法（汇总）</vt:lpstr>
      <vt:lpstr>酒店收入计算</vt:lpstr>
      <vt:lpstr>比较法-住宅</vt:lpstr>
      <vt:lpstr>收益法 (元) (估价对象2)</vt:lpstr>
      <vt:lpstr>比较法-租金</vt:lpstr>
      <vt:lpstr>比较法-商业</vt:lpstr>
      <vt:lpstr>比较法-工业</vt:lpstr>
      <vt:lpstr>比较法-车位</vt:lpstr>
      <vt:lpstr>比较法-仓储</vt:lpstr>
      <vt:lpstr>土地比较法-住宅、综合</vt:lpstr>
      <vt:lpstr>土地比较法-工业</vt:lpstr>
      <vt:lpstr>比较法-商业 (估价对象2)</vt:lpstr>
      <vt:lpstr>基准地价修正</vt:lpstr>
      <vt:lpstr>修正</vt:lpstr>
      <vt:lpstr>容积率修正</vt:lpstr>
      <vt:lpstr>基准地价（汇总）</vt:lpstr>
      <vt:lpstr>地价</vt:lpstr>
      <vt:lpstr>土增税估算</vt:lpstr>
      <vt:lpstr>典型户型修正（估价对象1）</vt:lpstr>
      <vt:lpstr>成本法（废）</vt:lpstr>
      <vt:lpstr>区片价</vt:lpstr>
      <vt:lpstr>因素修正幅度</vt:lpstr>
      <vt:lpstr>存贷款利率</vt:lpstr>
      <vt:lpstr>区片价（范围）</vt:lpstr>
      <vt:lpstr>典型户型修正（估价对象2)</vt:lpstr>
      <vt:lpstr>租约</vt:lpstr>
      <vt:lpstr>售价</vt:lpstr>
      <vt:lpstr>租金</vt:lpstr>
      <vt:lpstr>估价师及机构信息!Print_Area</vt:lpstr>
      <vt:lpstr>收益法!Print_Area</vt:lpstr>
      <vt:lpstr>'收益法 (元)'!Print_Area</vt:lpstr>
      <vt:lpstr>'收益法 (元) (估价对象2)'!Print_Area</vt:lpstr>
      <vt:lpstr>'数据-汇总表'!Print_Area</vt:lpstr>
      <vt:lpstr>土增税估算!Print_Area</vt:lpstr>
      <vt:lpstr>八级</vt:lpstr>
      <vt:lpstr>'比较法-商业 (估价对象2)'!办公层高</vt:lpstr>
      <vt:lpstr>办公层高</vt:lpstr>
      <vt:lpstr>'比较法-商业 (估价对象2)'!办公朝向</vt:lpstr>
      <vt:lpstr>办公朝向</vt:lpstr>
      <vt:lpstr>'比较法-商业 (估价对象2)'!办公道路级别</vt:lpstr>
      <vt:lpstr>办公道路级别</vt:lpstr>
      <vt:lpstr>'比较法-商业 (估价对象2)'!办公公共部分装修</vt:lpstr>
      <vt:lpstr>办公公共部分装修</vt:lpstr>
      <vt:lpstr>'比较法-商业 (估价对象2)'!办公基础设施水平</vt:lpstr>
      <vt:lpstr>办公基础设施水平</vt:lpstr>
      <vt:lpstr>办公集聚程度</vt:lpstr>
      <vt:lpstr>'比较法-商业 (估价对象2)'!办公建筑结构</vt:lpstr>
      <vt:lpstr>办公建筑结构</vt:lpstr>
      <vt:lpstr>'比较法-商业 (估价对象2)'!办公建筑类型</vt:lpstr>
      <vt:lpstr>办公建筑类型</vt:lpstr>
      <vt:lpstr>'比较法-商业 (估价对象2)'!办公交易情况</vt:lpstr>
      <vt:lpstr>办公交易情况</vt:lpstr>
      <vt:lpstr>'比较法-商业 (估价对象2)'!办公楼层</vt:lpstr>
      <vt:lpstr>办公楼层</vt:lpstr>
      <vt:lpstr>'比较法-商业 (估价对象2)'!办公内部装修</vt:lpstr>
      <vt:lpstr>办公内部装修</vt:lpstr>
      <vt:lpstr>'比较法-商业 (估价对象2)'!办公物业管理</vt:lpstr>
      <vt:lpstr>办公物业管理</vt:lpstr>
      <vt:lpstr>'比较法-商业 (估价对象2)'!办公用途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'比较法-商业 (估价对象2)'!写字楼等级</vt:lpstr>
      <vt:lpstr>写字楼等级</vt:lpstr>
      <vt:lpstr>一级</vt:lpstr>
      <vt:lpstr>'典型户型修正（估价对象2)'!一修多修正项2</vt:lpstr>
      <vt:lpstr>一修多修正项2</vt:lpstr>
      <vt:lpstr>'典型户型修正（估价对象2)'!一修多修正项3</vt:lpstr>
      <vt:lpstr>一修多修正项3</vt:lpstr>
      <vt:lpstr>'典型户型修正（估价对象2)'!一修多修正项4</vt:lpstr>
      <vt:lpstr>一修多修正项4</vt:lpstr>
      <vt:lpstr>'典型户型修正（估价对象2)'!一修多修正项5</vt:lpstr>
      <vt:lpstr>一修多修正项5</vt:lpstr>
      <vt:lpstr>'典型户型修正（估价对象2)'!一修多修正项6</vt:lpstr>
      <vt:lpstr>一修多修正项6</vt:lpstr>
      <vt:lpstr>'典型户型修正（估价对象2)'!一修多修正项7</vt:lpstr>
      <vt:lpstr>一修多修正项7</vt:lpstr>
      <vt:lpstr>'典型户型修正（估价对象2)'!一修多修正项8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2018-12-25T05:36:02Z</cp:lastPrinted>
  <dcterms:created xsi:type="dcterms:W3CDTF">2015-07-13T07:17:23Z</dcterms:created>
  <dcterms:modified xsi:type="dcterms:W3CDTF">2018-12-28T07:48:43Z</dcterms:modified>
</cp:coreProperties>
</file>