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40司法-西山国际城（收费说明一并邮寄）\"/>
    </mc:Choice>
  </mc:AlternateContent>
  <xr:revisionPtr revIDLastSave="0" documentId="13_ncr:1_{AB9A4867-1A73-4D38-9CF1-1C67F351788A}" xr6:coauthVersionLast="47" xr6:coauthVersionMax="47" xr10:uidLastSave="{00000000-0000-0000-0000-000000000000}"/>
  <bookViews>
    <workbookView xWindow="-120" yWindow="-120" windowWidth="38640" windowHeight="212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0"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43" i="21" l="1"/>
  <c r="M28" i="9"/>
  <c r="G47" i="21"/>
  <c r="G33" i="21"/>
  <c r="L12" i="80"/>
  <c r="L13" i="80"/>
  <c r="L14" i="80"/>
  <c r="L15" i="80"/>
  <c r="L16" i="80"/>
  <c r="L17" i="80"/>
  <c r="L18" i="80"/>
  <c r="L19" i="80"/>
  <c r="L20" i="80"/>
  <c r="L21" i="80"/>
  <c r="L22" i="80"/>
  <c r="L23" i="80"/>
  <c r="L24" i="80"/>
  <c r="L25" i="80"/>
  <c r="L26" i="80"/>
  <c r="L27" i="80"/>
  <c r="L28" i="80"/>
  <c r="L29" i="80"/>
  <c r="L30" i="80"/>
  <c r="L31" i="80"/>
  <c r="L32" i="80"/>
  <c r="L11" i="80"/>
  <c r="B14" i="74"/>
  <c r="D91" i="81"/>
  <c r="E91" i="81"/>
  <c r="F91" i="81"/>
  <c r="G91" i="81"/>
  <c r="C91" i="81"/>
  <c r="J52" i="67"/>
  <c r="I47" i="21"/>
  <c r="E47" i="21"/>
  <c r="D33" i="43"/>
  <c r="I33" i="81"/>
  <c r="J33" i="81" s="1"/>
  <c r="G33" i="81"/>
  <c r="H33" i="81" s="1"/>
  <c r="E33" i="81"/>
  <c r="F33" i="81" s="1"/>
  <c r="I7" i="81"/>
  <c r="G7" i="81"/>
  <c r="E7" i="81"/>
  <c r="I47" i="81"/>
  <c r="V47" i="81" s="1"/>
  <c r="G47" i="81"/>
  <c r="T47" i="81" s="1"/>
  <c r="E47" i="81"/>
  <c r="R47" i="81" s="1"/>
  <c r="F12" i="80"/>
  <c r="F13" i="80"/>
  <c r="F14" i="80"/>
  <c r="F15" i="80"/>
  <c r="F16" i="80"/>
  <c r="F17" i="80"/>
  <c r="F18" i="80"/>
  <c r="F19" i="80"/>
  <c r="F20" i="80"/>
  <c r="F21" i="80"/>
  <c r="F22" i="80"/>
  <c r="F23" i="80"/>
  <c r="F24" i="80"/>
  <c r="F25" i="80"/>
  <c r="F26" i="80"/>
  <c r="F27" i="80"/>
  <c r="F28" i="80"/>
  <c r="F29" i="80"/>
  <c r="F30" i="80"/>
  <c r="F31" i="80"/>
  <c r="F32" i="80"/>
  <c r="F11" i="80"/>
  <c r="C145" i="81"/>
  <c r="K139" i="81" s="1"/>
  <c r="J142" i="81"/>
  <c r="J140" i="81"/>
  <c r="B130" i="81"/>
  <c r="B128" i="81"/>
  <c r="B126" i="81"/>
  <c r="G125" i="81"/>
  <c r="E125" i="81"/>
  <c r="F125" i="81" s="1"/>
  <c r="D125" i="81"/>
  <c r="D123" i="81"/>
  <c r="J42" i="81" s="1"/>
  <c r="AC42" i="81" s="1"/>
  <c r="K119" i="81"/>
  <c r="L119" i="81" s="1"/>
  <c r="M119" i="81" s="1"/>
  <c r="I119" i="81"/>
  <c r="J119" i="81" s="1"/>
  <c r="G119" i="81"/>
  <c r="H119" i="81" s="1"/>
  <c r="E119" i="81"/>
  <c r="F119" i="81" s="1"/>
  <c r="D119" i="81"/>
  <c r="G117" i="81"/>
  <c r="E117" i="81"/>
  <c r="F117" i="81" s="1"/>
  <c r="D117" i="81"/>
  <c r="E115" i="81"/>
  <c r="F115" i="81" s="1"/>
  <c r="G115" i="81" s="1"/>
  <c r="H115" i="81" s="1"/>
  <c r="I115" i="81" s="1"/>
  <c r="J115" i="81" s="1"/>
  <c r="K115" i="81" s="1"/>
  <c r="L115" i="81" s="1"/>
  <c r="M115" i="81" s="1"/>
  <c r="D115" i="81"/>
  <c r="D113" i="81"/>
  <c r="E113" i="81" s="1"/>
  <c r="F113" i="81" s="1"/>
  <c r="H111" i="81"/>
  <c r="G111" i="81"/>
  <c r="F111" i="81"/>
  <c r="E111" i="81"/>
  <c r="D111" i="81"/>
  <c r="C111" i="81"/>
  <c r="F110" i="81"/>
  <c r="G110" i="81" s="1"/>
  <c r="H110" i="81" s="1"/>
  <c r="I110" i="81" s="1"/>
  <c r="J110" i="81" s="1"/>
  <c r="K110" i="81" s="1"/>
  <c r="L110" i="81" s="1"/>
  <c r="M110" i="81" s="1"/>
  <c r="D110" i="81"/>
  <c r="E110" i="81" s="1"/>
  <c r="D108" i="81"/>
  <c r="E108" i="81" s="1"/>
  <c r="F108" i="81" s="1"/>
  <c r="G108" i="81" s="1"/>
  <c r="H108" i="81" s="1"/>
  <c r="I108" i="81" s="1"/>
  <c r="J108" i="81" s="1"/>
  <c r="K108" i="81" s="1"/>
  <c r="L108" i="81" s="1"/>
  <c r="M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G101" i="81"/>
  <c r="H101" i="81" s="1"/>
  <c r="I101" i="81" s="1"/>
  <c r="J101" i="81" s="1"/>
  <c r="K101" i="81" s="1"/>
  <c r="L101" i="81" s="1"/>
  <c r="M101" i="81" s="1"/>
  <c r="E101" i="81"/>
  <c r="F101" i="81" s="1"/>
  <c r="D101" i="81"/>
  <c r="B98" i="81"/>
  <c r="B96" i="81"/>
  <c r="B94" i="81"/>
  <c r="B92" i="81"/>
  <c r="B90" i="81"/>
  <c r="H27" i="81" s="1"/>
  <c r="D89" i="8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C63" i="81"/>
  <c r="P49" i="81"/>
  <c r="P48" i="81"/>
  <c r="K48" i="81"/>
  <c r="P47" i="81"/>
  <c r="AC46" i="81"/>
  <c r="W46" i="81"/>
  <c r="Q46" i="81"/>
  <c r="Z46" i="81" s="1"/>
  <c r="J46" i="81"/>
  <c r="H46" i="81"/>
  <c r="AB46" i="81" s="1"/>
  <c r="F46" i="81"/>
  <c r="S46" i="81" s="1"/>
  <c r="Q45" i="81"/>
  <c r="Z45" i="81" s="1"/>
  <c r="AA44" i="81"/>
  <c r="Q44" i="81"/>
  <c r="Z44" i="81" s="1"/>
  <c r="J44" i="81"/>
  <c r="W44" i="81" s="1"/>
  <c r="H44" i="81"/>
  <c r="AB44" i="81" s="1"/>
  <c r="F44" i="81"/>
  <c r="S44" i="81" s="1"/>
  <c r="Z43" i="81"/>
  <c r="Q43" i="81"/>
  <c r="J43" i="81"/>
  <c r="AC43" i="81" s="1"/>
  <c r="H43" i="81"/>
  <c r="U43" i="81" s="1"/>
  <c r="F43" i="81"/>
  <c r="AA43" i="81" s="1"/>
  <c r="Q42" i="81"/>
  <c r="Z42" i="81" s="1"/>
  <c r="F42" i="81"/>
  <c r="S42" i="81" s="1"/>
  <c r="U41" i="81"/>
  <c r="Q41" i="81"/>
  <c r="Z41" i="81" s="1"/>
  <c r="J41" i="81"/>
  <c r="AC41" i="81" s="1"/>
  <c r="H41" i="81"/>
  <c r="AB41" i="81" s="1"/>
  <c r="F41" i="81"/>
  <c r="AA41" i="81" s="1"/>
  <c r="AC40" i="81"/>
  <c r="Q40" i="81"/>
  <c r="Z40" i="81" s="1"/>
  <c r="J40" i="81"/>
  <c r="W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Z37" i="81"/>
  <c r="Q37" i="81"/>
  <c r="Q36" i="81"/>
  <c r="Z36" i="81" s="1"/>
  <c r="J36" i="81"/>
  <c r="AC36" i="81" s="1"/>
  <c r="H36" i="81"/>
  <c r="AB36" i="81" s="1"/>
  <c r="F36" i="81"/>
  <c r="AA36" i="81" s="1"/>
  <c r="Q35" i="81"/>
  <c r="Z35" i="81" s="1"/>
  <c r="J35" i="81"/>
  <c r="AC35" i="81" s="1"/>
  <c r="H35" i="81"/>
  <c r="AB35" i="81" s="1"/>
  <c r="F35" i="81"/>
  <c r="AA35" i="81" s="1"/>
  <c r="Q34" i="81"/>
  <c r="Z34" i="81" s="1"/>
  <c r="J34" i="81"/>
  <c r="W34" i="81" s="1"/>
  <c r="H34" i="81"/>
  <c r="AB34" i="81" s="1"/>
  <c r="F34" i="81"/>
  <c r="AA34" i="81" s="1"/>
  <c r="Z33" i="81"/>
  <c r="Q33" i="81"/>
  <c r="C33" i="81"/>
  <c r="Q32" i="81"/>
  <c r="Z32" i="81" s="1"/>
  <c r="J32" i="81"/>
  <c r="W32" i="81" s="1"/>
  <c r="H32" i="81"/>
  <c r="AB32" i="81" s="1"/>
  <c r="F32" i="81"/>
  <c r="AA32" i="81" s="1"/>
  <c r="Z31" i="81"/>
  <c r="Q31" i="81"/>
  <c r="H31" i="81"/>
  <c r="U31" i="81" s="1"/>
  <c r="AC30" i="81"/>
  <c r="W30" i="81"/>
  <c r="Q30" i="81"/>
  <c r="Z30" i="81" s="1"/>
  <c r="J30" i="81"/>
  <c r="H30" i="81"/>
  <c r="AB30" i="81" s="1"/>
  <c r="F30" i="81"/>
  <c r="AA30" i="81" s="1"/>
  <c r="Q29" i="81"/>
  <c r="Z29" i="81" s="1"/>
  <c r="H29" i="81"/>
  <c r="AB29" i="81" s="1"/>
  <c r="W28" i="81"/>
  <c r="Q28" i="81"/>
  <c r="Z28" i="81" s="1"/>
  <c r="J28" i="81"/>
  <c r="AC28" i="81" s="1"/>
  <c r="H28" i="81"/>
  <c r="AB28" i="81" s="1"/>
  <c r="F28" i="81"/>
  <c r="S28" i="81" s="1"/>
  <c r="Q27" i="81"/>
  <c r="Z27" i="81" s="1"/>
  <c r="Q26" i="81"/>
  <c r="Z26" i="81" s="1"/>
  <c r="J26" i="81"/>
  <c r="W26" i="81" s="1"/>
  <c r="AA25" i="81"/>
  <c r="Z25" i="81"/>
  <c r="Q25" i="81"/>
  <c r="J25" i="81"/>
  <c r="AC25" i="81" s="1"/>
  <c r="H25" i="81"/>
  <c r="U25" i="81" s="1"/>
  <c r="F25" i="81"/>
  <c r="S25" i="81" s="1"/>
  <c r="Q23" i="81"/>
  <c r="Z23" i="81" s="1"/>
  <c r="J23" i="81"/>
  <c r="W23" i="81" s="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W13" i="81" s="1"/>
  <c r="H13" i="81"/>
  <c r="AB13" i="81" s="1"/>
  <c r="F13" i="81"/>
  <c r="AA13" i="81" s="1"/>
  <c r="Q12" i="81"/>
  <c r="Z12" i="81" s="1"/>
  <c r="J12" i="81"/>
  <c r="AC12" i="81" s="1"/>
  <c r="H12" i="81"/>
  <c r="AB12" i="81" s="1"/>
  <c r="F12" i="81"/>
  <c r="AA12" i="81" s="1"/>
  <c r="Q11" i="81"/>
  <c r="Z11" i="81" s="1"/>
  <c r="J11" i="81"/>
  <c r="AC11" i="81" s="1"/>
  <c r="H11" i="81"/>
  <c r="AB11" i="81" s="1"/>
  <c r="F11" i="81"/>
  <c r="Q10" i="81"/>
  <c r="Z10" i="81" s="1"/>
  <c r="J10" i="81"/>
  <c r="AC10" i="81" s="1"/>
  <c r="H10" i="81"/>
  <c r="AB10" i="81" s="1"/>
  <c r="F10" i="81"/>
  <c r="AA10" i="81" s="1"/>
  <c r="Q9" i="81"/>
  <c r="Z9" i="81" s="1"/>
  <c r="J9" i="81"/>
  <c r="AC9" i="81" s="1"/>
  <c r="H9" i="81"/>
  <c r="AB9" i="81" s="1"/>
  <c r="F9" i="81"/>
  <c r="AA9" i="81" s="1"/>
  <c r="AB8" i="81"/>
  <c r="W8" i="81"/>
  <c r="S8" i="81"/>
  <c r="J8" i="81"/>
  <c r="AC8" i="81" s="1"/>
  <c r="H8" i="81"/>
  <c r="U8" i="81" s="1"/>
  <c r="F8" i="81"/>
  <c r="AA8" i="81" s="1"/>
  <c r="C7" i="81"/>
  <c r="C58" i="81" s="1"/>
  <c r="G5" i="81"/>
  <c r="I5" i="81" s="1"/>
  <c r="E5" i="81"/>
  <c r="D3" i="81"/>
  <c r="D14" i="9"/>
  <c r="I33" i="21"/>
  <c r="E33" i="21"/>
  <c r="C33" i="21"/>
  <c r="I7" i="21"/>
  <c r="G7" i="21"/>
  <c r="E7" i="21"/>
  <c r="G5" i="21"/>
  <c r="I5" i="21" s="1"/>
  <c r="E5" i="21"/>
  <c r="Y6" i="1"/>
  <c r="N19" i="1"/>
  <c r="F19" i="6"/>
  <c r="D2" i="81"/>
  <c r="H42" i="81" l="1"/>
  <c r="AB42" i="81" s="1"/>
  <c r="E123" i="81"/>
  <c r="F123" i="81" s="1"/>
  <c r="G123" i="81" s="1"/>
  <c r="H123" i="81" s="1"/>
  <c r="I123" i="81" s="1"/>
  <c r="J123" i="81" s="1"/>
  <c r="K123" i="81" s="1"/>
  <c r="L123" i="81" s="1"/>
  <c r="M123" i="81" s="1"/>
  <c r="I54" i="81"/>
  <c r="J54" i="81" s="1"/>
  <c r="AA23" i="81"/>
  <c r="AC34" i="81"/>
  <c r="AC32" i="81"/>
  <c r="W42" i="81"/>
  <c r="AB27" i="81"/>
  <c r="U27" i="81"/>
  <c r="U33" i="81"/>
  <c r="AB33" i="81"/>
  <c r="D58" i="81"/>
  <c r="F37" i="81"/>
  <c r="G113" i="81"/>
  <c r="H113" i="81" s="1"/>
  <c r="J37" i="81"/>
  <c r="H37" i="81"/>
  <c r="W9" i="81"/>
  <c r="AA11" i="81"/>
  <c r="S11" i="81"/>
  <c r="K145" i="81"/>
  <c r="K143" i="81"/>
  <c r="K141" i="81"/>
  <c r="S30" i="81"/>
  <c r="AB31" i="81"/>
  <c r="AC33" i="81"/>
  <c r="W33" i="81"/>
  <c r="S36" i="81"/>
  <c r="S40" i="81"/>
  <c r="E89" i="81"/>
  <c r="F89" i="81" s="1"/>
  <c r="G89" i="81" s="1"/>
  <c r="H89" i="81" s="1"/>
  <c r="I89" i="81" s="1"/>
  <c r="J89" i="81" s="1"/>
  <c r="K89" i="81" s="1"/>
  <c r="L89" i="81" s="1"/>
  <c r="M89" i="81" s="1"/>
  <c r="H26" i="81"/>
  <c r="F45" i="81"/>
  <c r="J45" i="81"/>
  <c r="S10" i="81"/>
  <c r="U11" i="81"/>
  <c r="W12" i="81"/>
  <c r="S14" i="81"/>
  <c r="S15" i="81"/>
  <c r="S17" i="81"/>
  <c r="S19" i="81"/>
  <c r="S21" i="81"/>
  <c r="AC23" i="81"/>
  <c r="AC26" i="81"/>
  <c r="AA28" i="81"/>
  <c r="U29" i="81"/>
  <c r="S32" i="81"/>
  <c r="S34" i="81"/>
  <c r="U35" i="81"/>
  <c r="W36" i="81"/>
  <c r="S38" i="81"/>
  <c r="U39" i="81"/>
  <c r="AA42" i="81"/>
  <c r="AB43" i="81"/>
  <c r="AC44" i="81"/>
  <c r="AA46" i="81"/>
  <c r="E54" i="81"/>
  <c r="F54" i="81" s="1"/>
  <c r="J27" i="81"/>
  <c r="F27" i="81"/>
  <c r="J31" i="81"/>
  <c r="F31" i="81"/>
  <c r="AC13" i="81"/>
  <c r="S9" i="81"/>
  <c r="U10" i="81"/>
  <c r="W11" i="81"/>
  <c r="S13" i="81"/>
  <c r="U14" i="81"/>
  <c r="U19" i="81"/>
  <c r="U21" i="81"/>
  <c r="AB25" i="81"/>
  <c r="AA33" i="81"/>
  <c r="S33" i="81"/>
  <c r="H45" i="81"/>
  <c r="G54" i="81"/>
  <c r="H54" i="81" s="1"/>
  <c r="U12" i="81"/>
  <c r="U15" i="81"/>
  <c r="U17" i="81"/>
  <c r="U9" i="81"/>
  <c r="W10" i="81"/>
  <c r="S12" i="81"/>
  <c r="U13" i="81"/>
  <c r="W14" i="81"/>
  <c r="W15" i="81"/>
  <c r="W17" i="81"/>
  <c r="W19" i="81"/>
  <c r="W21" i="81"/>
  <c r="F26" i="81"/>
  <c r="F29" i="81"/>
  <c r="J29" i="81"/>
  <c r="K144" i="81"/>
  <c r="U23" i="81"/>
  <c r="W25" i="81"/>
  <c r="U28" i="81"/>
  <c r="U32" i="81"/>
  <c r="S35" i="81"/>
  <c r="U36" i="81"/>
  <c r="S39" i="81"/>
  <c r="U40" i="81"/>
  <c r="W41" i="81"/>
  <c r="S43" i="81"/>
  <c r="U44" i="81"/>
  <c r="U30" i="81"/>
  <c r="U34" i="81"/>
  <c r="W35" i="81"/>
  <c r="U38" i="81"/>
  <c r="W39" i="81"/>
  <c r="S41" i="81"/>
  <c r="W43" i="81"/>
  <c r="U46" i="81"/>
  <c r="D3" i="4"/>
  <c r="K4" i="80"/>
  <c r="K5" i="80"/>
  <c r="K6" i="80"/>
  <c r="H4" i="80"/>
  <c r="H5" i="80"/>
  <c r="H6" i="80"/>
  <c r="K3" i="80"/>
  <c r="H3" i="80"/>
  <c r="E32" i="80"/>
  <c r="E31" i="80"/>
  <c r="E30" i="80"/>
  <c r="E29" i="80"/>
  <c r="E28" i="80"/>
  <c r="E27" i="80"/>
  <c r="E26" i="80"/>
  <c r="E25" i="80"/>
  <c r="E24" i="80"/>
  <c r="E23" i="80"/>
  <c r="E22" i="80"/>
  <c r="E12" i="80"/>
  <c r="E13" i="80"/>
  <c r="E14" i="80"/>
  <c r="E15" i="80"/>
  <c r="E16" i="80"/>
  <c r="E17" i="80"/>
  <c r="E18" i="80"/>
  <c r="E19" i="80"/>
  <c r="E20" i="80"/>
  <c r="E21" i="80"/>
  <c r="E11" i="80"/>
  <c r="E27" i="45"/>
  <c r="U42" i="81" l="1"/>
  <c r="AB26" i="81"/>
  <c r="U26" i="81"/>
  <c r="AA37" i="81"/>
  <c r="S37" i="81"/>
  <c r="AC27" i="81"/>
  <c r="W27" i="81"/>
  <c r="AC45" i="81"/>
  <c r="W45" i="81"/>
  <c r="AC37" i="81"/>
  <c r="W37" i="81"/>
  <c r="AC29" i="81"/>
  <c r="W29" i="81"/>
  <c r="AA29" i="81"/>
  <c r="S29" i="81"/>
  <c r="AC31" i="81"/>
  <c r="W31" i="81"/>
  <c r="S26" i="81"/>
  <c r="AA26" i="81"/>
  <c r="AA27" i="81"/>
  <c r="S27" i="81"/>
  <c r="U37" i="81"/>
  <c r="AB37" i="81"/>
  <c r="AB45" i="81"/>
  <c r="U45" i="81"/>
  <c r="AA31" i="81"/>
  <c r="S31" i="81"/>
  <c r="AA45" i="81"/>
  <c r="S45" i="81"/>
  <c r="E58" i="81"/>
  <c r="G14" i="73"/>
  <c r="F14" i="73"/>
  <c r="E14" i="73"/>
  <c r="F58" i="81" l="1"/>
  <c r="I12" i="79"/>
  <c r="G58"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58" i="81" l="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8" i="81" l="1"/>
  <c r="AR7" i="79"/>
  <c r="AR8" i="79" s="1"/>
  <c r="AD33" i="79"/>
  <c r="AR34" i="79"/>
  <c r="AR35" i="79"/>
  <c r="AR36" i="79" s="1"/>
  <c r="C60" i="78"/>
  <c r="D60" i="78" s="1"/>
  <c r="D53" i="78"/>
  <c r="D52" i="78"/>
  <c r="D51" i="78" s="1"/>
  <c r="B51" i="78"/>
  <c r="B56" i="78" s="1"/>
  <c r="J58" i="81" l="1"/>
  <c r="B55" i="78"/>
  <c r="D55" i="78" s="1"/>
  <c r="C51" i="78"/>
  <c r="C56" i="78" s="1"/>
  <c r="C58" i="78" s="1"/>
  <c r="B62" i="78"/>
  <c r="B54" i="78"/>
  <c r="D54" i="78" s="1"/>
  <c r="D56" i="78" s="1"/>
  <c r="K58" i="81" l="1"/>
  <c r="D58" i="78"/>
  <c r="D62" i="78" s="1"/>
  <c r="C62" i="78" s="1"/>
  <c r="L58" i="81" l="1"/>
  <c r="G15" i="73"/>
  <c r="F15" i="73"/>
  <c r="E15" i="73"/>
  <c r="M58" i="81" l="1"/>
  <c r="N58" i="81" s="1"/>
  <c r="O58" i="81" s="1"/>
  <c r="H7" i="8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B7" i="81" l="1"/>
  <c r="T48" i="81" s="1"/>
  <c r="G48" i="81" s="1"/>
  <c r="U7" i="81"/>
  <c r="J7" i="81"/>
  <c r="F7" i="81"/>
  <c r="AR37" i="79"/>
  <c r="AR38" i="79" s="1"/>
  <c r="P36" i="79"/>
  <c r="AR10" i="79"/>
  <c r="G16" i="73"/>
  <c r="F16" i="73"/>
  <c r="E16" i="73"/>
  <c r="G17" i="73"/>
  <c r="F17" i="73"/>
  <c r="E17" i="73"/>
  <c r="W7" i="81" l="1"/>
  <c r="AC7" i="81"/>
  <c r="V48" i="81" s="1"/>
  <c r="I48" i="81" s="1"/>
  <c r="G53" i="81" s="1"/>
  <c r="H53" i="81" s="1"/>
  <c r="G52" i="81"/>
  <c r="H52" i="81" s="1"/>
  <c r="S7" i="81"/>
  <c r="AA7" i="81"/>
  <c r="R48" i="81" s="1"/>
  <c r="AB38" i="79"/>
  <c r="AA38" i="79"/>
  <c r="Z38" i="79"/>
  <c r="N38" i="79"/>
  <c r="M38" i="79"/>
  <c r="L38" i="79"/>
  <c r="I38" i="79"/>
  <c r="AC10" i="79"/>
  <c r="AB10" i="79"/>
  <c r="AA10" i="79"/>
  <c r="AD10" i="79" s="1"/>
  <c r="Z10" i="79"/>
  <c r="Y10" i="79"/>
  <c r="O10" i="79"/>
  <c r="N10" i="79"/>
  <c r="M10" i="79"/>
  <c r="P10" i="79" s="1"/>
  <c r="L10" i="79"/>
  <c r="K10" i="79"/>
  <c r="I10" i="79"/>
  <c r="AR11" i="79" s="1"/>
  <c r="I52" i="81" l="1"/>
  <c r="J52" i="81" s="1"/>
  <c r="R49" i="81"/>
  <c r="E48" i="81"/>
  <c r="I53" i="81" s="1"/>
  <c r="J53" i="81" s="1"/>
  <c r="P38" i="79"/>
  <c r="AR39" i="79"/>
  <c r="I13" i="79"/>
  <c r="E52" i="81" l="1"/>
  <c r="F52" i="81" s="1"/>
  <c r="E53" i="81"/>
  <c r="F53" i="81" s="1"/>
  <c r="C49" i="81"/>
  <c r="C48" i="81"/>
  <c r="I41" i="79"/>
  <c r="I40" i="79"/>
  <c r="N40" i="79"/>
  <c r="M40" i="79"/>
  <c r="P40" i="79" s="1"/>
  <c r="L40" i="79"/>
  <c r="N41" i="79"/>
  <c r="M41" i="79"/>
  <c r="L41" i="79"/>
  <c r="O12" i="79"/>
  <c r="N12" i="79"/>
  <c r="M12" i="79"/>
  <c r="P12" i="79" s="1"/>
  <c r="L12" i="79"/>
  <c r="K12" i="79"/>
  <c r="O13" i="79"/>
  <c r="N13" i="79"/>
  <c r="M13" i="79"/>
  <c r="P13" i="79" s="1"/>
  <c r="L13" i="79"/>
  <c r="K13" i="79"/>
  <c r="U6" i="1" l="1"/>
  <c r="M42" i="81"/>
  <c r="B3" i="81"/>
  <c r="B2" i="81"/>
  <c r="P41" i="79"/>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A31" i="79"/>
  <c r="AD31" i="79" s="1"/>
  <c r="AR18" i="79"/>
  <c r="AR19" i="79" s="1"/>
  <c r="AR20" i="79" s="1"/>
  <c r="AR21" i="79" s="1"/>
  <c r="AR22" i="79" s="1"/>
  <c r="AR23" i="79" s="1"/>
  <c r="AR24" i="79" s="1"/>
  <c r="T33" i="79"/>
  <c r="T35" i="79"/>
  <c r="T34"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AB28" i="71" s="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AA3" i="71" s="1"/>
  <c r="E60" i="71"/>
  <c r="U60" i="71" s="1"/>
  <c r="U68" i="71"/>
  <c r="E67" i="71"/>
  <c r="E66" i="71" s="1"/>
  <c r="Q28" i="71"/>
  <c r="C55" i="71"/>
  <c r="C56" i="71" s="1"/>
  <c r="D54" i="71"/>
  <c r="D58" i="71"/>
  <c r="C63" i="71"/>
  <c r="C64" i="71" s="1"/>
  <c r="D62" i="71"/>
  <c r="Q67" i="71"/>
  <c r="T68" i="71"/>
  <c r="O68" i="71"/>
  <c r="D68" i="71"/>
  <c r="C67" i="71"/>
  <c r="Q68" i="71"/>
  <c r="E71" i="71"/>
  <c r="E70" i="71"/>
  <c r="C75" i="71"/>
  <c r="D76" i="71"/>
  <c r="D80" i="71"/>
  <c r="C87" i="71"/>
  <c r="C86" i="71" s="1"/>
  <c r="D86" i="71" s="1"/>
  <c r="F28" i="71"/>
  <c r="F27" i="71"/>
  <c r="F26" i="71" s="1"/>
  <c r="D75"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J35" i="34"/>
  <c r="W9" i="34"/>
  <c r="U34" i="34"/>
  <c r="H39" i="33"/>
  <c r="AB39" i="33" s="1"/>
  <c r="F26" i="33"/>
  <c r="S40" i="33"/>
  <c r="W33" i="33"/>
  <c r="W39" i="33"/>
  <c r="H39" i="37"/>
  <c r="AB39" i="37"/>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AB23" i="34" s="1"/>
  <c r="U23" i="34"/>
  <c r="J23" i="34"/>
  <c r="F19" i="34"/>
  <c r="H17" i="34"/>
  <c r="U17" i="34"/>
  <c r="F15" i="34"/>
  <c r="AA15" i="34" s="1"/>
  <c r="J15" i="34"/>
  <c r="H15" i="34"/>
  <c r="AB15" i="34" s="1"/>
  <c r="W8" i="34"/>
  <c r="F41" i="33"/>
  <c r="AA41" i="33" s="1"/>
  <c r="S38"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AZ514" i="3" s="1"/>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W47" i="34"/>
  <c r="AC36" i="34"/>
  <c r="AA13" i="33"/>
  <c r="AC31" i="33"/>
  <c r="AC45" i="33"/>
  <c r="W44" i="33"/>
  <c r="U11" i="33"/>
  <c r="U19" i="21"/>
  <c r="W44" i="21"/>
  <c r="F43" i="33"/>
  <c r="AA43" i="33"/>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77" i="3"/>
  <c r="AZ82"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AZ15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36" i="21"/>
  <c r="W41" i="21"/>
  <c r="AB39"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H32" i="21"/>
  <c r="AB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25" i="21"/>
  <c r="W31" i="21"/>
  <c r="S17" i="21"/>
  <c r="AA15" i="21"/>
  <c r="AC27" i="21"/>
  <c r="AB29" i="21"/>
  <c r="S28"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J23" i="21"/>
  <c r="AC23" i="21" s="1"/>
  <c r="F85" i="21"/>
  <c r="G85" i="21" s="1"/>
  <c r="H23" i="21"/>
  <c r="U23" i="21" s="1"/>
  <c r="S13" i="21"/>
  <c r="AP7" i="1"/>
  <c r="AB45" i="21"/>
  <c r="AB9" i="21"/>
  <c r="W9" i="21"/>
  <c r="AC9" i="21"/>
  <c r="A18" i="62"/>
  <c r="B64" i="72" s="1"/>
  <c r="U32" i="39"/>
  <c r="AC32" i="39"/>
  <c r="J11" i="37"/>
  <c r="AC11" i="37" s="1"/>
  <c r="J11" i="34"/>
  <c r="W11" i="34" s="1"/>
  <c r="W25"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M23" i="67"/>
  <c r="E8" i="76"/>
  <c r="F7" i="73"/>
  <c r="E2" i="68"/>
  <c r="B13" i="76"/>
  <c r="M26" i="67"/>
  <c r="F38" i="15"/>
  <c r="E13" i="76"/>
  <c r="E11" i="76"/>
  <c r="B9" i="76"/>
  <c r="F43" i="67"/>
  <c r="F26" i="67"/>
  <c r="C76" i="67"/>
  <c r="L47" i="15"/>
  <c r="F36" i="15"/>
  <c r="F42" i="67"/>
  <c r="F36" i="67"/>
  <c r="F4" i="73"/>
  <c r="M6" i="67"/>
  <c r="F13" i="67"/>
  <c r="M24" i="15"/>
  <c r="F6" i="67"/>
  <c r="E10" i="76"/>
  <c r="L48" i="15"/>
  <c r="D6" i="73"/>
  <c r="F20" i="31"/>
  <c r="J15" i="67"/>
  <c r="D34" i="9"/>
  <c r="F9" i="67"/>
  <c r="F6" i="73"/>
  <c r="M6" i="15"/>
  <c r="E12" i="76"/>
  <c r="M26" i="15"/>
  <c r="B8" i="76"/>
  <c r="M8" i="67"/>
  <c r="D35" i="9"/>
  <c r="F3" i="73"/>
  <c r="F40" i="67"/>
  <c r="F16" i="67"/>
  <c r="B10" i="76"/>
  <c r="F5" i="73"/>
  <c r="F7" i="15"/>
  <c r="E7" i="76"/>
  <c r="M29" i="67"/>
  <c r="B11" i="76"/>
  <c r="B12" i="76"/>
  <c r="E9" i="76"/>
  <c r="F13" i="15"/>
  <c r="F7" i="67"/>
  <c r="F43" i="15"/>
  <c r="E2" i="69"/>
  <c r="B7" i="76"/>
  <c r="AO13" i="1"/>
  <c r="J15" i="15"/>
  <c r="H43" i="21" l="1"/>
  <c r="AB43" i="21" s="1"/>
  <c r="H42" i="21"/>
  <c r="U42" i="21" s="1"/>
  <c r="AA26" i="21"/>
  <c r="J42" i="21"/>
  <c r="AC42" i="21" s="1"/>
  <c r="F42" i="21"/>
  <c r="AA42" i="21" s="1"/>
  <c r="C40" i="69"/>
  <c r="AB23" i="21"/>
  <c r="W23" i="21"/>
  <c r="W21" i="21"/>
  <c r="AC19" i="21"/>
  <c r="AB15" i="21"/>
  <c r="S27" i="21"/>
  <c r="U27" i="21"/>
  <c r="AA43" i="21"/>
  <c r="W43" i="21"/>
  <c r="AC34" i="21"/>
  <c r="S42" i="21"/>
  <c r="D52" i="43"/>
  <c r="D51" i="43"/>
  <c r="D56" i="43"/>
  <c r="AC26" i="21"/>
  <c r="S37" i="21"/>
  <c r="U38" i="21"/>
  <c r="AC38" i="21"/>
  <c r="AB36" i="21"/>
  <c r="U32" i="21"/>
  <c r="S32" i="21"/>
  <c r="M18" i="67"/>
  <c r="F30" i="69"/>
  <c r="F48" i="69" s="1"/>
  <c r="F30" i="11"/>
  <c r="C48" i="11" s="1"/>
  <c r="F54" i="9"/>
  <c r="M18" i="15"/>
  <c r="F31" i="12"/>
  <c r="D68" i="9"/>
  <c r="F28" i="15"/>
  <c r="C28" i="15" s="1"/>
  <c r="F32" i="67"/>
  <c r="F60" i="67" s="1"/>
  <c r="F28" i="67"/>
  <c r="F32" i="15"/>
  <c r="F60" i="15" s="1"/>
  <c r="F52" i="9"/>
  <c r="F30" i="68"/>
  <c r="F48" i="68" s="1"/>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s="1"/>
  <c r="BL586" i="3"/>
  <c r="AZ586" i="3" s="1"/>
  <c r="F28" i="34"/>
  <c r="J28" i="34"/>
  <c r="H12" i="35"/>
  <c r="J23" i="35"/>
  <c r="H23" i="35"/>
  <c r="AA40" i="39"/>
  <c r="S40" i="39"/>
  <c r="W31" i="35"/>
  <c r="AC31" i="35"/>
  <c r="AB33" i="33"/>
  <c r="U33" i="33"/>
  <c r="J9" i="33"/>
  <c r="H9" i="33"/>
  <c r="H45" i="39"/>
  <c r="J45" i="39"/>
  <c r="W45" i="39" s="1"/>
  <c r="BA551" i="3"/>
  <c r="AZ551" i="3" s="1"/>
  <c r="BA550" i="3"/>
  <c r="AZ550" i="3" s="1"/>
  <c r="BL548" i="3"/>
  <c r="AZ515" i="3"/>
  <c r="AZ569" i="3"/>
  <c r="AZ571" i="3"/>
  <c r="AZ579" i="3"/>
  <c r="AZ516" i="3"/>
  <c r="AZ524" i="3"/>
  <c r="AC11" i="35"/>
  <c r="B101" i="43"/>
  <c r="B79" i="43"/>
  <c r="F9" i="33"/>
  <c r="AA9" i="33" s="1"/>
  <c r="AA35" i="34"/>
  <c r="S35" i="34"/>
  <c r="AB31" i="35"/>
  <c r="J9" i="36"/>
  <c r="F23" i="36"/>
  <c r="F38" i="40"/>
  <c r="H38" i="40"/>
  <c r="G556" i="3"/>
  <c r="AZ413" i="3"/>
  <c r="AZ405" i="3"/>
  <c r="AZ407" i="3"/>
  <c r="AZ419" i="3"/>
  <c r="AZ422" i="3"/>
  <c r="AZ448" i="3"/>
  <c r="AZ458" i="3"/>
  <c r="AZ462"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71" i="3"/>
  <c r="AZ487" i="3"/>
  <c r="U35" i="33"/>
  <c r="BL585" i="3"/>
  <c r="B75" i="43"/>
  <c r="H24" i="36"/>
  <c r="G558" i="3"/>
  <c r="BL398" i="3"/>
  <c r="G402" i="3"/>
  <c r="BL403" i="3"/>
  <c r="AZ403" i="3" s="1"/>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BA455" i="3"/>
  <c r="AZ455" i="3" s="1"/>
  <c r="BA463" i="3"/>
  <c r="BA465" i="3"/>
  <c r="AZ465" i="3" s="1"/>
  <c r="BA469" i="3"/>
  <c r="AZ469" i="3" s="1"/>
  <c r="BA478" i="3"/>
  <c r="BA488" i="3"/>
  <c r="AZ488" i="3" s="1"/>
  <c r="BL550" i="3"/>
  <c r="BL15" i="3"/>
  <c r="AZ15" i="3" s="1"/>
  <c r="BA398" i="3"/>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AZ454" i="3" s="1"/>
  <c r="G456" i="3"/>
  <c r="BL456" i="3"/>
  <c r="G467" i="3"/>
  <c r="BL467" i="3"/>
  <c r="BL468" i="3"/>
  <c r="AZ468" i="3" s="1"/>
  <c r="BL472" i="3"/>
  <c r="G473" i="3"/>
  <c r="BL473" i="3"/>
  <c r="AZ473" i="3" s="1"/>
  <c r="BL474" i="3"/>
  <c r="G475" i="3"/>
  <c r="BA477" i="3"/>
  <c r="G481" i="3"/>
  <c r="BA482" i="3"/>
  <c r="BA484" i="3"/>
  <c r="AZ484" i="3" s="1"/>
  <c r="G490" i="3"/>
  <c r="BA491" i="3"/>
  <c r="AZ491" i="3" s="1"/>
  <c r="AZ217"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AZ226" i="3" s="1"/>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290" i="3"/>
  <c r="BL291" i="3"/>
  <c r="AZ291" i="3" s="1"/>
  <c r="BL293" i="3"/>
  <c r="BL294" i="3"/>
  <c r="BA297" i="3"/>
  <c r="BL297" i="3"/>
  <c r="BL300" i="3"/>
  <c r="BA302" i="3"/>
  <c r="BA117" i="3"/>
  <c r="BA134" i="3"/>
  <c r="BL139" i="3"/>
  <c r="AZ139" i="3" s="1"/>
  <c r="G140" i="3"/>
  <c r="BL141" i="3"/>
  <c r="BL143" i="3"/>
  <c r="AZ143" i="3" s="1"/>
  <c r="D56" i="71"/>
  <c r="T56" i="71"/>
  <c r="BL457" i="3"/>
  <c r="BL460" i="3"/>
  <c r="BL461" i="3"/>
  <c r="BL463" i="3"/>
  <c r="BA471" i="3"/>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BA126" i="3"/>
  <c r="AZ126" i="3" s="1"/>
  <c r="BA146" i="3"/>
  <c r="AZ146" i="3" s="1"/>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BL127" i="3"/>
  <c r="G128" i="3"/>
  <c r="BA129" i="3"/>
  <c r="BL133" i="3"/>
  <c r="AZ133" i="3" s="1"/>
  <c r="BL134" i="3"/>
  <c r="G150"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AZ60" i="3" s="1"/>
  <c r="BA61" i="3"/>
  <c r="BA68" i="3"/>
  <c r="BA73" i="3"/>
  <c r="BA79" i="3"/>
  <c r="AZ79" i="3" s="1"/>
  <c r="G82" i="3"/>
  <c r="G83" i="3"/>
  <c r="BA84" i="3"/>
  <c r="BL88" i="3"/>
  <c r="AZ88" i="3" s="1"/>
  <c r="G90" i="3"/>
  <c r="BL90" i="3"/>
  <c r="G98" i="3"/>
  <c r="G99" i="3"/>
  <c r="BA105" i="3"/>
  <c r="BA111" i="3"/>
  <c r="AA21" i="33"/>
  <c r="S21" i="33"/>
  <c r="AA21" i="37"/>
  <c r="S21" i="37"/>
  <c r="B88" i="43"/>
  <c r="AA21" i="34"/>
  <c r="D55" i="71"/>
  <c r="P65" i="71"/>
  <c r="P66" i="71"/>
  <c r="Y26" i="71"/>
  <c r="Z26" i="71" s="1"/>
  <c r="C28" i="71"/>
  <c r="Y28" i="71"/>
  <c r="Z28" i="71" s="1"/>
  <c r="Y25" i="71"/>
  <c r="Z25" i="71" s="1"/>
  <c r="Y35" i="71"/>
  <c r="Z35" i="71" s="1"/>
  <c r="Y37" i="71"/>
  <c r="Z37" i="71" s="1"/>
  <c r="X36" i="71"/>
  <c r="X35" i="71"/>
  <c r="X38" i="71"/>
  <c r="C47" i="71"/>
  <c r="D47" i="71" s="1"/>
  <c r="D46" i="71"/>
  <c r="AB26" i="71"/>
  <c r="BA45" i="3"/>
  <c r="AZ45" i="3" s="1"/>
  <c r="AZ100" i="3"/>
  <c r="D63" i="71"/>
  <c r="D67" i="71"/>
  <c r="C66" i="71"/>
  <c r="O67" i="71"/>
  <c r="Y27" i="71"/>
  <c r="Z27" i="71" s="1"/>
  <c r="AB32" i="71"/>
  <c r="AA34" i="71"/>
  <c r="AA30" i="71"/>
  <c r="AA37" i="71"/>
  <c r="C51" i="71"/>
  <c r="C60" i="71"/>
  <c r="D59" i="71"/>
  <c r="N67" i="71"/>
  <c r="B66" i="71"/>
  <c r="T80" i="71"/>
  <c r="C79" i="71"/>
  <c r="BL167" i="3"/>
  <c r="AZ167" i="3" s="1"/>
  <c r="BL178" i="3"/>
  <c r="BA180" i="3"/>
  <c r="AZ180" i="3" s="1"/>
  <c r="BL182" i="3"/>
  <c r="BA185" i="3"/>
  <c r="BL191" i="3"/>
  <c r="AZ191" i="3" s="1"/>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BL105" i="3"/>
  <c r="BL107" i="3"/>
  <c r="G112" i="3"/>
  <c r="BL112" i="3"/>
  <c r="F40" i="68"/>
  <c r="C21" i="68"/>
  <c r="AC29" i="39"/>
  <c r="W29" i="39"/>
  <c r="P27" i="6"/>
  <c r="F34" i="71"/>
  <c r="F35" i="71" s="1"/>
  <c r="F36" i="71" s="1"/>
  <c r="V36" i="71" s="1"/>
  <c r="AB33" i="71"/>
  <c r="T72" i="71"/>
  <c r="C71" i="71"/>
  <c r="U76" i="71"/>
  <c r="E75" i="71"/>
  <c r="E74" i="71"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AZ20" i="3" s="1"/>
  <c r="BL25" i="3"/>
  <c r="BL27" i="3"/>
  <c r="BA28" i="3"/>
  <c r="BA31" i="3"/>
  <c r="AZ31" i="3" s="1"/>
  <c r="BA32" i="3"/>
  <c r="BA38" i="3"/>
  <c r="BA41" i="3"/>
  <c r="AZ41" i="3" s="1"/>
  <c r="BA42" i="3"/>
  <c r="BL48" i="3"/>
  <c r="AZ48" i="3" s="1"/>
  <c r="BL54" i="3"/>
  <c r="BL55" i="3"/>
  <c r="AZ55" i="3" s="1"/>
  <c r="BA59" i="3"/>
  <c r="AZ59" i="3" s="1"/>
  <c r="BL61" i="3"/>
  <c r="BA64" i="3"/>
  <c r="AZ64" i="3" s="1"/>
  <c r="BL68" i="3"/>
  <c r="BA69" i="3"/>
  <c r="AZ69" i="3" s="1"/>
  <c r="BL73" i="3"/>
  <c r="AZ73" i="3" s="1"/>
  <c r="BA74" i="3"/>
  <c r="AZ74" i="3" s="1"/>
  <c r="BA78" i="3"/>
  <c r="BA80" i="3"/>
  <c r="BL84" i="3"/>
  <c r="BA89" i="3"/>
  <c r="BL94" i="3"/>
  <c r="AZ94" i="3" s="1"/>
  <c r="BL99" i="3"/>
  <c r="BL110" i="3"/>
  <c r="C40" i="68"/>
  <c r="AB29" i="39"/>
  <c r="U29" i="39"/>
  <c r="AA25" i="40"/>
  <c r="S25" i="40"/>
  <c r="E28" i="71"/>
  <c r="AA27" i="71"/>
  <c r="AA28" i="71"/>
  <c r="D38" i="71"/>
  <c r="C39" i="71"/>
  <c r="C31" i="71"/>
  <c r="Y30" i="71"/>
  <c r="Z30" i="71" s="1"/>
  <c r="AA38" i="71"/>
  <c r="AA39" i="71"/>
  <c r="D84" i="71"/>
  <c r="C83" i="71"/>
  <c r="BA75" i="3"/>
  <c r="G81" i="3"/>
  <c r="G85" i="3"/>
  <c r="BL85" i="3"/>
  <c r="BA86" i="3"/>
  <c r="AZ86" i="3" s="1"/>
  <c r="BA87" i="3"/>
  <c r="BA91" i="3"/>
  <c r="G96" i="3"/>
  <c r="BL97" i="3"/>
  <c r="AZ97" i="3" s="1"/>
  <c r="BL101" i="3"/>
  <c r="AZ101" i="3" s="1"/>
  <c r="BL102" i="3"/>
  <c r="AZ102" i="3" s="1"/>
  <c r="G104" i="3"/>
  <c r="G105" i="3"/>
  <c r="BL106" i="3"/>
  <c r="BA108" i="3"/>
  <c r="AZ108" i="3" s="1"/>
  <c r="BA110" i="3"/>
  <c r="AZ110" i="3" s="1"/>
  <c r="F3" i="35"/>
  <c r="B77" i="43"/>
  <c r="AA18" i="35"/>
  <c r="AB27" i="71"/>
  <c r="E79" i="71"/>
  <c r="E78" i="71" s="1"/>
  <c r="AB25" i="71"/>
  <c r="C43" i="71"/>
  <c r="C35" i="71"/>
  <c r="N68" i="71"/>
  <c r="E38" i="71"/>
  <c r="E39" i="71" s="1"/>
  <c r="E40" i="71" s="1"/>
  <c r="U40" i="71" s="1"/>
  <c r="B34" i="71"/>
  <c r="B35" i="71" s="1"/>
  <c r="B36" i="71" s="1"/>
  <c r="S36" i="71" s="1"/>
  <c r="X33" i="71"/>
  <c r="AB37" i="71"/>
  <c r="BA103" i="3"/>
  <c r="AZ103" i="3" s="1"/>
  <c r="BA104" i="3"/>
  <c r="BA106" i="3"/>
  <c r="AZ106" i="3" s="1"/>
  <c r="BL108" i="3"/>
  <c r="G110" i="3"/>
  <c r="BL111" i="3"/>
  <c r="C5" i="68"/>
  <c r="S28" i="71"/>
  <c r="X28" i="71"/>
  <c r="X32" i="71"/>
  <c r="F40" i="71"/>
  <c r="V40" i="71" s="1"/>
  <c r="AB38" i="71"/>
  <c r="F75" i="71"/>
  <c r="F74" i="71" s="1"/>
  <c r="E23" i="71"/>
  <c r="E22" i="71" s="1"/>
  <c r="E21" i="71" s="1"/>
  <c r="E20"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104"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C36" i="68"/>
  <c r="D9" i="69"/>
  <c r="C36" i="69"/>
  <c r="D9" i="68"/>
  <c r="M28" i="67"/>
  <c r="F42" i="15"/>
  <c r="F26" i="15"/>
  <c r="F16" i="15"/>
  <c r="D5" i="73"/>
  <c r="D3" i="73"/>
  <c r="D4" i="73"/>
  <c r="M22" i="15"/>
  <c r="M23" i="15"/>
  <c r="M22" i="67"/>
  <c r="F37" i="15"/>
  <c r="M28" i="15"/>
  <c r="M29" i="15"/>
  <c r="M9" i="15"/>
  <c r="C76" i="15"/>
  <c r="D7" i="73"/>
  <c r="M8" i="15"/>
  <c r="M9" i="67"/>
  <c r="L48" i="67"/>
  <c r="L47" i="67"/>
  <c r="M24" i="67"/>
  <c r="C16" i="67"/>
  <c r="F6" i="15"/>
  <c r="F9" i="15"/>
  <c r="F40" i="15"/>
  <c r="F8" i="67"/>
  <c r="F37" i="67"/>
  <c r="F38" i="67"/>
  <c r="U43" i="21" l="1"/>
  <c r="AB42" i="21"/>
  <c r="W42" i="21"/>
  <c r="P6" i="1"/>
  <c r="C13" i="12" s="1"/>
  <c r="K16" i="1"/>
  <c r="N94" i="46"/>
  <c r="J26" i="43"/>
  <c r="N370" i="46"/>
  <c r="F26" i="43"/>
  <c r="D26" i="43" s="1"/>
  <c r="C25" i="43" s="1"/>
  <c r="E26" i="43"/>
  <c r="F66" i="67"/>
  <c r="L58" i="67"/>
  <c r="Q60" i="67" s="1"/>
  <c r="M59" i="67"/>
  <c r="N59" i="67"/>
  <c r="L59" i="67"/>
  <c r="Q61" i="67" s="1"/>
  <c r="L56" i="67"/>
  <c r="I54" i="67"/>
  <c r="J53" i="67"/>
  <c r="F1" i="67" s="1"/>
  <c r="J57" i="67"/>
  <c r="J55" i="67" s="1"/>
  <c r="J58" i="67" s="1"/>
  <c r="Q50" i="67" s="1"/>
  <c r="C6" i="15"/>
  <c r="C32" i="15" s="1"/>
  <c r="F31" i="15"/>
  <c r="F65" i="67"/>
  <c r="Q71" i="15"/>
  <c r="C27" i="15"/>
  <c r="F31" i="67"/>
  <c r="F51" i="67"/>
  <c r="C49" i="67" s="1"/>
  <c r="C6" i="67"/>
  <c r="C32" i="67" s="1"/>
  <c r="F68" i="15"/>
  <c r="F65" i="15"/>
  <c r="AZ85" i="3"/>
  <c r="AZ75" i="3"/>
  <c r="AZ27" i="3"/>
  <c r="T60" i="71"/>
  <c r="D60" i="71"/>
  <c r="O65" i="71"/>
  <c r="O66" i="71"/>
  <c r="D66" i="71"/>
  <c r="D28" i="71"/>
  <c r="U28" i="71" s="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s="1"/>
  <c r="C36" i="71"/>
  <c r="D35" i="71"/>
  <c r="C82" i="71"/>
  <c r="D82" i="71" s="1"/>
  <c r="D83" i="71"/>
  <c r="AZ25" i="3"/>
  <c r="N65" i="71"/>
  <c r="N66" i="71"/>
  <c r="C52" i="71"/>
  <c r="D51" i="71"/>
  <c r="AB24" i="36"/>
  <c r="U24" i="36"/>
  <c r="AA23" i="36"/>
  <c r="S23" i="36"/>
  <c r="AB9" i="33"/>
  <c r="U9" i="33"/>
  <c r="U23" i="35"/>
  <c r="AB23" i="35"/>
  <c r="AA28" i="34"/>
  <c r="S28" i="34"/>
  <c r="U39" i="40"/>
  <c r="AB39" i="40"/>
  <c r="AC23" i="36"/>
  <c r="W23" i="36"/>
  <c r="J6" i="15"/>
  <c r="J18" i="15" s="1"/>
  <c r="G5" i="3"/>
  <c r="B3" i="3" s="1"/>
  <c r="E510" i="3" s="1"/>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s="1"/>
  <c r="C78" i="71"/>
  <c r="D78" i="71" s="1"/>
  <c r="D79" i="71"/>
  <c r="AZ111" i="3"/>
  <c r="AZ273" i="3"/>
  <c r="AZ461" i="3"/>
  <c r="AZ471" i="3"/>
  <c r="AZ297" i="3"/>
  <c r="AZ256" i="3"/>
  <c r="AZ435" i="3"/>
  <c r="AZ408" i="3"/>
  <c r="AB38" i="40"/>
  <c r="U38" i="40"/>
  <c r="U12" i="35"/>
  <c r="AB12" i="35"/>
  <c r="G16" i="1"/>
  <c r="F10" i="39" s="1"/>
  <c r="AA10" i="39" s="1"/>
  <c r="J7" i="37"/>
  <c r="W7" i="37" s="1"/>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F27" i="68"/>
  <c r="AE7" i="1"/>
  <c r="AE8" i="1"/>
  <c r="AE12" i="1"/>
  <c r="AE10" i="1"/>
  <c r="G1" i="73"/>
  <c r="AE6" i="1"/>
  <c r="C16" i="15"/>
  <c r="F10" i="40" l="1"/>
  <c r="S10" i="40" s="1"/>
  <c r="S10" i="39"/>
  <c r="H10" i="40"/>
  <c r="AB10" i="40" s="1"/>
  <c r="H10" i="39"/>
  <c r="U10" i="39" s="1"/>
  <c r="J10" i="40"/>
  <c r="AC10" i="40" s="1"/>
  <c r="E3" i="6"/>
  <c r="F59" i="67"/>
  <c r="J10" i="39"/>
  <c r="W10" i="39" s="1"/>
  <c r="Q74" i="67"/>
  <c r="Q73" i="67"/>
  <c r="Q52" i="67"/>
  <c r="J5" i="67"/>
  <c r="J24" i="67" s="1"/>
  <c r="J5" i="15"/>
  <c r="J24" i="15"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s="1"/>
  <c r="E6" i="3" s="1"/>
  <c r="E198" i="3"/>
  <c r="E309" i="3"/>
  <c r="E63" i="3"/>
  <c r="E233" i="3"/>
  <c r="E67" i="3"/>
  <c r="E310" i="3"/>
  <c r="E267" i="3"/>
  <c r="E64" i="3"/>
  <c r="E409" i="3"/>
  <c r="E389" i="3"/>
  <c r="E241" i="3"/>
  <c r="E95" i="3"/>
  <c r="E417" i="3"/>
  <c r="E554" i="3"/>
  <c r="E449" i="3"/>
  <c r="E442" i="3"/>
  <c r="E575" i="3"/>
  <c r="E536" i="3"/>
  <c r="T40" i="71"/>
  <c r="D40" i="71"/>
  <c r="C26" i="71"/>
  <c r="D26" i="71" s="1"/>
  <c r="D27" i="71"/>
  <c r="D36" i="71"/>
  <c r="T36" i="71"/>
  <c r="R36" i="36"/>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15"/>
  <c r="F41" i="67"/>
  <c r="F69" i="67" l="1"/>
  <c r="AC10" i="39"/>
  <c r="F25" i="12"/>
  <c r="C26" i="12" s="1"/>
  <c r="D25" i="12"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I54" i="34" l="1"/>
  <c r="J54" i="34" s="1"/>
  <c r="E54" i="34"/>
  <c r="F54" i="34" s="1"/>
  <c r="C26" i="11"/>
  <c r="D22" i="11" s="1"/>
  <c r="C44" i="68"/>
  <c r="D41" i="68"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C19" i="9"/>
  <c r="L51" i="67"/>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19" i="9"/>
  <c r="C20" i="9"/>
  <c r="D2" i="35"/>
  <c r="C103" i="9" l="1"/>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20" i="9"/>
  <c r="AO6" i="1"/>
  <c r="AO11" i="1"/>
  <c r="AO8" i="1"/>
  <c r="AO10" i="1"/>
  <c r="AO12" i="1"/>
  <c r="AO9" i="1"/>
  <c r="G20" i="9" l="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81" i="9" l="1"/>
  <c r="E80" i="9"/>
  <c r="C80" i="9"/>
  <c r="D9" i="52"/>
  <c r="D123" i="9"/>
  <c r="C73" i="9"/>
  <c r="C78" i="9"/>
  <c r="M54" i="9"/>
  <c r="D56" i="9"/>
  <c r="D58" i="9"/>
  <c r="C97" i="9"/>
  <c r="B20" i="72"/>
  <c r="N61" i="9"/>
  <c r="N59" i="9"/>
  <c r="N60" i="9"/>
  <c r="C68" i="9"/>
  <c r="D54" i="9"/>
  <c r="B47" i="72"/>
  <c r="D4" i="52"/>
  <c r="D5" i="53"/>
  <c r="D6" i="53"/>
  <c r="B22" i="72"/>
  <c r="C86" i="9"/>
  <c r="C93" i="9"/>
  <c r="B30" i="72"/>
  <c r="E4" i="52"/>
  <c r="B48" i="72"/>
  <c r="B52" i="72"/>
  <c r="G4" i="52"/>
  <c r="F4" i="52"/>
  <c r="B51" i="72"/>
  <c r="C6" i="74"/>
  <c r="E118" i="9"/>
  <c r="D118" i="9"/>
  <c r="D119" i="9"/>
  <c r="D5" i="52"/>
  <c r="B49" i="72"/>
  <c r="C72" i="9"/>
  <c r="C79" i="9"/>
  <c r="C81" i="9"/>
  <c r="H5" i="52"/>
  <c r="H119" i="9"/>
  <c r="C5" i="74"/>
  <c r="H4" i="52"/>
  <c r="C104" i="9"/>
  <c r="C64" i="9"/>
  <c r="C63" i="9"/>
  <c r="C67" i="9"/>
  <c r="D59" i="9"/>
  <c r="M55" i="9"/>
  <c r="C85" i="9"/>
  <c r="C95" i="9"/>
  <c r="C96" i="9"/>
  <c r="E96" i="9"/>
  <c r="E97" i="9"/>
  <c r="M48" i="9"/>
  <c r="I4" i="52"/>
  <c r="C105" i="9"/>
  <c r="D13" i="53"/>
  <c r="D14" i="53"/>
  <c r="B32" i="72"/>
  <c r="D52" i="9"/>
  <c r="D53" i="9"/>
  <c r="H108" i="9"/>
  <c r="D15" i="53"/>
  <c r="B31" i="72"/>
  <c r="H102" i="9"/>
  <c r="D7" i="53"/>
  <c r="B21" i="72"/>
  <c r="N58" i="9"/>
  <c r="D45" i="9"/>
  <c r="D55" i="9"/>
  <c r="M53" i="9"/>
  <c r="N57" i="9"/>
  <c r="P57" i="9"/>
  <c r="G118" i="9"/>
  <c r="F118" i="9"/>
  <c r="F119" i="9"/>
  <c r="F5" i="52"/>
  <c r="B53"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<sst xmlns="http://schemas.openxmlformats.org/spreadsheetml/2006/main" count="8395" uniqueCount="3515">
  <si>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</si>
  <si>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</si>
  <si>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</si>
  <si>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</si>
  <si>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</si>
  <si>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</si>
  <si>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</si>
  <si>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</si>
  <si>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</si>
  <si>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</si>
  <si>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</si>
  <si>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</si>
  <si>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</si>
  <si>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</si>
  <si>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</si>
  <si>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</si>
  <si>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</si>
  <si>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</si>
  <si>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</si>
  <si>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</si>
  <si>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</si>
  <si>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</si>
  <si>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</si>
  <si>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</si>
  <si>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</si>
  <si>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</si>
  <si>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</si>
  <si>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</si>
  <si>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</si>
  <si>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</si>
  <si>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</si>
  <si>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</si>
  <si>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</si>
  <si>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</si>
  <si>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</si>
  <si>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</si>
  <si>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</si>
  <si>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</si>
  <si>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</si>
  <si>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</si>
  <si>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</si>
  <si>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</si>
  <si>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</si>
  <si>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</si>
  <si>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</si>
  <si>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</si>
  <si>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</si>
  <si>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</si>
  <si>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</si>
  <si>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</si>
  <si>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</si>
  <si>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</si>
  <si>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</si>
  <si>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</si>
  <si>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</si>
  <si>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</si>
  <si>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</si>
  <si>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</si>
  <si>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</si>
  <si>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</si>
  <si>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</si>
  <si>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</si>
  <si>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</si>
  <si>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</si>
  <si>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</si>
  <si>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</si>
  <si>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</si>
  <si>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</si>
  <si>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</si>
  <si>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</si>
  <si>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</si>
  <si>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</si>
  <si>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</si>
  <si>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</si>
  <si>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</si>
  <si>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</si>
  <si>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</si>
  <si>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</si>
  <si>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</si>
  <si>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</si>
  <si>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</si>
  <si>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</si>
  <si>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</si>
  <si>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</si>
  <si>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</si>
  <si>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</si>
  <si>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</si>
  <si>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</si>
  <si>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</si>
  <si>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</si>
  <si>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</si>
  <si>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</si>
  <si>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</si>
  <si>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</si>
  <si>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</si>
  <si>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</si>
  <si>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</si>
  <si>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</si>
  <si>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</si>
  <si>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</si>
  <si>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</si>
  <si>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</si>
  <si>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</si>
  <si>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</si>
  <si>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</si>
  <si>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</si>
  <si>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</si>
  <si>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</si>
  <si>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</si>
  <si>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</si>
  <si>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</si>
  <si>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</si>
  <si>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</si>
  <si>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</si>
  <si>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</si>
  <si>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</si>
  <si>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</si>
  <si>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</si>
  <si>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</si>
  <si>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</si>
  <si>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</si>
  <si>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</si>
  <si>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</si>
  <si>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</si>
  <si>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</si>
  <si>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</si>
  <si>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</si>
  <si>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</si>
  <si>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</si>
  <si>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</si>
  <si>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</si>
  <si>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</si>
  <si>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</si>
  <si>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</si>
  <si>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</si>
  <si>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</si>
  <si>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</si>
  <si>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</si>
  <si>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</si>
  <si>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</si>
  <si>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</si>
  <si>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</si>
  <si>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</si>
  <si>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</si>
  <si>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</si>
  <si>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</si>
  <si>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</si>
  <si>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</si>
  <si>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</si>
  <si>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</si>
  <si>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</si>
  <si>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</si>
  <si>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</si>
  <si>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</si>
  <si>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</si>
  <si>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</si>
  <si>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</si>
  <si>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</si>
  <si>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</si>
  <si>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</si>
  <si>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</si>
  <si>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</si>
  <si>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</si>
  <si>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</si>
  <si>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</si>
  <si>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</si>
  <si>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</si>
  <si>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</si>
  <si>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</si>
  <si>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</si>
  <si>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</si>
  <si>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</si>
  <si>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</si>
  <si>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</si>
  <si>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</si>
  <si>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</si>
  <si>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</si>
  <si>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</si>
  <si>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</si>
  <si>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</si>
  <si>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</si>
  <si>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</si>
  <si>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</si>
  <si>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</si>
  <si>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</si>
  <si>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</si>
  <si>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</si>
  <si>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</si>
  <si>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</si>
  <si>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</si>
  <si>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</si>
  <si>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</si>
  <si>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</si>
  <si>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</si>
  <si>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</si>
  <si>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</si>
  <si>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</si>
  <si>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</si>
  <si>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</si>
  <si>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</si>
  <si>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</si>
  <si>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</si>
  <si>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</si>
  <si>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</si>
  <si>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</si>
  <si>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</si>
  <si>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</si>
  <si>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</si>
  <si>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</si>
  <si>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</si>
  <si>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</si>
  <si>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</si>
  <si>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</si>
  <si>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</si>
  <si>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</si>
  <si>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</si>
  <si>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</si>
  <si>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</si>
  <si>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</si>
  <si>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</si>
  <si>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</si>
  <si>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</si>
  <si>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</si>
  <si>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</si>
  <si>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</si>
  <si>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</si>
  <si>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</si>
  <si>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</si>
  <si>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</si>
  <si>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</si>
  <si>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</si>
  <si>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</si>
  <si>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</si>
  <si>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</si>
  <si>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</si>
  <si>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</si>
  <si>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</si>
  <si>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</si>
  <si>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</si>
  <si>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</si>
  <si>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</si>
  <si>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</si>
  <si>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</si>
  <si>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</si>
  <si>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</si>
  <si>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</si>
  <si>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</si>
  <si>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</si>
  <si>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</si>
  <si>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</si>
  <si>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</si>
  <si>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</si>
  <si>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</si>
  <si>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</si>
  <si>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</si>
  <si>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</si>
  <si>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</si>
  <si>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</si>
  <si>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</si>
  <si>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</si>
  <si>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</si>
  <si>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</si>
  <si>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</si>
  <si>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</si>
  <si>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</si>
  <si>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</si>
  <si>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</si>
  <si>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</si>
  <si>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</si>
  <si>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</si>
  <si>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</si>
  <si>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</si>
  <si>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</si>
  <si>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</si>
  <si>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</si>
  <si>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</si>
  <si>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</si>
  <si>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</si>
  <si>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</si>
  <si>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</si>
  <si>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</si>
  <si>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</si>
  <si>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</si>
  <si>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</si>
  <si>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</si>
  <si>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</si>
  <si>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</si>
  <si>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</si>
  <si>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</si>
  <si>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</si>
  <si>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</si>
  <si>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</si>
  <si>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</si>
  <si>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</si>
  <si>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</si>
  <si>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</si>
  <si>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</si>
  <si>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</si>
  <si>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</si>
  <si>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</si>
  <si>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</si>
  <si>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</si>
  <si>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</si>
  <si>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</si>
  <si>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</si>
  <si>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</si>
  <si>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</si>
  <si>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</si>
  <si>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</si>
  <si>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</si>
  <si>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</si>
  <si>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</si>
  <si>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</si>
  <si>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</si>
  <si>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</si>
  <si>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</si>
  <si>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</si>
  <si>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</si>
  <si>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</si>
  <si>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</si>
  <si>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</si>
  <si>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</si>
  <si>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</si>
  <si>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</si>
  <si>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</si>
  <si>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</si>
  <si>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</si>
  <si>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</si>
  <si>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</si>
  <si>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</si>
  <si>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</si>
  <si>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</si>
  <si>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</si>
  <si>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</si>
  <si>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</si>
  <si>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</si>
  <si>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</si>
  <si>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</si>
  <si>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</si>
  <si>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</si>
  <si>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</si>
  <si>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</si>
  <si>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</si>
  <si>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</si>
  <si>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</si>
  <si>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</si>
  <si>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</si>
  <si>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</si>
  <si>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</si>
  <si>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</si>
  <si>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</si>
  <si>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</si>
  <si>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</si>
  <si>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</si>
  <si>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</si>
  <si>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</si>
  <si>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</si>
  <si>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</si>
  <si>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</si>
  <si>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</si>
  <si>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</si>
  <si>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</si>
  <si>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</si>
  <si>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</si>
  <si>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</si>
  <si>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</si>
  <si>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</si>
  <si>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</si>
  <si>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</si>
  <si>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</si>
  <si>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</si>
  <si>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</si>
  <si>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</si>
  <si>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</si>
  <si>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</si>
  <si>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</si>
  <si>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</si>
  <si>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</si>
  <si>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</si>
  <si>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</si>
  <si>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</si>
  <si>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</si>
  <si>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</si>
  <si>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</si>
  <si>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</si>
  <si>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</si>
  <si>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</si>
  <si>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</si>
  <si>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</si>
  <si>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</si>
  <si>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</si>
  <si>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</si>
  <si>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</si>
  <si>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</si>
  <si>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</si>
  <si>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</si>
  <si>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</si>
  <si>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</si>
  <si>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</si>
  <si>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</si>
  <si>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</si>
  <si>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</si>
  <si>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</si>
  <si>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</si>
  <si>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</si>
  <si>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</si>
  <si>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</si>
  <si>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</si>
  <si>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</si>
  <si>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</si>
  <si>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</si>
  <si>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</si>
  <si>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</si>
  <si>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</si>
  <si>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</si>
  <si>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</si>
  <si>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</si>
  <si>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</si>
  <si>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</si>
  <si>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</si>
  <si>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</si>
  <si>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</si>
  <si>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</si>
  <si>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</si>
  <si>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</si>
  <si>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</si>
  <si>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</si>
  <si>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</si>
  <si>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</si>
  <si>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</si>
  <si>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</si>
  <si>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</si>
  <si>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</si>
  <si>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</si>
  <si>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</si>
  <si>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</si>
  <si>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</si>
  <si>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</si>
  <si>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</si>
  <si>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</si>
  <si>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</si>
  <si>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</si>
  <si>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</si>
  <si>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</si>
  <si>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</si>
  <si>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</si>
  <si>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</si>
  <si>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</si>
  <si>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</si>
  <si>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</si>
  <si>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</si>
  <si>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</si>
  <si>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</si>
  <si>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</si>
  <si>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</si>
  <si>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</si>
  <si>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</si>
  <si>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</si>
  <si>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</si>
  <si>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</si>
  <si>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</si>
  <si>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</si>
  <si>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</si>
  <si>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</si>
  <si>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</si>
  <si>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</si>
  <si>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</si>
  <si>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</si>
  <si>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</si>
  <si>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</si>
  <si>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</si>
  <si>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</si>
  <si>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</si>
  <si>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</si>
  <si>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</si>
  <si>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</si>
  <si>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</si>
  <si>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</si>
  <si>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</si>
  <si>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</si>
  <si>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</si>
  <si>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</si>
  <si>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</si>
  <si>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</si>
  <si>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</si>
  <si>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</si>
  <si>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</si>
  <si>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</si>
  <si>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</si>
  <si>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</si>
  <si>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</si>
  <si>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</si>
  <si>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</si>
  <si>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</si>
  <si>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</si>
  <si>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</si>
  <si>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</si>
  <si>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</si>
  <si>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</si>
  <si>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</si>
  <si>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</si>
  <si>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</si>
  <si>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</si>
  <si>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</si>
  <si>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</si>
  <si>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</si>
  <si>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</si>
  <si>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</si>
  <si>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</si>
  <si>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</si>
  <si>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</si>
  <si>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</si>
  <si>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</si>
  <si>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</si>
  <si>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</si>
  <si>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</si>
  <si>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</si>
  <si>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</si>
  <si>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</si>
  <si>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</si>
  <si>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</si>
  <si>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</si>
  <si>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</si>
  <si>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</si>
  <si>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</si>
  <si>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</si>
  <si>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</si>
  <si>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</si>
  <si>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</si>
  <si>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</si>
  <si>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</si>
  <si>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</si>
  <si>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</si>
  <si>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</si>
  <si>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</si>
  <si>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</si>
  <si>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</si>
  <si>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</si>
  <si>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</si>
  <si>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</si>
  <si>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</si>
  <si>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</si>
  <si>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</si>
  <si>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</si>
  <si>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</si>
  <si>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</si>
  <si>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</si>
  <si>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</si>
  <si>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</si>
  <si>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</si>
  <si>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</si>
  <si>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</si>
  <si>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</si>
  <si>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</si>
  <si>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</si>
  <si>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</si>
  <si>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</si>
  <si>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</si>
  <si>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</si>
  <si>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</si>
  <si>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</si>
  <si>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</si>
  <si>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</si>
  <si>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</si>
  <si>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</si>
  <si>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</si>
  <si>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</si>
  <si>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</si>
  <si>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</si>
  <si>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</si>
  <si>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</si>
  <si>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</si>
  <si>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</si>
  <si>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</si>
  <si>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</si>
  <si>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</si>
  <si>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</si>
  <si>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</si>
  <si>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</si>
  <si>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</si>
  <si>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</si>
  <si>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</si>
  <si>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</si>
  <si>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</si>
  <si>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</si>
  <si>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</si>
  <si>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</si>
  <si>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</si>
  <si>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</si>
  <si>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</si>
  <si>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</si>
  <si>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</si>
  <si>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</si>
  <si>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</si>
  <si>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</si>
  <si>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</si>
  <si>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</si>
  <si>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</si>
  <si>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</si>
  <si>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</si>
  <si>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</si>
  <si>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</si>
  <si>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</si>
  <si>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</si>
  <si>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</si>
  <si>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</si>
  <si>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</si>
  <si>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</si>
  <si>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</si>
  <si>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</si>
  <si>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</si>
  <si>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</si>
  <si>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</si>
  <si>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</si>
  <si>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</si>
  <si>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</si>
  <si>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</si>
  <si>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</si>
  <si>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</si>
  <si>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</si>
  <si>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</si>
  <si>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</si>
  <si>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</si>
  <si>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</si>
  <si>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</si>
  <si>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</si>
  <si>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</si>
  <si>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</si>
  <si>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</si>
  <si>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</si>
  <si>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</si>
  <si>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</si>
  <si>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</si>
  <si>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</si>
  <si>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</si>
  <si>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</si>
  <si>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</si>
  <si>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</si>
  <si>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</si>
  <si>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</si>
  <si>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</si>
  <si>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</si>
  <si>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</si>
  <si>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</si>
  <si>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</si>
  <si>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</si>
  <si>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</si>
  <si>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</si>
  <si>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</si>
  <si>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</si>
  <si>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</si>
  <si>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</si>
  <si>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</si>
  <si>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</si>
  <si>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</si>
  <si>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</si>
  <si>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</si>
  <si>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</si>
  <si>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</si>
  <si>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</si>
  <si>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</si>
  <si>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</si>
  <si>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</si>
  <si>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</si>
  <si>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</si>
  <si>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</si>
  <si>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</si>
  <si>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</si>
  <si>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</si>
  <si>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</si>
  <si>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</si>
  <si>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</si>
  <si>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</si>
  <si>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</si>
  <si>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</si>
  <si>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</si>
  <si>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</si>
  <si>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</si>
  <si>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</si>
  <si>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</si>
  <si>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</si>
  <si>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</si>
  <si>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</si>
  <si>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</si>
  <si>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</si>
  <si>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</si>
  <si>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</si>
  <si>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</si>
  <si>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</si>
  <si>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</si>
  <si>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</si>
  <si>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</si>
  <si>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</si>
  <si>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</si>
  <si>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</si>
  <si>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</si>
  <si>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</si>
  <si>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</si>
  <si>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</si>
  <si>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</si>
  <si>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</si>
  <si>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</si>
  <si>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</si>
  <si>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</si>
  <si>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</si>
  <si>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</si>
  <si>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</si>
  <si>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</si>
  <si>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</si>
  <si>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</si>
  <si>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</si>
  <si>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</si>
  <si>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</si>
  <si>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</si>
  <si>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</si>
  <si>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</si>
  <si>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</si>
  <si>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</si>
  <si>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</si>
  <si>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</si>
  <si>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</si>
  <si>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</si>
  <si>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</si>
  <si>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</si>
  <si>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</si>
  <si>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</si>
  <si>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</si>
  <si>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</si>
  <si>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</si>
  <si>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</si>
  <si>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</si>
  <si>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</si>
  <si>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</si>
  <si>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</si>
  <si>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</si>
  <si>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</si>
  <si>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</si>
  <si>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</si>
  <si>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</si>
  <si>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</si>
  <si>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</si>
  <si>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</si>
  <si>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</si>
  <si>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</si>
  <si>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</si>
  <si>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</si>
  <si>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</si>
  <si>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</si>
  <si>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</si>
  <si>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</si>
  <si>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</si>
  <si>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</si>
  <si>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</si>
  <si>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</si>
  <si>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</si>
  <si>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</si>
  <si>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</si>
  <si>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</si>
  <si>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</si>
  <si>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</si>
  <si>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</si>
  <si>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</si>
  <si>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</si>
  <si>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</si>
  <si>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</si>
  <si>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</si>
  <si>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</si>
  <si>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</si>
  <si>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</si>
  <si>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</si>
  <si>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</si>
  <si>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</si>
  <si>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</si>
  <si>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</si>
  <si>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</si>
  <si>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</si>
  <si>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</si>
  <si>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</si>
  <si>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</si>
  <si>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</si>
  <si>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</si>
  <si>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</si>
  <si>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</si>
  <si>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</si>
  <si>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</si>
  <si>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</si>
  <si>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</si>
  <si>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</si>
  <si>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</si>
  <si>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</si>
  <si>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</si>
  <si>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</si>
  <si>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</si>
  <si>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</si>
  <si>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</si>
  <si>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</si>
  <si>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</si>
  <si>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</si>
  <si>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</si>
  <si>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</si>
  <si>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</si>
  <si>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</si>
  <si>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</si>
  <si>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</si>
  <si>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</si>
  <si>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</si>
  <si>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</si>
  <si>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</si>
  <si>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</si>
  <si>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</si>
  <si>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</si>
  <si>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</si>
  <si>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</si>
  <si>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</si>
  <si>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</si>
  <si>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</si>
  <si>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</si>
  <si>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</si>
  <si>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</si>
  <si>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</si>
  <si>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</si>
  <si>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</si>
  <si>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</si>
  <si>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</si>
  <si>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</si>
  <si>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</si>
  <si>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</si>
  <si>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</si>
  <si>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</si>
  <si>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</si>
  <si>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</si>
  <si>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</si>
  <si>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</si>
  <si>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</si>
  <si>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</si>
  <si>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</si>
  <si>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</si>
  <si>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</si>
  <si>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</si>
  <si>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</si>
  <si>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</si>
  <si>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</si>
  <si>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</si>
  <si>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</si>
  <si>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</si>
  <si>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</si>
  <si>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</si>
  <si>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</si>
  <si>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</si>
  <si>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</si>
  <si>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</si>
  <si>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</si>
  <si>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</si>
  <si>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</si>
  <si>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</si>
  <si>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</si>
  <si>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</si>
  <si>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</si>
  <si>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</si>
  <si>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</si>
  <si>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</si>
  <si>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</si>
  <si>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</si>
  <si>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</si>
  <si>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</si>
  <si>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</si>
  <si>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</si>
  <si>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</si>
  <si>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</si>
  <si>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</si>
  <si>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</si>
  <si>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</si>
  <si>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</si>
  <si>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</si>
  <si>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</si>
  <si>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</si>
  <si>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</si>
  <si>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</si>
  <si>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</si>
  <si>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</si>
  <si>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</si>
  <si>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</si>
  <si>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</si>
  <si>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</si>
  <si>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</si>
  <si>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</si>
  <si>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</si>
  <si>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</si>
  <si>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</si>
  <si>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</si>
  <si>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</si>
  <si>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</si>
  <si>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</si>
  <si>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</si>
  <si>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</si>
  <si>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</si>
  <si>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</si>
  <si>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</si>
  <si>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</si>
  <si>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</si>
  <si>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</si>
  <si>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</si>
  <si>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</si>
  <si>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</si>
  <si>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</si>
  <si>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</si>
  <si>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</si>
  <si>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</si>
  <si>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</si>
  <si>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</si>
  <si>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</si>
  <si>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</si>
  <si>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</si>
  <si>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</si>
  <si>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</si>
  <si>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</si>
  <si>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</si>
  <si>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</si>
  <si>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</si>
  <si>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</si>
  <si>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</si>
  <si>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</si>
  <si>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</si>
  <si>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</si>
  <si>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</si>
  <si>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</si>
  <si>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</si>
  <si>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</si>
  <si>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</si>
  <si>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</si>
  <si>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</si>
  <si>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</si>
  <si>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</si>
  <si>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</si>
  <si>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</si>
  <si>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</si>
  <si>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</si>
  <si>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</si>
  <si>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</si>
  <si>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</si>
  <si>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</si>
  <si>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</si>
  <si>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</si>
  <si>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</si>
  <si>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</si>
  <si>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</si>
  <si>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</si>
  <si>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</si>
  <si>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</si>
  <si>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</si>
  <si>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</si>
  <si>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</si>
  <si>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</si>
  <si>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</si>
  <si>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</si>
  <si>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</si>
  <si>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</si>
  <si>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</si>
  <si>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</si>
  <si>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</si>
  <si>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</si>
  <si>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</si>
  <si>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</si>
  <si>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</si>
  <si>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</si>
  <si>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</si>
  <si>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</si>
  <si>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</si>
  <si>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</si>
  <si>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</si>
  <si>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</si>
  <si>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</si>
  <si>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</si>
  <si>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</si>
  <si>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</si>
  <si>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</si>
  <si>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</si>
  <si>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</si>
  <si>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</si>
  <si>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</si>
  <si>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</si>
  <si>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</si>
  <si>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</si>
  <si>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</si>
  <si>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</si>
  <si>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</si>
  <si>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</si>
  <si>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</si>
  <si>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</si>
  <si>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</si>
  <si>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</si>
  <si>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</si>
  <si>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</si>
  <si>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</si>
  <si>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</si>
  <si>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</si>
  <si>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</si>
  <si>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</si>
  <si>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</si>
  <si>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</si>
  <si>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</si>
  <si>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</si>
  <si>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</si>
  <si>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</si>
  <si>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</si>
  <si>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</si>
  <si>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</si>
  <si>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</si>
  <si>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</si>
  <si>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</si>
  <si>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</si>
  <si>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</si>
  <si>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</si>
  <si>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</si>
  <si>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</si>
  <si>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</si>
  <si>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</si>
  <si>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</si>
  <si>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</si>
  <si>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</si>
  <si>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</si>
  <si>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</si>
  <si>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</si>
  <si>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</si>
  <si>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</si>
  <si>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</si>
  <si>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</si>
  <si>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</si>
  <si>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</si>
  <si>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</si>
  <si>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</si>
  <si>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</si>
  <si>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</si>
  <si>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</si>
  <si>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</si>
  <si>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</si>
  <si>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</si>
  <si>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</si>
  <si>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</si>
  <si>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</si>
  <si>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</si>
  <si>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</si>
  <si>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</si>
  <si>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</si>
  <si>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</si>
  <si>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</si>
  <si>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</si>
  <si>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</si>
  <si>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</si>
  <si>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</si>
  <si>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</si>
  <si>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</si>
  <si>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</si>
  <si>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</si>
  <si>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</si>
  <si>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</si>
  <si>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</si>
  <si>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</si>
  <si>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</si>
  <si>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</si>
  <si>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</si>
  <si>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</si>
  <si>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</si>
  <si>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</si>
  <si>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</si>
  <si>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</si>
  <si>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</si>
  <si>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</si>
  <si>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</si>
  <si>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</si>
  <si>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</si>
  <si>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</si>
  <si>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</si>
  <si>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</si>
  <si>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</si>
  <si>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</si>
  <si>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</si>
  <si>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</si>
  <si>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</si>
  <si>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</si>
  <si>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</si>
  <si>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</si>
  <si>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</si>
  <si>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</si>
  <si>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</si>
  <si>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</si>
  <si>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</si>
  <si>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</si>
  <si>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</si>
  <si>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</si>
  <si>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</si>
  <si>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</si>
  <si>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</si>
  <si>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</si>
  <si>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</si>
  <si>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</si>
  <si>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</si>
  <si>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</si>
  <si>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</si>
  <si>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</si>
  <si>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</si>
  <si>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</si>
  <si>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</si>
  <si>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</si>
  <si>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</si>
  <si>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</si>
  <si>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</si>
  <si>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</si>
  <si>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</si>
  <si>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</si>
  <si>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</si>
  <si>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</si>
  <si>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</si>
  <si>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</si>
  <si>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</si>
  <si>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</si>
  <si>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</si>
  <si>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</si>
  <si>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</si>
  <si>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</si>
  <si>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</si>
  <si>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</si>
  <si>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</si>
  <si>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</si>
  <si>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</si>
  <si>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</si>
  <si>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</si>
  <si>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</si>
  <si>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</si>
  <si>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</si>
  <si>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</si>
  <si>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</si>
  <si>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</si>
  <si>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</si>
  <si>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</si>
  <si>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</si>
  <si>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</si>
  <si>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</si>
  <si>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</si>
  <si>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</si>
  <si>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</si>
  <si>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</si>
  <si>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</si>
  <si>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</si>
  <si>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</si>
  <si>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</si>
  <si>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</si>
  <si>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</si>
  <si>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</si>
  <si>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</si>
  <si>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</si>
  <si>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</si>
  <si>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</si>
  <si>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</si>
  <si>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</si>
  <si>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</si>
  <si>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</si>
  <si>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</si>
  <si>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</si>
  <si>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</si>
  <si>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</si>
  <si>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</si>
  <si>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</si>
  <si>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</si>
  <si>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</si>
  <si>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</si>
  <si>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</si>
  <si>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</si>
  <si>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</si>
  <si>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</si>
  <si>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</si>
  <si>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</si>
  <si>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</si>
  <si>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</si>
  <si>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</si>
  <si>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</si>
  <si>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</si>
  <si>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</si>
  <si>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</si>
  <si>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</si>
  <si>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</si>
  <si>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</si>
  <si>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</si>
  <si>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</si>
  <si>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</si>
  <si>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</si>
  <si>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</si>
  <si>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</si>
  <si>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</si>
  <si>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</si>
  <si>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</si>
  <si>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</si>
  <si>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</si>
  <si>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</si>
  <si>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</si>
  <si>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</si>
  <si>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</si>
  <si>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</si>
  <si>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</si>
  <si>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</si>
  <si>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</si>
  <si>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</si>
  <si>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</si>
  <si>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</si>
  <si>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</si>
  <si>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</si>
  <si>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</si>
  <si>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</si>
  <si>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</si>
  <si>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</si>
  <si>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</si>
  <si>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</si>
  <si>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</si>
  <si>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</si>
  <si>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</si>
  <si>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</si>
  <si>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</si>
  <si>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</si>
  <si>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</si>
  <si>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</si>
  <si>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</si>
  <si>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</si>
  <si>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</si>
  <si>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</si>
  <si>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</si>
  <si>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</si>
  <si>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</si>
  <si>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</si>
  <si>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</si>
  <si>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</si>
  <si>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</si>
  <si>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</si>
  <si>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</si>
  <si>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</si>
  <si>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</si>
  <si>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</si>
  <si>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</si>
  <si>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</si>
  <si>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</si>
  <si>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</si>
  <si>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</si>
  <si>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</si>
  <si>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</si>
  <si>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</si>
  <si>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</si>
  <si>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</si>
  <si>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</si>
  <si>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</si>
  <si>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</si>
  <si>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</si>
  <si>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</si>
  <si>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</si>
  <si>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</si>
  <si>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</si>
  <si>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</si>
  <si>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</si>
  <si>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</si>
  <si>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</si>
  <si>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</si>
  <si>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</si>
  <si>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</si>
  <si>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</si>
  <si>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</si>
  <si>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</si>
  <si>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</si>
  <si>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</si>
  <si>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</si>
  <si>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</si>
  <si>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</si>
  <si>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</si>
  <si>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</si>
  <si>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</si>
  <si>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</si>
  <si>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</si>
  <si>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</si>
  <si>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</si>
  <si>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</si>
  <si>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</si>
  <si>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</si>
  <si>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</si>
  <si>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</si>
  <si>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</si>
  <si>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</si>
  <si>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</si>
  <si>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</si>
  <si>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</si>
  <si>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</si>
  <si>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</si>
  <si>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</si>
  <si>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</si>
  <si>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</si>
  <si>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</si>
  <si>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</si>
  <si>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</si>
  <si>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</si>
  <si>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</si>
  <si>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</si>
  <si>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</si>
  <si>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</si>
  <si>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</si>
  <si>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</si>
  <si>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</si>
  <si>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</si>
  <si>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</si>
  <si>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</si>
  <si>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</si>
  <si>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</si>
  <si>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</si>
  <si>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</si>
  <si>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</si>
  <si>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</si>
  <si>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</si>
  <si>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</si>
  <si>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</si>
  <si>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</si>
  <si>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</si>
  <si>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</si>
  <si>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</si>
  <si>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</si>
  <si>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</si>
  <si>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</si>
  <si>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</si>
  <si>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</si>
  <si>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</si>
  <si>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</si>
  <si>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</si>
  <si>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</si>
  <si>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</si>
  <si>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</si>
  <si>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</si>
  <si>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</si>
  <si>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</si>
  <si>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</si>
  <si>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</si>
  <si>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</si>
  <si>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</si>
  <si>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</si>
  <si>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</si>
  <si>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</si>
  <si>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</si>
  <si>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</si>
  <si>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</si>
  <si>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</si>
  <si>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</si>
  <si>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</si>
  <si>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</si>
  <si>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</si>
  <si>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</si>
  <si>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</si>
  <si>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</si>
  <si>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</si>
  <si>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</si>
  <si>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</si>
  <si>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</si>
  <si>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</si>
  <si>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</si>
  <si>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</si>
  <si>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</si>
  <si>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</si>
  <si>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</si>
  <si>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</si>
  <si>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</si>
  <si>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</si>
  <si>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</si>
  <si>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</si>
  <si>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</si>
  <si>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</si>
  <si>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</si>
  <si>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</si>
  <si>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</si>
  <si>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</si>
  <si>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</si>
  <si>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</si>
  <si>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</si>
  <si>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</si>
  <si>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</si>
  <si>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</si>
  <si>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</si>
  <si>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</si>
  <si>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</si>
  <si>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</si>
  <si>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</si>
  <si>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</si>
  <si>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</si>
  <si>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</si>
  <si>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</si>
  <si>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</si>
  <si>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</si>
  <si>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</si>
  <si>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</si>
  <si>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</si>
  <si>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</si>
  <si>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</si>
  <si>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</si>
  <si>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</si>
  <si>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</si>
  <si>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</si>
  <si>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</si>
  <si>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</si>
  <si>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</si>
  <si>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</si>
  <si>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</si>
  <si>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</si>
  <si>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</si>
  <si>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</si>
  <si>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</si>
  <si>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</si>
  <si>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</si>
  <si>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</si>
  <si>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</si>
  <si>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</si>
  <si>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</si>
  <si>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</si>
  <si>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</si>
  <si>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</si>
  <si>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</si>
  <si>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</si>
  <si>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</si>
  <si>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</si>
  <si>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</si>
  <si>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</si>
  <si>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</si>
  <si>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</si>
  <si>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</si>
  <si>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</si>
  <si>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</si>
  <si>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</si>
  <si>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</si>
  <si>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</si>
  <si>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</si>
  <si>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</si>
  <si>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</si>
  <si>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</si>
  <si>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</si>
  <si>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</si>
  <si>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</si>
  <si>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</si>
  <si>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</si>
  <si>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</si>
  <si>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</si>
  <si>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</si>
  <si>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</si>
  <si>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</si>
  <si>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</si>
  <si>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</si>
  <si>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</si>
  <si>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</si>
  <si>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</si>
  <si>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</si>
  <si>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</si>
  <si>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</si>
  <si>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</si>
  <si>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</si>
  <si>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</si>
  <si>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</si>
  <si>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</si>
  <si>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</si>
  <si>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</si>
  <si>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</si>
  <si>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</si>
  <si>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</si>
  <si>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</si>
  <si>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</si>
  <si>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</si>
  <si>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</si>
  <si>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</si>
  <si>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</si>
  <si>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</si>
  <si>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</si>
  <si>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</si>
  <si>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</si>
  <si>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</si>
  <si>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</si>
  <si>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</si>
  <si>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</si>
  <si>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</si>
  <si>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</si>
  <si>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</si>
  <si>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</si>
  <si>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</si>
  <si>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</si>
  <si>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</si>
  <si>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</si>
  <si>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</si>
  <si>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</si>
  <si>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</si>
  <si>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</si>
  <si>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</si>
  <si>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</si>
  <si>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</si>
  <si>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</si>
  <si>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</si>
  <si>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</si>
  <si>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</si>
  <si>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</si>
  <si>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</si>
  <si>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</si>
  <si>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</si>
  <si>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</si>
  <si>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</si>
  <si>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</si>
  <si>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</si>
  <si>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</si>
  <si>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</si>
  <si>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</si>
  <si>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</si>
  <si>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</si>
  <si>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</si>
  <si>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</si>
  <si>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</si>
  <si>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</si>
  <si>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</si>
  <si>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</si>
  <si>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</si>
  <si>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</si>
  <si>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</si>
  <si>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</si>
  <si>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</si>
  <si>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</si>
  <si>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</si>
  <si>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</si>
  <si>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</si>
  <si>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</si>
  <si>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</si>
  <si>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</si>
  <si>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</si>
  <si>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</si>
  <si>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</si>
  <si>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</si>
  <si>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</si>
  <si>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</si>
  <si>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</si>
  <si>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</si>
  <si>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</si>
  <si>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</si>
  <si>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</si>
  <si>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</si>
  <si>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</si>
  <si>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</si>
  <si>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</si>
  <si>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</si>
  <si>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</si>
  <si>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</si>
  <si>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</si>
  <si>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</si>
  <si>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</si>
  <si>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</si>
  <si>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</si>
  <si>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</si>
  <si>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</si>
  <si>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</si>
  <si>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</si>
  <si>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</si>
  <si>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</si>
  <si>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</si>
  <si>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</si>
  <si>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</si>
  <si>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</si>
  <si>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</si>
  <si>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</si>
  <si>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</si>
  <si>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</si>
  <si>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</si>
  <si>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</si>
  <si>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</si>
  <si>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</si>
  <si>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</si>
  <si>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</si>
  <si>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</si>
  <si>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</si>
  <si>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</si>
  <si>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</si>
  <si>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</si>
  <si>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</si>
  <si>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</si>
  <si>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</si>
  <si>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</si>
  <si>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</si>
  <si>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</si>
  <si>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</si>
  <si>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</si>
  <si>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</si>
  <si>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</si>
  <si>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</si>
  <si>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</si>
  <si>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</si>
  <si>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</si>
  <si>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</si>
  <si>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</si>
  <si>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</si>
  <si>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</si>
  <si>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</si>
  <si>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</si>
  <si>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</si>
  <si>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</si>
  <si>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</si>
  <si>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</si>
  <si>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</si>
  <si>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</si>
  <si>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</si>
  <si>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</si>
  <si>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</si>
  <si>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</si>
  <si>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</si>
  <si>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</si>
  <si>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</si>
  <si>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</si>
  <si>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</si>
  <si>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</si>
  <si>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</si>
  <si>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</si>
  <si>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</si>
  <si>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</si>
  <si>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</si>
  <si>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</si>
  <si>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</si>
  <si>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</si>
  <si>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</si>
  <si>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</si>
  <si>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</si>
  <si>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</si>
  <si>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</si>
  <si>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</si>
  <si>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</si>
  <si>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</si>
  <si>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</si>
  <si>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</si>
  <si>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</si>
  <si>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</si>
  <si>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</si>
  <si>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</si>
  <si>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</si>
  <si>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</si>
  <si>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</si>
  <si>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</si>
  <si>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</si>
  <si>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</si>
  <si>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</si>
  <si>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</si>
  <si>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</si>
  <si>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</si>
  <si>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</si>
  <si>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</si>
  <si>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</si>
  <si>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</si>
  <si>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</si>
  <si>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</si>
  <si>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</si>
  <si>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</si>
  <si>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</si>
  <si>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</si>
  <si>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</si>
  <si>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</si>
  <si>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</si>
  <si>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</si>
  <si>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</si>
  <si>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</si>
  <si>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</si>
  <si>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</si>
  <si>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</si>
  <si>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</si>
  <si>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</si>
  <si>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</si>
  <si>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</si>
  <si>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</si>
  <si>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</si>
  <si>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</si>
  <si>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</si>
  <si>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</si>
  <si>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</si>
  <si>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</si>
  <si>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</si>
  <si>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</si>
  <si>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</si>
  <si>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</si>
  <si>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</si>
  <si>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</si>
  <si>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</si>
  <si>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</si>
  <si>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</si>
  <si>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</si>
  <si>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</si>
  <si>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</si>
  <si>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</si>
  <si>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</si>
  <si>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</si>
  <si>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</si>
  <si>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</si>
  <si>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</si>
  <si>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</si>
  <si>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</si>
  <si>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</si>
  <si>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</si>
  <si>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</si>
  <si>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</si>
  <si>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</si>
  <si>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</si>
  <si>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</si>
  <si>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</si>
  <si>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</si>
  <si>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</si>
  <si>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</si>
  <si>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</si>
  <si>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</si>
  <si>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</si>
  <si>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</si>
  <si>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</si>
  <si>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</si>
  <si>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</si>
  <si>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</si>
  <si>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</si>
  <si>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</si>
  <si>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</si>
  <si>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</si>
  <si>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</si>
  <si>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</si>
  <si>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</si>
  <si>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</si>
  <si>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</si>
  <si>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</si>
  <si>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</si>
  <si>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</si>
  <si>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</si>
  <si>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</si>
  <si>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</si>
  <si>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</si>
  <si>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</si>
  <si>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</si>
  <si>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</si>
  <si>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</si>
  <si>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</si>
  <si>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</si>
  <si>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</si>
  <si>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</si>
  <si>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</si>
  <si>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</si>
  <si>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</si>
  <si>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</si>
  <si>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</si>
  <si>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</si>
  <si>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</si>
  <si>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</si>
  <si>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</si>
  <si>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</si>
  <si>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</si>
  <si>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</si>
  <si>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</si>
  <si>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</si>
  <si>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</si>
  <si>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</si>
  <si>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</si>
  <si>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</si>
  <si>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</si>
  <si>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</si>
  <si>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</si>
  <si>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</si>
  <si>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</si>
  <si>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</si>
  <si>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</si>
  <si>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</si>
  <si>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</si>
  <si>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</si>
  <si>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</si>
  <si>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</si>
  <si>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</si>
  <si>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</si>
  <si>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</si>
  <si>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</si>
  <si>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</si>
  <si>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</si>
  <si>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</si>
  <si>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</si>
  <si>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</si>
  <si>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</si>
  <si>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</si>
  <si>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</si>
  <si>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</si>
  <si>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</si>
  <si>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</si>
  <si>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</si>
  <si>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</si>
  <si>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</si>
  <si>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</si>
  <si>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</si>
  <si>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</si>
  <si>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</si>
  <si>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</si>
  <si>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</si>
  <si>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</si>
  <si>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</si>
  <si>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</si>
  <si>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</si>
  <si>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</si>
  <si>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</si>
  <si>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</si>
  <si>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</si>
  <si>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</si>
  <si>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</si>
  <si>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</si>
  <si>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</si>
  <si>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</si>
  <si>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</si>
  <si>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</si>
  <si>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</si>
  <si>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</si>
  <si>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</si>
  <si>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</si>
  <si>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</si>
  <si>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</si>
  <si>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</si>
  <si>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</si>
  <si>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</si>
  <si>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</si>
  <si>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</si>
  <si>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</si>
  <si>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</si>
  <si>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</si>
  <si>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</si>
  <si>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</si>
  <si>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</si>
  <si>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</si>
  <si>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</si>
  <si>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</si>
  <si>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</si>
  <si>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</si>
  <si>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</si>
  <si>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</si>
  <si>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</si>
  <si>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</si>
  <si>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</si>
  <si>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</si>
  <si>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</si>
  <si>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</si>
  <si>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</si>
  <si>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</si>
  <si>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</si>
  <si>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</si>
  <si>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</si>
  <si>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</si>
  <si>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</si>
  <si>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</si>
  <si>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</si>
  <si>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</si>
  <si>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</si>
  <si>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</si>
  <si>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</si>
  <si>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</si>
  <si>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</si>
  <si>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</si>
  <si>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</si>
  <si>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</si>
  <si>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</si>
  <si>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</si>
  <si>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</si>
  <si>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</si>
  <si>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</si>
  <si>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</si>
  <si>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</si>
  <si>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</si>
  <si>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</si>
  <si>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</si>
  <si>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</si>
  <si>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</si>
  <si>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</si>
  <si>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</si>
  <si>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</si>
  <si>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</si>
  <si>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</si>
  <si>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</si>
  <si>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</si>
  <si>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</si>
  <si>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</si>
  <si>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</si>
  <si>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</si>
  <si>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</si>
  <si>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</si>
  <si>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</si>
  <si>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</si>
  <si>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</si>
  <si>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</si>
  <si>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</si>
  <si>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</si>
  <si>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</si>
  <si>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</si>
  <si>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</si>
  <si>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</si>
  <si>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</si>
  <si>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</si>
  <si>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</si>
  <si>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</si>
  <si>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</si>
  <si>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</si>
  <si>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</si>
  <si>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</si>
  <si>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</si>
  <si>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</si>
  <si>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</si>
  <si>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</si>
  <si>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</si>
  <si>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</si>
  <si>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</si>
  <si>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</si>
  <si>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</si>
  <si>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</si>
  <si>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</si>
  <si>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</si>
  <si>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</si>
  <si>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</si>
  <si>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</si>
  <si>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</si>
  <si>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</si>
  <si>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</si>
  <si>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</si>
  <si>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</si>
  <si>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</si>
  <si>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</si>
  <si>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</si>
  <si>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</si>
  <si>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</si>
  <si>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</si>
  <si>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</si>
  <si>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</si>
  <si>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</si>
  <si>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</si>
  <si>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</si>
  <si>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</si>
  <si>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</si>
  <si>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</si>
  <si>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</si>
  <si>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</si>
  <si>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</si>
  <si>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</si>
  <si>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</si>
  <si>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</si>
  <si>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</si>
  <si>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</si>
  <si>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</si>
  <si>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</si>
  <si>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</si>
  <si>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</si>
  <si>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</si>
  <si>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</si>
  <si>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</si>
  <si>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</si>
  <si>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</si>
  <si>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</si>
  <si>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</si>
  <si>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</si>
  <si>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</si>
  <si>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</si>
  <si>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</si>
  <si>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</si>
  <si>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</si>
  <si>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</si>
  <si>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</si>
  <si>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</si>
  <si>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</si>
  <si>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</si>
  <si>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</si>
  <si>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</si>
  <si>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</si>
  <si>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</si>
  <si>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</si>
  <si>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</si>
  <si>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</si>
  <si>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</si>
  <si>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</si>
  <si>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</si>
  <si>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</si>
  <si>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</si>
  <si>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</si>
  <si>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</si>
  <si>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</si>
  <si>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</si>
  <si>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</si>
  <si>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</si>
  <si>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</si>
  <si>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</si>
  <si>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</si>
  <si>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</si>
  <si>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</si>
  <si>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</si>
  <si>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</si>
  <si>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</si>
  <si>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</si>
  <si>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</si>
  <si>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</si>
  <si>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</si>
  <si>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</si>
  <si>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</si>
  <si>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</si>
  <si>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</si>
  <si>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</si>
  <si>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</si>
  <si>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</si>
  <si>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</si>
  <si>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</si>
  <si>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</si>
  <si>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</si>
  <si>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</si>
  <si>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</si>
  <si>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</si>
  <si>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</si>
  <si>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</si>
  <si>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</si>
  <si>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</si>
  <si>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</si>
  <si>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</si>
  <si>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</si>
  <si>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</si>
  <si>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</si>
  <si>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</si>
  <si>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</si>
  <si>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</si>
  <si>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</si>
  <si>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</si>
  <si>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</si>
  <si>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</si>
  <si>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</si>
  <si>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</si>
  <si>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</si>
  <si>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</si>
  <si>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</si>
  <si>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</si>
  <si>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</si>
  <si>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</si>
  <si>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</si>
  <si>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</si>
  <si>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</si>
  <si>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</si>
  <si>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</si>
  <si>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</si>
  <si>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</si>
  <si>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</si>
  <si>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</si>
  <si>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</si>
  <si>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</si>
  <si>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</si>
  <si>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</si>
  <si>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</si>
  <si>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</si>
  <si>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</si>
  <si>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</si>
  <si>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</si>
  <si>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</si>
  <si>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</si>
  <si>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</si>
  <si>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</si>
  <si>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</si>
  <si>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</si>
  <si>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</si>
  <si>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</si>
  <si>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</si>
  <si>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</si>
  <si>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</si>
  <si>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</si>
  <si>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</si>
  <si>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</si>
  <si>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</si>
  <si>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</si>
  <si>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</si>
  <si>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</si>
  <si>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</si>
  <si>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</si>
  <si>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</si>
  <si>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</si>
  <si>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</si>
  <si>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</si>
  <si>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</si>
  <si>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</si>
  <si>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</si>
  <si>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</si>
  <si>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</si>
  <si>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</si>
  <si>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</si>
  <si>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</si>
  <si>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</si>
  <si>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</si>
  <si>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</si>
  <si>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</si>
  <si>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</si>
  <si>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</si>
  <si>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</si>
  <si>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</si>
  <si>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</si>
  <si>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</si>
  <si>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</si>
  <si>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</si>
  <si>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</si>
  <si>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</si>
  <si>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</si>
  <si>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</si>
  <si>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</si>
  <si>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</si>
  <si>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</si>
  <si>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</si>
  <si>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</si>
  <si>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</si>
  <si>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</si>
  <si>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</si>
  <si>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</si>
  <si>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</si>
  <si>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</si>
  <si>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</si>
  <si>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</si>
  <si>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</si>
  <si>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</si>
  <si>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</si>
  <si>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</si>
  <si>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</si>
  <si>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</si>
  <si>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</si>
  <si>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</si>
  <si>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</si>
  <si>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</si>
  <si>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</si>
  <si>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</si>
  <si>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</si>
  <si>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</si>
  <si>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</si>
  <si>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</si>
  <si>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</si>
  <si>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</si>
  <si>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</si>
  <si>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</si>
  <si>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</si>
  <si>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</si>
  <si>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</si>
  <si>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</si>
  <si>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</si>
  <si>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</si>
  <si>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</si>
  <si>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</si>
  <si>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</si>
  <si>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</si>
  <si>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</si>
  <si>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</si>
  <si>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</si>
  <si>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</si>
  <si>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</si>
  <si>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</si>
  <si>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</si>
  <si>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</si>
  <si>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</si>
  <si>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</si>
  <si>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</si>
  <si>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</si>
  <si>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</si>
  <si>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</si>
  <si>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</si>
  <si>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</si>
  <si>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</si>
  <si>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</si>
  <si>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</si>
  <si>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</si>
  <si>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</si>
  <si>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</si>
  <si>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</si>
  <si>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</si>
  <si>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</si>
  <si>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</si>
  <si>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</si>
  <si>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</si>
  <si>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</si>
  <si>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</si>
  <si>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</si>
  <si>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</si>
  <si>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</si>
  <si>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</si>
  <si>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</si>
  <si>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</si>
  <si>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</si>
  <si>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</si>
  <si>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</si>
  <si>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</si>
  <si>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</si>
  <si>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</si>
  <si>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</si>
  <si>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</si>
  <si>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</si>
  <si>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</si>
  <si>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</si>
  <si>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</si>
  <si>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</si>
  <si>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</si>
  <si>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</si>
  <si>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</si>
  <si>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</si>
  <si>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</si>
  <si>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</si>
  <si>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</si>
  <si>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</si>
  <si>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</si>
  <si>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</si>
  <si>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</si>
  <si>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</si>
  <si>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</si>
  <si>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</si>
  <si>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</si>
  <si>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</si>
  <si>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</si>
  <si>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</si>
  <si>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</si>
  <si>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</si>
  <si>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</si>
  <si>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</si>
  <si>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</si>
  <si>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</si>
  <si>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</si>
  <si>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</si>
  <si>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</si>
  <si>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</si>
  <si>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</si>
  <si>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</si>
  <si>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</si>
  <si>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</si>
  <si>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</si>
  <si>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</si>
  <si>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</si>
  <si>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</si>
  <si>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</si>
  <si>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</si>
  <si>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</si>
  <si>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</si>
  <si>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</si>
  <si>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</si>
  <si>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</si>
  <si>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</si>
  <si>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</si>
  <si>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</si>
  <si>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</si>
  <si>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</si>
  <si>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</si>
  <si>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</si>
  <si>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</si>
  <si>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</si>
  <si>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</si>
  <si>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</si>
  <si>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</si>
  <si>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</si>
  <si>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</si>
  <si>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</si>
  <si>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</si>
  <si>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</si>
  <si>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</si>
  <si>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</si>
  <si>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</si>
  <si>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</si>
  <si>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</si>
  <si>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</si>
  <si>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</si>
  <si>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</si>
  <si>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</si>
  <si>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</si>
  <si>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</si>
  <si>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</si>
  <si>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</si>
  <si>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</si>
  <si>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</si>
  <si>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</si>
  <si>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</si>
  <si>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</si>
  <si>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</si>
  <si>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</si>
  <si>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</si>
  <si>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</si>
  <si>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</si>
  <si>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</si>
  <si>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</si>
  <si>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</si>
  <si>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</si>
  <si>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</si>
  <si>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</si>
  <si>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</si>
  <si>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</si>
  <si>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</si>
  <si>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</si>
  <si>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</si>
  <si>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</si>
  <si>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</si>
  <si>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</si>
  <si>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</si>
  <si>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</si>
  <si>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</si>
  <si>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</si>
  <si>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</si>
  <si>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</si>
  <si>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</si>
  <si>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</si>
  <si>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</si>
  <si>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</si>
  <si>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</si>
  <si>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</si>
  <si>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</si>
  <si>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</si>
  <si>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</si>
  <si>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</si>
  <si>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</si>
  <si>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</si>
  <si>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</si>
  <si>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</si>
  <si>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</si>
  <si>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</si>
  <si>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</si>
  <si>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</si>
  <si>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</si>
  <si>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</si>
  <si>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</si>
  <si>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</si>
  <si>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</si>
  <si>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</si>
  <si>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</si>
  <si>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</si>
  <si>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</si>
  <si>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</si>
  <si>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</si>
  <si>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</si>
  <si>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</si>
  <si>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</si>
  <si>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</si>
  <si>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</si>
  <si>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</si>
  <si>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</si>
  <si>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</si>
  <si>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</si>
  <si>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</si>
  <si>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</si>
  <si>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</si>
  <si>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</si>
  <si>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</si>
  <si>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</si>
  <si>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</si>
  <si>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</si>
  <si>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</si>
  <si>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</si>
  <si>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</si>
  <si>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</si>
  <si>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</si>
  <si>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</si>
  <si>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</si>
  <si>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</si>
  <si>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</si>
  <si>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</si>
  <si>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</si>
  <si>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</si>
  <si>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</si>
  <si>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</si>
  <si>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</si>
  <si>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</si>
  <si>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</si>
  <si>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</si>
  <si>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</si>
  <si>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</si>
  <si>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</si>
  <si>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</si>
  <si>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</si>
  <si>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</si>
  <si>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</si>
  <si>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</si>
  <si>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</si>
  <si>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</si>
  <si>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</si>
  <si>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</si>
  <si>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</si>
  <si>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</si>
  <si>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</si>
  <si>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</si>
  <si>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</si>
  <si>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</si>
  <si>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</si>
  <si>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</si>
  <si>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</si>
  <si>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</si>
  <si>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</si>
  <si>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</si>
  <si>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</si>
  <si>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</si>
  <si>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</si>
  <si>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</si>
  <si>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</si>
  <si>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</si>
  <si>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</si>
  <si>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</si>
  <si>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</si>
  <si>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</si>
  <si>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</si>
  <si>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</si>
  <si>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</si>
  <si>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</si>
  <si>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</si>
  <si>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</si>
  <si>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</si>
  <si>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</si>
  <si>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</si>
  <si>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</si>
  <si>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</si>
  <si>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</si>
  <si>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</si>
  <si>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</si>
  <si>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</si>
  <si>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</si>
  <si>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</si>
  <si>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</si>
  <si>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</si>
  <si>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</si>
  <si>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</si>
  <si>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</si>
  <si>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</si>
  <si>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</si>
  <si>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</si>
  <si>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</si>
  <si>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</si>
  <si>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</si>
  <si>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</si>
  <si>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</si>
  <si>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</si>
  <si>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</si>
  <si>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</si>
  <si>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</si>
  <si>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</si>
  <si>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</si>
  <si>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</si>
  <si>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</si>
  <si>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</si>
  <si>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</si>
  <si>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</si>
  <si>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</si>
  <si>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</si>
  <si>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</si>
  <si>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</si>
  <si>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</si>
  <si>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</si>
  <si>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</si>
  <si>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</si>
  <si>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</si>
  <si>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</si>
  <si>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</si>
  <si>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</si>
  <si>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</si>
  <si>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</si>
  <si>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</si>
  <si>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</si>
  <si>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</si>
  <si>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</si>
  <si>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</si>
  <si>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</si>
  <si>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</si>
  <si>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</si>
  <si>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</si>
  <si>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</si>
  <si>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</si>
  <si>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</si>
  <si>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</si>
  <si>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</si>
  <si>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</si>
  <si>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</si>
  <si>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</si>
  <si>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</si>
  <si>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</si>
  <si>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</si>
  <si>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</si>
  <si>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</si>
  <si>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</si>
  <si>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</si>
  <si>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</si>
  <si>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</si>
  <si>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</si>
  <si>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</si>
  <si>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</si>
  <si>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</si>
  <si>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</si>
  <si>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</si>
  <si>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</si>
  <si>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</si>
  <si>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</si>
  <si>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</si>
  <si>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</si>
  <si>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</si>
  <si>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</si>
  <si>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</si>
  <si>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</si>
  <si>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</si>
  <si>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</si>
  <si>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</si>
  <si>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</si>
  <si>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</si>
  <si>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</si>
  <si>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</si>
  <si>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</si>
  <si>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</si>
  <si>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</si>
  <si>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</si>
  <si>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</si>
  <si>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</si>
  <si>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</si>
  <si>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</si>
  <si>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</si>
  <si>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</si>
  <si>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</si>
  <si>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</si>
  <si>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</si>
  <si>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</si>
  <si>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</si>
  <si>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</si>
  <si>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</si>
  <si>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</si>
  <si>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</si>
  <si>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</si>
  <si>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</si>
  <si>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</si>
  <si>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</si>
  <si>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</si>
  <si>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</si>
  <si>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</si>
  <si>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</si>
  <si>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</si>
  <si>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</si>
  <si>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</si>
  <si>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</si>
  <si>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</si>
  <si>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</si>
  <si>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</si>
  <si>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</si>
  <si>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</si>
  <si>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</si>
  <si>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</si>
  <si>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</si>
  <si>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</si>
  <si>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</si>
  <si>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</si>
  <si>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</si>
  <si>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</si>
  <si>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</si>
  <si>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</si>
  <si>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</si>
  <si>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</si>
  <si>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</si>
  <si>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</si>
  <si>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</si>
  <si>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</si>
  <si>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</si>
  <si>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</si>
  <si>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</si>
  <si>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</si>
  <si>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</si>
  <si>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</si>
  <si>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</si>
  <si>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</si>
  <si>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</si>
  <si>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</si>
  <si>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</si>
  <si>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</si>
  <si>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</si>
  <si>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</si>
  <si>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</si>
  <si>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</si>
  <si>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</si>
  <si>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</si>
  <si>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</si>
  <si>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</si>
  <si>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</si>
  <si>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</si>
  <si>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</si>
  <si>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</si>
  <si>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</si>
  <si>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</si>
  <si>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</si>
  <si>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</si>
  <si>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</si>
  <si>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</si>
  <si>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</si>
  <si>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</si>
  <si>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</si>
  <si>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</si>
  <si>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</si>
  <si>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</si>
  <si>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</si>
  <si>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</si>
  <si>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</si>
  <si>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</si>
  <si>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</si>
  <si>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</si>
  <si>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</si>
  <si>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</si>
  <si>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</si>
  <si>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</si>
  <si>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</si>
  <si>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</si>
  <si>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</si>
  <si>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</si>
  <si>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</si>
  <si>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</si>
  <si>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</si>
  <si>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</si>
  <si>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</si>
  <si>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</si>
  <si>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</si>
  <si>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</si>
  <si>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</si>
  <si>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</si>
  <si>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</si>
  <si>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</si>
  <si>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</si>
  <si>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</si>
  <si>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</si>
  <si>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</si>
  <si>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</si>
  <si>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</si>
  <si>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</si>
  <si>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</si>
  <si>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</si>
  <si>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</si>
  <si>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</si>
  <si>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</si>
  <si>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</si>
  <si>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</si>
  <si>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</si>
  <si>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</si>
  <si>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</si>
  <si>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</si>
  <si>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</si>
  <si>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</si>
  <si>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</si>
  <si>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</si>
  <si>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</si>
  <si>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</si>
  <si>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</si>
  <si>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</si>
  <si>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</si>
  <si>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</si>
  <si>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</si>
  <si>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</si>
  <si>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</si>
  <si>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</si>
  <si>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</si>
  <si>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</si>
  <si>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</si>
  <si>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</si>
  <si>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</si>
  <si>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</si>
  <si>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</si>
  <si>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</si>
  <si>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</si>
  <si>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</si>
  <si>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</si>
  <si>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</si>
  <si>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</si>
  <si>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</si>
  <si>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</si>
  <si>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</si>
  <si>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</si>
  <si>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</si>
  <si>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</si>
  <si>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</si>
  <si>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</si>
  <si>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</si>
  <si>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</si>
  <si>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</si>
  <si>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</si>
  <si>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</si>
  <si>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</si>
  <si>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</si>
  <si>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</si>
  <si>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</si>
  <si>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</si>
  <si>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</si>
  <si>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</si>
  <si>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</si>
  <si>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</si>
  <si>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</si>
  <si>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</si>
  <si>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</si>
  <si>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</si>
  <si>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</si>
  <si>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</si>
  <si>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</si>
  <si>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</si>
  <si>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</si>
  <si>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</si>
  <si>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</si>
  <si>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</si>
  <si>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</si>
  <si>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</si>
  <si>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</si>
  <si>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</si>
  <si>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</si>
  <si>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</si>
  <si>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</si>
  <si>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</si>
  <si>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</si>
  <si>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</si>
  <si>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</si>
  <si>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</si>
  <si>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</si>
  <si>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</si>
  <si>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</si>
  <si>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</si>
  <si>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</si>
  <si>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</si>
  <si>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</si>
  <si>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</si>
  <si>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</si>
  <si>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</si>
  <si>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</si>
  <si>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</si>
  <si>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</si>
  <si>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</si>
  <si>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</si>
  <si>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</si>
  <si>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</si>
  <si>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</si>
  <si>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</si>
  <si>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</si>
  <si>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</si>
  <si>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</si>
  <si>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</si>
  <si>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</si>
  <si>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</si>
  <si>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</si>
  <si>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</si>
  <si>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</si>
  <si>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</si>
  <si>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</si>
  <si>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</si>
  <si>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</si>
  <si>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</si>
  <si>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</si>
  <si>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</si>
  <si>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</si>
  <si>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</si>
  <si>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</si>
  <si>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</si>
  <si>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</si>
  <si>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</si>
  <si>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</si>
  <si>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</si>
  <si>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</si>
  <si>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</si>
  <si>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</si>
  <si>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</si>
  <si>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</si>
  <si>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</si>
  <si>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</si>
  <si>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</si>
  <si>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</si>
  <si>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</si>
  <si>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</si>
  <si>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</si>
  <si>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</si>
  <si>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</si>
  <si>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</si>
  <si>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</si>
  <si>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</si>
  <si>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</si>
  <si>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</si>
  <si>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</si>
  <si>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</si>
  <si>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</si>
  <si>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</si>
  <si>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</si>
  <si>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</si>
  <si>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</si>
  <si>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</si>
  <si>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</si>
  <si>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</si>
  <si>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</si>
  <si>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</si>
  <si>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</si>
  <si>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</si>
  <si>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</si>
  <si>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</si>
  <si>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</si>
  <si>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</si>
  <si>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</si>
  <si>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</si>
  <si>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</si>
  <si>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</si>
  <si>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</si>
  <si>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</si>
  <si>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</si>
  <si>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</si>
  <si>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</si>
  <si>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</si>
  <si>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</si>
  <si>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</si>
  <si>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</si>
  <si>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</si>
  <si>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</si>
  <si>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</si>
  <si>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</si>
  <si>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</si>
  <si>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</si>
  <si>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</si>
  <si>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</si>
  <si>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</si>
  <si>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</si>
  <si>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</si>
  <si>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</si>
  <si>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</si>
  <si>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</si>
  <si>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</si>
  <si>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</si>
  <si>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</si>
  <si>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</si>
  <si>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</si>
  <si>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</si>
  <si>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</si>
  <si>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</si>
  <si>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</si>
  <si>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</si>
  <si>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</si>
  <si>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</si>
  <si>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</si>
  <si>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</si>
  <si>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</si>
  <si>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</si>
  <si>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</si>
  <si>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</si>
  <si>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</si>
  <si>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</si>
  <si>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</si>
  <si>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</si>
  <si>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</si>
  <si>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</si>
  <si>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</si>
  <si>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</si>
  <si>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</si>
  <si>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</si>
  <si>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</si>
  <si>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</si>
  <si>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</si>
  <si>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</si>
  <si>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</si>
  <si>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</si>
  <si>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</si>
  <si>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</si>
  <si>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</si>
  <si>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</si>
  <si>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</si>
  <si>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</si>
  <si>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</si>
  <si>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</si>
  <si>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</si>
  <si>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</si>
  <si>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</si>
  <si>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</si>
  <si>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</si>
  <si>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</si>
  <si>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</si>
  <si>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</si>
  <si>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</si>
  <si>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</si>
  <si>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</si>
  <si>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</si>
  <si>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</si>
  <si>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</si>
  <si>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</si>
  <si>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</si>
  <si>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</si>
  <si>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</si>
  <si>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</si>
  <si>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</si>
  <si>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</si>
  <si>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</si>
  <si>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</si>
  <si>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</si>
  <si>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</si>
  <si>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</si>
  <si>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</si>
  <si>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</si>
  <si>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</si>
  <si>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</si>
  <si>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</si>
  <si>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</si>
  <si>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</si>
  <si>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</si>
  <si>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</si>
  <si>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</si>
  <si>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</si>
  <si>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</si>
  <si>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</si>
  <si>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</si>
  <si>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</si>
  <si>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</si>
  <si>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</si>
  <si>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</si>
  <si>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</si>
  <si>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</si>
  <si>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</si>
  <si>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</si>
  <si>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</si>
  <si>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</si>
  <si>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</si>
  <si>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</si>
  <si>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</si>
  <si>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</si>
  <si>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</si>
  <si>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</si>
  <si>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</si>
  <si>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</si>
  <si>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</si>
  <si>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</si>
  <si>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</si>
  <si>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</si>
  <si>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</si>
  <si>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</si>
  <si>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</si>
  <si>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</si>
  <si>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</si>
  <si>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</si>
  <si>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</si>
  <si>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</si>
  <si>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</si>
  <si>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</si>
  <si>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</si>
  <si>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</si>
  <si>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</si>
  <si>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</si>
  <si>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</si>
  <si>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</si>
  <si>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</si>
  <si>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</si>
  <si>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</si>
  <si>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</si>
  <si>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</si>
  <si>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</si>
  <si>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</si>
  <si>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</si>
  <si>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</si>
  <si>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</si>
  <si>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</si>
  <si>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</si>
  <si>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</si>
  <si>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</si>
  <si>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</si>
  <si>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</si>
  <si>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</si>
  <si>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</si>
  <si>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</si>
  <si>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</si>
  <si>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</si>
  <si>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</si>
  <si>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</si>
  <si>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</si>
  <si>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</si>
  <si>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</si>
  <si>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</si>
  <si>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</si>
  <si>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</si>
  <si>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</si>
  <si>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</si>
  <si>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</si>
  <si>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</si>
  <si>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</si>
  <si>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</si>
  <si>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</si>
  <si>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</si>
  <si>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</si>
  <si>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</si>
  <si>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</si>
  <si>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</si>
  <si>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</si>
  <si>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</si>
  <si>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</si>
  <si>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</si>
  <si>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</si>
  <si>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</si>
  <si>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</si>
  <si>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</si>
  <si>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</si>
  <si>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</si>
  <si>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</si>
  <si>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</si>
  <si>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</si>
  <si>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</si>
  <si>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</si>
  <si>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</si>
  <si>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</si>
  <si>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</si>
  <si>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</si>
  <si>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</si>
  <si>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</si>
  <si>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</si>
  <si>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</si>
  <si>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</si>
  <si>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</si>
  <si>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</si>
  <si>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</si>
  <si>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</si>
  <si>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</si>
  <si>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</si>
  <si>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</si>
  <si>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</si>
  <si>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</si>
  <si>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</si>
  <si>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</si>
  <si>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</si>
  <si>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</si>
  <si>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</si>
  <si>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</si>
  <si>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</si>
  <si>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</si>
  <si>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</si>
  <si>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</si>
  <si>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</si>
  <si>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</si>
  <si>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</si>
  <si>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</si>
  <si>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</si>
  <si>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</si>
  <si>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</si>
  <si>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</si>
  <si>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</si>
  <si>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</si>
  <si>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</si>
  <si>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</si>
  <si>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</si>
  <si>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</si>
  <si>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</si>
  <si>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</si>
  <si>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</si>
  <si>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</si>
  <si>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</si>
  <si>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</si>
  <si>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</si>
  <si>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</si>
  <si>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</si>
  <si>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</si>
  <si>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</si>
  <si>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</si>
  <si>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</si>
  <si>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</si>
  <si>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</si>
  <si>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</si>
  <si>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</si>
  <si>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</si>
  <si>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</si>
  <si>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</si>
  <si>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</si>
  <si>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</si>
  <si>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</si>
  <si>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</si>
  <si>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</si>
  <si>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</si>
  <si>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</si>
  <si>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</si>
  <si>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</si>
  <si>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</si>
  <si>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</si>
  <si>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</si>
  <si>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</si>
  <si>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</si>
  <si>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</si>
  <si>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</si>
  <si>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</si>
  <si>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</si>
  <si>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</si>
  <si>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</si>
  <si>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</si>
  <si>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</si>
  <si>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</si>
  <si>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</si>
  <si>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</si>
  <si>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</si>
  <si>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</si>
  <si>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</si>
  <si>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</si>
  <si>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</si>
  <si>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</si>
  <si>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</si>
  <si>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</si>
  <si>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</si>
  <si>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</si>
  <si>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</si>
  <si>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</si>
  <si>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</si>
  <si>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</si>
  <si>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</si>
  <si>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</si>
  <si>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</si>
  <si>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</si>
  <si>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</si>
  <si>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</si>
  <si>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</si>
  <si>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</si>
  <si>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</si>
  <si>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</si>
  <si>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</si>
  <si>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</si>
  <si>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</si>
  <si>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</si>
  <si>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</si>
  <si>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</si>
  <si>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</si>
  <si>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</si>
  <si>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</si>
  <si>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</si>
  <si>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</si>
  <si>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</si>
  <si>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</si>
  <si>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</si>
  <si>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</si>
  <si>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</si>
  <si>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</si>
  <si>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</si>
  <si>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</si>
  <si>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</si>
  <si>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</si>
  <si>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</si>
  <si>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</si>
  <si>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</si>
  <si>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</si>
  <si>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</si>
  <si>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</si>
  <si>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</si>
  <si>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</si>
  <si>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</si>
  <si>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</si>
  <si>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</si>
  <si>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</si>
  <si>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</si>
  <si>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</si>
  <si>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</si>
  <si>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</si>
  <si>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</si>
  <si>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</si>
  <si>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</si>
  <si>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</si>
  <si>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</si>
  <si>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</si>
  <si>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</si>
  <si>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</si>
  <si>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</si>
  <si>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</si>
  <si>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</si>
  <si>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</si>
  <si>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</si>
  <si>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</si>
  <si>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</si>
  <si>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</si>
  <si>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</si>
  <si>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</si>
  <si>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</si>
  <si>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</si>
  <si>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</si>
  <si>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</si>
  <si>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</si>
  <si>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</si>
  <si>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</si>
  <si>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</si>
  <si>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</si>
  <si>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</si>
  <si>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</si>
  <si>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</si>
  <si>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</si>
  <si>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</si>
  <si>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</si>
  <si>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</si>
  <si>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</si>
  <si>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</si>
  <si>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</si>
  <si>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</si>
  <si>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</si>
  <si>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</si>
  <si>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</si>
  <si>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</si>
  <si>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</si>
  <si>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</si>
  <si>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</si>
  <si>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</si>
  <si>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</si>
  <si>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</si>
  <si>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</si>
  <si>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</si>
  <si>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</si>
  <si>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</si>
  <si>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</si>
  <si>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</si>
  <si>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</si>
  <si>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</si>
  <si>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</si>
  <si>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</si>
  <si>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</si>
  <si>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</si>
  <si>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</si>
  <si>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</si>
  <si>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</si>
  <si>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</si>
  <si>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</si>
  <si>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</si>
  <si>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</si>
  <si>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</si>
  <si>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</si>
  <si>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</si>
  <si>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</si>
  <si>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</si>
  <si>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</si>
  <si>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</si>
  <si>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</si>
  <si>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</si>
  <si>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</si>
  <si>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</si>
  <si>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</si>
  <si>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</si>
  <si>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</si>
  <si>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</si>
  <si>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</si>
  <si>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</si>
  <si>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</si>
  <si>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</si>
  <si>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</si>
  <si>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</si>
  <si>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</si>
  <si>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</si>
  <si>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</si>
  <si>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</si>
  <si>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</si>
  <si>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</si>
  <si>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</si>
  <si>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</si>
  <si>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</si>
  <si>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</si>
  <si>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</si>
  <si>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</si>
  <si>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</si>
  <si>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</si>
  <si>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</si>
  <si>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</si>
  <si>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</si>
  <si>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</si>
  <si>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</si>
  <si>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</si>
  <si>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</si>
  <si>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</si>
  <si>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</si>
  <si>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</si>
  <si>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</si>
  <si>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</si>
  <si>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</si>
  <si>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</si>
  <si>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</si>
  <si>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</si>
  <si>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</si>
  <si>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</si>
  <si>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</si>
  <si>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</si>
  <si>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</si>
  <si>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</si>
  <si>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</si>
  <si>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</si>
  <si>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</si>
  <si>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</si>
  <si>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</si>
  <si>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</si>
  <si>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</si>
  <si>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</si>
  <si>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</si>
  <si>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</si>
  <si>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</si>
  <si>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</si>
  <si>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</si>
  <si>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</si>
  <si>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</si>
  <si>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</si>
  <si>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</si>
  <si>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</si>
  <si>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</si>
  <si>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</si>
  <si>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</si>
  <si>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</si>
  <si>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</si>
  <si>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</si>
  <si>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</si>
  <si>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</si>
  <si>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</si>
  <si>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</si>
  <si>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</si>
  <si>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</si>
  <si>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</si>
  <si>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</si>
  <si>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</si>
  <si>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</si>
  <si>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</si>
  <si>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</si>
  <si>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</si>
  <si>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</si>
  <si>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</si>
  <si>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</si>
  <si>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</si>
  <si>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</si>
  <si>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</si>
  <si>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</si>
  <si>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</si>
  <si>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</si>
  <si>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</si>
  <si>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</si>
  <si>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</si>
  <si>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</si>
  <si>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</si>
  <si>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</si>
  <si>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</si>
  <si>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</si>
  <si>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</si>
  <si>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</si>
  <si>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</si>
  <si>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</si>
  <si>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</si>
  <si>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</si>
  <si>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</si>
  <si>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</si>
  <si>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</si>
  <si>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</si>
  <si>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</si>
  <si>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</si>
  <si>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</si>
  <si>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</si>
  <si>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</si>
  <si>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</si>
  <si>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</si>
  <si>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</si>
  <si>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</si>
  <si>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</si>
  <si>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</si>
  <si>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</si>
  <si>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</si>
  <si>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</si>
  <si>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</si>
  <si>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</si>
  <si>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</si>
  <si>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</si>
  <si>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</si>
  <si>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</si>
  <si>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</si>
  <si>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</si>
  <si>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</si>
  <si>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</si>
  <si>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</si>
  <si>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</si>
  <si>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</si>
  <si>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</si>
  <si>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</si>
  <si>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</si>
  <si>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</si>
  <si>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</si>
  <si>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</si>
  <si>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</si>
  <si>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</si>
  <si>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</si>
  <si>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</si>
  <si>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</si>
  <si>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</si>
  <si>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</si>
  <si>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</si>
  <si>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</si>
  <si>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</si>
  <si>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</si>
  <si>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</si>
  <si>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</si>
  <si>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</si>
  <si>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</si>
  <si>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</si>
  <si>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</si>
  <si>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</si>
  <si>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</si>
  <si>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</si>
  <si>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</si>
  <si>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</si>
  <si>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</si>
  <si>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</si>
  <si>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</si>
  <si>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</si>
  <si>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</si>
  <si>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</si>
  <si>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</si>
  <si>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</si>
  <si>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</si>
  <si>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</si>
  <si>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</si>
  <si>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</si>
  <si>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</si>
  <si>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</si>
  <si>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</si>
  <si>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</si>
  <si>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</si>
  <si>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</si>
  <si>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</si>
  <si>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</si>
  <si>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</si>
  <si>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</si>
  <si>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</si>
  <si>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</si>
  <si>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</si>
  <si>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</si>
  <si>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</si>
  <si>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</si>
  <si>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</si>
  <si>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</si>
  <si>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</si>
  <si>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</si>
  <si>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</si>
  <si>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</si>
  <si>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</si>
  <si>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</si>
  <si>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</si>
  <si>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</si>
  <si>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</si>
  <si>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</si>
  <si>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</si>
  <si>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</si>
  <si>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</si>
  <si>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</si>
  <si>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</si>
  <si>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</si>
  <si>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</si>
  <si>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</si>
  <si>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</si>
  <si>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</si>
  <si>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</si>
  <si>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西</t>
    <phoneticPr fontId="134" type="noConversion"/>
  </si>
  <si>
    <r>
      <t>低/</t>
    </r>
    <r>
      <rPr>
        <sz val="11"/>
        <color theme="1"/>
        <rFont val="宋体"/>
        <family val="3"/>
        <charset val="134"/>
        <scheme val="minor"/>
      </rPr>
      <t>6</t>
    </r>
    <phoneticPr fontId="134" type="noConversion"/>
  </si>
  <si>
    <t>普通装修</t>
  </si>
  <si>
    <t>普通装修</t>
    <phoneticPr fontId="134" type="noConversion"/>
  </si>
  <si>
    <t>南北</t>
    <phoneticPr fontId="134" type="noConversion"/>
  </si>
  <si>
    <r>
      <t>中/</t>
    </r>
    <r>
      <rPr>
        <sz val="11"/>
        <color theme="1"/>
        <rFont val="宋体"/>
        <family val="3"/>
        <charset val="134"/>
        <scheme val="minor"/>
      </rPr>
      <t>6</t>
    </r>
    <phoneticPr fontId="134" type="noConversion"/>
  </si>
  <si>
    <t>南</t>
    <phoneticPr fontId="134" type="noConversion"/>
  </si>
  <si>
    <t>低/6</t>
    <phoneticPr fontId="134" type="noConversion"/>
  </si>
  <si>
    <t>中/6</t>
    <phoneticPr fontId="134" type="noConversion"/>
  </si>
  <si>
    <t>精装修</t>
    <phoneticPr fontId="134" type="noConversion"/>
  </si>
  <si>
    <t>东</t>
  </si>
  <si>
    <t>东</t>
    <phoneticPr fontId="134" type="noConversion"/>
  </si>
  <si>
    <r>
      <t>高/</t>
    </r>
    <r>
      <rPr>
        <sz val="11"/>
        <color theme="1"/>
        <rFont val="宋体"/>
        <family val="3"/>
        <charset val="134"/>
        <scheme val="minor"/>
      </rPr>
      <t>6</t>
    </r>
    <phoneticPr fontId="134" type="noConversion"/>
  </si>
  <si>
    <t>高/6</t>
    <phoneticPr fontId="134" type="noConversion"/>
  </si>
  <si>
    <t>loft</t>
    <phoneticPr fontId="134" type="noConversion"/>
  </si>
  <si>
    <t>西北</t>
    <phoneticPr fontId="134" type="noConversion"/>
  </si>
  <si>
    <t>链家租金成交</t>
    <phoneticPr fontId="134" type="noConversion"/>
  </si>
  <si>
    <t>北京市海淀区阜石路甲69号院11号楼4层二单元416（59.65㎡） - 司法拍卖 - 阿里资产</t>
  </si>
  <si>
    <r>
      <t>4</t>
    </r>
    <r>
      <rPr>
        <sz val="11"/>
        <color theme="1"/>
        <rFont val="宋体"/>
        <family val="3"/>
        <charset val="134"/>
        <scheme val="minor"/>
      </rPr>
      <t>0轮竞价</t>
    </r>
    <phoneticPr fontId="134" type="noConversion"/>
  </si>
  <si>
    <t>成交总价</t>
    <phoneticPr fontId="134" type="noConversion"/>
  </si>
  <si>
    <t>成交单价</t>
    <phoneticPr fontId="134" type="noConversion"/>
  </si>
  <si>
    <t>成交日期</t>
    <phoneticPr fontId="134" type="noConversion"/>
  </si>
  <si>
    <t>评估总价</t>
    <phoneticPr fontId="134" type="noConversion"/>
  </si>
  <si>
    <t>评估单价</t>
    <phoneticPr fontId="134" type="noConversion"/>
  </si>
  <si>
    <t>二拍成交</t>
    <phoneticPr fontId="134" type="noConversion"/>
  </si>
  <si>
    <t xml:space="preserve"> 北京市海淀区阜石路甲69号院7号楼1层113</t>
    <phoneticPr fontId="134" type="noConversion"/>
  </si>
  <si>
    <t>北京市海淀区阜石路甲69号院7号楼1层113（55.56㎡） - 司法拍卖 - 阿里资产</t>
  </si>
  <si>
    <t>一拍成交</t>
    <phoneticPr fontId="134" type="noConversion"/>
  </si>
  <si>
    <r>
      <t>1</t>
    </r>
    <r>
      <rPr>
        <sz val="11"/>
        <color theme="1"/>
        <rFont val="宋体"/>
        <family val="3"/>
        <charset val="134"/>
        <scheme val="minor"/>
      </rPr>
      <t>17轮竞价</t>
    </r>
    <phoneticPr fontId="134" type="noConversion"/>
  </si>
  <si>
    <t>北京市海淀区阜石路甲69号院13号楼3层312</t>
  </si>
  <si>
    <t>北京市海淀区阜石路甲69号院13号楼3层312</t>
    <phoneticPr fontId="134" type="noConversion"/>
  </si>
  <si>
    <t>1轮报价</t>
    <phoneticPr fontId="134" type="noConversion"/>
  </si>
  <si>
    <t>北京市海淀区阜石路甲69号院11号楼6层一单元616</t>
  </si>
  <si>
    <t>北京市海淀区阜石路甲69号院11号楼6层一单元616</t>
    <phoneticPr fontId="134" type="noConversion"/>
  </si>
  <si>
    <t>55轮竞价</t>
    <phoneticPr fontId="134" type="noConversion"/>
  </si>
  <si>
    <t>北京市海淀区阜石路甲69号院11号楼4层二单元416</t>
    <phoneticPr fontId="134" type="noConversion"/>
  </si>
  <si>
    <r>
      <t>顶/</t>
    </r>
    <r>
      <rPr>
        <sz val="11"/>
        <color theme="1"/>
        <rFont val="宋体"/>
        <family val="3"/>
        <charset val="134"/>
        <scheme val="minor"/>
      </rPr>
      <t>6</t>
    </r>
    <phoneticPr fontId="134" type="noConversion"/>
  </si>
  <si>
    <t>顶/6</t>
    <phoneticPr fontId="134" type="noConversion"/>
  </si>
  <si>
    <t>西南</t>
    <phoneticPr fontId="134" type="noConversion"/>
  </si>
  <si>
    <t>东北</t>
    <phoneticPr fontId="134" type="noConversion"/>
  </si>
  <si>
    <t>底/6</t>
    <phoneticPr fontId="134" type="noConversion"/>
  </si>
  <si>
    <t>蝴蝶指数成交</t>
    <phoneticPr fontId="134" type="noConversion"/>
  </si>
  <si>
    <t>核定资产</t>
  </si>
  <si>
    <t>房地产市场价值</t>
  </si>
  <si>
    <t>北京市</t>
  </si>
  <si>
    <t>自然人</t>
  </si>
  <si>
    <t>地上</t>
  </si>
  <si>
    <t>是</t>
  </si>
  <si>
    <t>商业</t>
    <phoneticPr fontId="134" type="noConversion"/>
  </si>
  <si>
    <t>信息服务用房</t>
  </si>
  <si>
    <t>信息服务用房</t>
    <phoneticPr fontId="7" type="noConversion"/>
  </si>
  <si>
    <t>跃层商住</t>
  </si>
  <si>
    <t>跃层商住</t>
    <phoneticPr fontId="16" type="noConversion"/>
  </si>
  <si>
    <t>成新度</t>
  </si>
  <si>
    <t>收益法 (元)</t>
  </si>
  <si>
    <t>押一</t>
  </si>
  <si>
    <t>钢混</t>
  </si>
  <si>
    <t>非生产用房</t>
  </si>
  <si>
    <t>否</t>
  </si>
  <si>
    <t>西山国际城</t>
    <phoneticPr fontId="3" type="noConversion"/>
  </si>
  <si>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</si>
  <si>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</si>
  <si>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</si>
  <si>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</si>
  <si>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</si>
  <si>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</si>
  <si>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</si>
  <si>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</si>
  <si>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</si>
  <si>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</si>
  <si>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</si>
  <si>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</si>
  <si>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r>
      <rPr>
        <sz val="11"/>
        <color indexed="8"/>
        <rFont val="宋体"/>
        <family val="3"/>
        <charset val="134"/>
      </rPr>
      <t>底</t>
    </r>
    <r>
      <rPr>
        <sz val="11"/>
        <color indexed="8"/>
        <rFont val="Arial"/>
        <family val="2"/>
      </rPr>
      <t>/6</t>
    </r>
    <phoneticPr fontId="134" type="noConversion"/>
  </si>
  <si>
    <r>
      <rPr>
        <sz val="11"/>
        <color indexed="8"/>
        <rFont val="宋体"/>
        <family val="3"/>
        <charset val="134"/>
      </rPr>
      <t>顶</t>
    </r>
    <r>
      <rPr>
        <sz val="11"/>
        <color indexed="8"/>
        <rFont val="Arial"/>
        <family val="2"/>
      </rPr>
      <t>/6</t>
    </r>
    <phoneticPr fontId="134" type="noConversion"/>
  </si>
  <si>
    <r>
      <rPr>
        <sz val="11"/>
        <color indexed="8"/>
        <rFont val="宋体"/>
        <family val="3"/>
        <charset val="134"/>
      </rPr>
      <t>高</t>
    </r>
    <r>
      <rPr>
        <sz val="11"/>
        <color indexed="8"/>
        <rFont val="Arial"/>
        <family val="2"/>
      </rPr>
      <t>/6</t>
    </r>
    <phoneticPr fontId="134" type="noConversion"/>
  </si>
  <si>
    <r>
      <rPr>
        <sz val="11"/>
        <color indexed="8"/>
        <rFont val="宋体"/>
        <family val="3"/>
        <charset val="134"/>
      </rPr>
      <t>中</t>
    </r>
    <r>
      <rPr>
        <sz val="11"/>
        <color indexed="8"/>
        <rFont val="Arial"/>
        <family val="2"/>
      </rPr>
      <t>/6</t>
    </r>
    <phoneticPr fontId="134" type="noConversion"/>
  </si>
  <si>
    <r>
      <rPr>
        <sz val="11"/>
        <color indexed="8"/>
        <rFont val="宋体"/>
        <family val="3"/>
        <charset val="134"/>
      </rPr>
      <t>低</t>
    </r>
    <r>
      <rPr>
        <sz val="11"/>
        <color indexed="8"/>
        <rFont val="Arial"/>
        <family val="2"/>
      </rPr>
      <t>/6</t>
    </r>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</si>
  <si>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</si>
  <si>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</si>
  <si>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</si>
  <si>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</si>
  <si>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</si>
  <si>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</si>
  <si>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</si>
  <si>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</si>
  <si>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</si>
  <si>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r>
      <rPr>
        <sz val="11"/>
        <color indexed="8"/>
        <rFont val="宋体"/>
        <family val="3"/>
        <charset val="134"/>
      </rPr>
      <t>顶</t>
    </r>
    <r>
      <rPr>
        <sz val="11"/>
        <color indexed="8"/>
        <rFont val="Arial"/>
        <family val="2"/>
      </rPr>
      <t>/6</t>
    </r>
    <phoneticPr fontId="24" type="noConversion"/>
  </si>
  <si>
    <r>
      <rPr>
        <sz val="11"/>
        <color indexed="8"/>
        <rFont val="宋体"/>
        <family val="3"/>
        <charset val="134"/>
      </rPr>
      <t>高</t>
    </r>
    <r>
      <rPr>
        <sz val="11"/>
        <color indexed="8"/>
        <rFont val="Arial"/>
        <family val="2"/>
      </rPr>
      <t>/6</t>
    </r>
    <phoneticPr fontId="24" type="noConversion"/>
  </si>
  <si>
    <r>
      <rPr>
        <sz val="11"/>
        <color indexed="8"/>
        <rFont val="宋体"/>
        <family val="3"/>
        <charset val="134"/>
      </rPr>
      <t>低</t>
    </r>
    <r>
      <rPr>
        <sz val="11"/>
        <color indexed="8"/>
        <rFont val="Arial"/>
        <family val="2"/>
      </rPr>
      <t>/6</t>
    </r>
    <phoneticPr fontId="24" type="noConversion"/>
  </si>
  <si>
    <t>七通</t>
  </si>
  <si>
    <t>法拍</t>
    <phoneticPr fontId="134" type="noConversion"/>
  </si>
  <si>
    <t>业务用房</t>
    <phoneticPr fontId="134" type="noConversion"/>
  </si>
  <si>
    <t>信息服务用房</t>
    <phoneticPr fontId="134" type="noConversion"/>
  </si>
  <si>
    <t>精装修</t>
  </si>
  <si>
    <t>南北</t>
  </si>
  <si>
    <t>南北</t>
    <phoneticPr fontId="24" type="noConversion"/>
  </si>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</sst>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0" fontId="271" fillId="0" borderId="0" xfId="19">
      <alignment vertical="center"/>
    </xf>
    <xf numFmtId="14" fontId="95" fillId="0" borderId="0" xfId="0" applyNumberFormat="1" applyFont="1">
      <alignment vertical="center"/>
    </xf>
    <xf numFmtId="0" fontId="272" fillId="0" borderId="0" xfId="0" applyFont="1">
      <alignment vertical="center"/>
    </xf>
    <xf numFmtId="14" fontId="272" fillId="0" borderId="0" xfId="0" applyNumberFormat="1"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73" fillId="0" borderId="41" xfId="0" applyFont="1" applyBorder="1" applyAlignment="1" applyProtection="1">
      <alignment horizontal="center" vertical="center" wrapText="1"/>
      <protection locked="0"/>
    </xf>
    <xf numFmtId="49" fontId="273" fillId="0" borderId="41" xfId="0" applyNumberFormat="1" applyFont="1" applyBorder="1" applyAlignment="1" applyProtection="1">
      <alignment horizontal="center" vertical="center" wrapText="1"/>
      <protection locked="0"/>
    </xf>
    <xf numFmtId="49" fontId="273" fillId="0" borderId="7" xfId="0" applyNumberFormat="1" applyFont="1" applyBorder="1" applyAlignment="1" applyProtection="1">
      <alignment horizontal="center" vertical="center" wrapText="1"/>
      <protection locked="0"/>
    </xf>
    <xf numFmtId="0" fontId="95" fillId="5" borderId="0" xfId="0" applyFont="1" applyFill="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219075</xdr:colOff>
      <xdr:row>10</xdr:row>
      <xdr:rowOff>19050</xdr:rowOff>
    </xdr:from>
    <xdr:to>
      <xdr:col>35</xdr:col>
      <xdr:colOff>427656</xdr:colOff>
      <xdr:row>38</xdr:row>
      <xdr:rowOff>47021</xdr:rowOff>
    </xdr:to>
    <xdr:pic>
      <xdr:nvPicPr>
        <xdr:cNvPr id="2" name="图片 1">
          <a:extLst>
            <a:ext uri="{FF2B5EF4-FFF2-40B4-BE49-F238E27FC236}">
              <a16:creationId xmlns:a16="http://schemas.microsoft.com/office/drawing/2014/main" id="{3F24593C-D6C3-7DE3-05D4-BDADEEE7CF9C}"/>
            </a:ext>
          </a:extLst>
        </xdr:cNvPr>
        <xdr:cNvPicPr>
          <a:picLocks noChangeAspect="1"/>
        </xdr:cNvPicPr>
      </xdr:nvPicPr>
      <xdr:blipFill>
        <a:blip xmlns:r="http://schemas.openxmlformats.org/officeDocument/2006/relationships" r:embed="rId1"/>
        <a:stretch>
          <a:fillRect/>
        </a:stretch>
      </xdr:blipFill>
      <xdr:spPr>
        <a:xfrm>
          <a:off x="19707225" y="1733550"/>
          <a:ext cx="7752381" cy="4828571"/>
        </a:xfrm>
        <a:prstGeom prst="rect">
          <a:avLst/>
        </a:prstGeom>
      </xdr:spPr>
    </xdr:pic>
    <xdr:clientData/>
  </xdr:twoCellAnchor>
  <xdr:twoCellAnchor editAs="oneCell">
    <xdr:from>
      <xdr:col>24</xdr:col>
      <xdr:colOff>571500</xdr:colOff>
      <xdr:row>23</xdr:row>
      <xdr:rowOff>19050</xdr:rowOff>
    </xdr:from>
    <xdr:to>
      <xdr:col>34</xdr:col>
      <xdr:colOff>313500</xdr:colOff>
      <xdr:row>62</xdr:row>
      <xdr:rowOff>56309</xdr:rowOff>
    </xdr:to>
    <xdr:pic>
      <xdr:nvPicPr>
        <xdr:cNvPr id="3" name="图片 2">
          <a:extLst>
            <a:ext uri="{FF2B5EF4-FFF2-40B4-BE49-F238E27FC236}">
              <a16:creationId xmlns:a16="http://schemas.microsoft.com/office/drawing/2014/main" id="{CAA89B16-6F98-C7DE-156A-93E541C73039}"/>
            </a:ext>
          </a:extLst>
        </xdr:cNvPr>
        <xdr:cNvPicPr>
          <a:picLocks noChangeAspect="1"/>
        </xdr:cNvPicPr>
      </xdr:nvPicPr>
      <xdr:blipFill>
        <a:blip xmlns:r="http://schemas.openxmlformats.org/officeDocument/2006/relationships" r:embed="rId2"/>
        <a:stretch>
          <a:fillRect/>
        </a:stretch>
      </xdr:blipFill>
      <xdr:spPr>
        <a:xfrm>
          <a:off x="17992725" y="3962400"/>
          <a:ext cx="6600000" cy="6723809"/>
        </a:xfrm>
        <a:prstGeom prst="rect">
          <a:avLst/>
        </a:prstGeom>
      </xdr:spPr>
    </xdr:pic>
    <xdr:clientData/>
  </xdr:twoCellAnchor>
  <xdr:twoCellAnchor editAs="oneCell">
    <xdr:from>
      <xdr:col>18</xdr:col>
      <xdr:colOff>790575</xdr:colOff>
      <xdr:row>6</xdr:row>
      <xdr:rowOff>133350</xdr:rowOff>
    </xdr:from>
    <xdr:to>
      <xdr:col>25</xdr:col>
      <xdr:colOff>608998</xdr:colOff>
      <xdr:row>32</xdr:row>
      <xdr:rowOff>142317</xdr:rowOff>
    </xdr:to>
    <xdr:pic>
      <xdr:nvPicPr>
        <xdr:cNvPr id="4" name="图片 3">
          <a:extLst>
            <a:ext uri="{FF2B5EF4-FFF2-40B4-BE49-F238E27FC236}">
              <a16:creationId xmlns:a16="http://schemas.microsoft.com/office/drawing/2014/main" id="{248C902B-1E35-3138-C645-BC39F45771E2}"/>
            </a:ext>
          </a:extLst>
        </xdr:cNvPr>
        <xdr:cNvPicPr>
          <a:picLocks noChangeAspect="1"/>
        </xdr:cNvPicPr>
      </xdr:nvPicPr>
      <xdr:blipFill>
        <a:blip xmlns:r="http://schemas.openxmlformats.org/officeDocument/2006/relationships" r:embed="rId3"/>
        <a:stretch>
          <a:fillRect/>
        </a:stretch>
      </xdr:blipFill>
      <xdr:spPr>
        <a:xfrm>
          <a:off x="13896975" y="1162050"/>
          <a:ext cx="4819048" cy="4466667"/>
        </a:xfrm>
        <a:prstGeom prst="rect">
          <a:avLst/>
        </a:prstGeom>
      </xdr:spPr>
    </xdr:pic>
    <xdr:clientData/>
  </xdr:twoCellAnchor>
  <xdr:twoCellAnchor editAs="oneCell">
    <xdr:from>
      <xdr:col>23</xdr:col>
      <xdr:colOff>381000</xdr:colOff>
      <xdr:row>68</xdr:row>
      <xdr:rowOff>0</xdr:rowOff>
    </xdr:from>
    <xdr:to>
      <xdr:col>41</xdr:col>
      <xdr:colOff>227076</xdr:colOff>
      <xdr:row>162</xdr:row>
      <xdr:rowOff>140843</xdr:rowOff>
    </xdr:to>
    <xdr:pic>
      <xdr:nvPicPr>
        <xdr:cNvPr id="5" name="图片 4">
          <a:extLst>
            <a:ext uri="{FF2B5EF4-FFF2-40B4-BE49-F238E27FC236}">
              <a16:creationId xmlns:a16="http://schemas.microsoft.com/office/drawing/2014/main" id="{C9F6A33D-FFF4-6DB9-FE48-AE1389EB754A}"/>
            </a:ext>
          </a:extLst>
        </xdr:cNvPr>
        <xdr:cNvPicPr>
          <a:picLocks noChangeAspect="1"/>
        </xdr:cNvPicPr>
      </xdr:nvPicPr>
      <xdr:blipFill>
        <a:blip xmlns:r="http://schemas.openxmlformats.org/officeDocument/2006/relationships" r:embed="rId4"/>
        <a:stretch>
          <a:fillRect/>
        </a:stretch>
      </xdr:blipFill>
      <xdr:spPr>
        <a:xfrm>
          <a:off x="19183350" y="11658600"/>
          <a:ext cx="12190476" cy="16257143"/>
        </a:xfrm>
        <a:prstGeom prst="rect">
          <a:avLst/>
        </a:prstGeom>
      </xdr:spPr>
    </xdr:pic>
    <xdr:clientData/>
  </xdr:twoCellAnchor>
  <xdr:twoCellAnchor editAs="oneCell">
    <xdr:from>
      <xdr:col>1</xdr:col>
      <xdr:colOff>28575</xdr:colOff>
      <xdr:row>34</xdr:row>
      <xdr:rowOff>66675</xdr:rowOff>
    </xdr:from>
    <xdr:to>
      <xdr:col>11</xdr:col>
      <xdr:colOff>208645</xdr:colOff>
      <xdr:row>59</xdr:row>
      <xdr:rowOff>66139</xdr:rowOff>
    </xdr:to>
    <xdr:pic>
      <xdr:nvPicPr>
        <xdr:cNvPr id="6" name="图片 5">
          <a:extLst>
            <a:ext uri="{FF2B5EF4-FFF2-40B4-BE49-F238E27FC236}">
              <a16:creationId xmlns:a16="http://schemas.microsoft.com/office/drawing/2014/main" id="{39DE31C1-CAD5-3A4E-ABC2-5FE8E159F535}"/>
            </a:ext>
          </a:extLst>
        </xdr:cNvPr>
        <xdr:cNvPicPr>
          <a:picLocks noChangeAspect="1"/>
        </xdr:cNvPicPr>
      </xdr:nvPicPr>
      <xdr:blipFill>
        <a:blip xmlns:r="http://schemas.openxmlformats.org/officeDocument/2006/relationships" r:embed="rId5"/>
        <a:stretch>
          <a:fillRect/>
        </a:stretch>
      </xdr:blipFill>
      <xdr:spPr>
        <a:xfrm>
          <a:off x="714375" y="5895975"/>
          <a:ext cx="7238095" cy="4285714"/>
        </a:xfrm>
        <a:prstGeom prst="rect">
          <a:avLst/>
        </a:prstGeom>
      </xdr:spPr>
    </xdr:pic>
    <xdr:clientData/>
  </xdr:twoCellAnchor>
  <xdr:twoCellAnchor editAs="oneCell">
    <xdr:from>
      <xdr:col>10</xdr:col>
      <xdr:colOff>514350</xdr:colOff>
      <xdr:row>32</xdr:row>
      <xdr:rowOff>152400</xdr:rowOff>
    </xdr:from>
    <xdr:to>
      <xdr:col>19</xdr:col>
      <xdr:colOff>413849</xdr:colOff>
      <xdr:row>73</xdr:row>
      <xdr:rowOff>170469</xdr:rowOff>
    </xdr:to>
    <xdr:pic>
      <xdr:nvPicPr>
        <xdr:cNvPr id="7" name="图片 6">
          <a:extLst>
            <a:ext uri="{FF2B5EF4-FFF2-40B4-BE49-F238E27FC236}">
              <a16:creationId xmlns:a16="http://schemas.microsoft.com/office/drawing/2014/main" id="{3E77DD34-239D-6F22-F8FF-C9B230E03F3A}"/>
            </a:ext>
          </a:extLst>
        </xdr:cNvPr>
        <xdr:cNvPicPr>
          <a:picLocks noChangeAspect="1"/>
        </xdr:cNvPicPr>
      </xdr:nvPicPr>
      <xdr:blipFill>
        <a:blip xmlns:r="http://schemas.openxmlformats.org/officeDocument/2006/relationships" r:embed="rId6"/>
        <a:stretch>
          <a:fillRect/>
        </a:stretch>
      </xdr:blipFill>
      <xdr:spPr>
        <a:xfrm>
          <a:off x="7572375" y="5638800"/>
          <a:ext cx="6833699" cy="7047519"/>
        </a:xfrm>
        <a:prstGeom prst="rect">
          <a:avLst/>
        </a:prstGeom>
      </xdr:spPr>
    </xdr:pic>
    <xdr:clientData/>
  </xdr:twoCellAnchor>
  <xdr:twoCellAnchor editAs="oneCell">
    <xdr:from>
      <xdr:col>18</xdr:col>
      <xdr:colOff>381000</xdr:colOff>
      <xdr:row>32</xdr:row>
      <xdr:rowOff>28575</xdr:rowOff>
    </xdr:from>
    <xdr:to>
      <xdr:col>26</xdr:col>
      <xdr:colOff>408861</xdr:colOff>
      <xdr:row>62</xdr:row>
      <xdr:rowOff>94599</xdr:rowOff>
    </xdr:to>
    <xdr:pic>
      <xdr:nvPicPr>
        <xdr:cNvPr id="8" name="图片 7">
          <a:extLst>
            <a:ext uri="{FF2B5EF4-FFF2-40B4-BE49-F238E27FC236}">
              <a16:creationId xmlns:a16="http://schemas.microsoft.com/office/drawing/2014/main" id="{73DE2A4C-1598-D3A7-682A-411DE86E11A1}"/>
            </a:ext>
          </a:extLst>
        </xdr:cNvPr>
        <xdr:cNvPicPr>
          <a:picLocks noChangeAspect="1"/>
        </xdr:cNvPicPr>
      </xdr:nvPicPr>
      <xdr:blipFill>
        <a:blip xmlns:r="http://schemas.openxmlformats.org/officeDocument/2006/relationships" r:embed="rId7"/>
        <a:stretch>
          <a:fillRect/>
        </a:stretch>
      </xdr:blipFill>
      <xdr:spPr>
        <a:xfrm>
          <a:off x="13487400" y="5514975"/>
          <a:ext cx="5714286"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paimai.jd.com/298644220" TargetMode="External"/><Relationship Id="rId2" Type="http://schemas.openxmlformats.org/officeDocument/2006/relationships/hyperlink" Target="https://sf-item.taobao.com/sf_item/827694756388.htm?spm=a213w.7398504.paiList.4.207e2d531GwNNo&amp;track_id=242c57b2-39c5-42a0-b4cc-669b95cb0f32" TargetMode="External"/><Relationship Id="rId1" Type="http://schemas.openxmlformats.org/officeDocument/2006/relationships/hyperlink" Target="https://sf-item.taobao.com/sf_item/978952784176.htm?spm=a213w.7398504.paiList.1.207e2d531GwNNo&amp;track_id=242c57b2-39c5-42a0-b4cc-669b95cb0f32" TargetMode="External"/><Relationship Id="rId5" Type="http://schemas.openxmlformats.org/officeDocument/2006/relationships/drawing" Target="../drawings/drawing1.xml"/><Relationship Id="rId4" Type="http://schemas.openxmlformats.org/officeDocument/2006/relationships/hyperlink" Target="https://paimai.jd.com/308067165"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估价对象为北京市房地产,属开发建设的，该项目尚在开发建设中。根据《国有土地使用证》[]，估价对象（分摊）出让国有建设用地使用权面积为0平方米，规划建筑面积为32.74平方米。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2025年12月24日（评估专业人员实地查勘之日）</v>
      </c>
    </row>
    <row r="13" spans="1:2">
      <c r="A13" s="1119" t="s">
        <v>529</v>
      </c>
      <c r="B13" s="1120"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32.74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3470</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46015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v>
      </c>
      <c r="D7" s="2766">
        <f>IF(ISERROR(ROUND(POWER(1+E7,A7-C7)*(POWER(1+E7,C7)-1)/(POWER(1+E7,A7)-1),3)),0,ROUND(POWER(1+E7,A7-C7)*(POWER(1+E7,C7)-1)/(POWER(1+E7,A7)-1),4))</f>
        <v>0.75180000000000002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31" t="str">
        <f>IF(B10="北京市","北京市",C10)&amp;F10&amp;IF(结果表!G1="在建","出让国有建设用地使用权及在建建筑物",IF(结果表!G1="土地","出让国有建设用地使用权",))&amp;B9&amp;"预评估"</f>
        <v>北京市房地产市场价值预评估</v>
      </c>
      <c r="C1" s="3232"/>
      <c r="D1" s="3232"/>
      <c r="E1" s="3232"/>
      <c r="F1" s="3232"/>
      <c r="G1" s="3232"/>
      <c r="H1" s="3232"/>
      <c r="I1" s="3233"/>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46015</v>
      </c>
      <c r="C3" s="2184" t="s">
        <v>2171</v>
      </c>
      <c r="D3" s="2183">
        <f>B3</f>
        <v>46015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3460</v>
      </c>
      <c r="C8" s="2199"/>
      <c r="D8" s="3234" t="s">
        <v>2177</v>
      </c>
      <c r="E8" s="2200"/>
      <c r="F8" s="2201"/>
      <c r="G8" s="2440"/>
      <c r="H8" s="2440"/>
      <c r="I8" s="2440"/>
      <c r="J8" s="2243"/>
      <c r="K8" s="2398"/>
      <c r="L8" s="2397"/>
      <c r="M8" s="2397"/>
      <c r="N8" s="2243"/>
      <c r="O8" s="1670"/>
      <c r="P8" s="2243"/>
      <c r="Q8" s="2243"/>
      <c r="R8" s="2243"/>
    </row>
    <row r="9" spans="1:30" ht="13.5" thickBot="1">
      <c r="A9" s="2202" t="s">
        <v>2178</v>
      </c>
      <c r="B9" s="2203" t="s">
        <v>3461</v>
      </c>
      <c r="C9" s="2204"/>
      <c r="D9" s="3235"/>
      <c r="E9" s="2203"/>
      <c r="F9" s="2205"/>
      <c r="G9" s="2441"/>
      <c r="H9" s="2441"/>
      <c r="I9" s="2441"/>
      <c r="J9" s="2243"/>
      <c r="K9" s="2400"/>
      <c r="L9" s="2397"/>
      <c r="M9" s="2397"/>
      <c r="N9" s="2243"/>
      <c r="O9" s="1670"/>
      <c r="P9" s="2243"/>
      <c r="Q9" s="2243"/>
      <c r="R9" s="2243"/>
    </row>
    <row r="10" spans="1:30" ht="13.5" thickTop="1">
      <c r="A10" s="2206" t="s">
        <v>2179</v>
      </c>
      <c r="B10" s="2207" t="s">
        <v>3462</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3463</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3330</v>
      </c>
      <c r="B13" s="2216" t="s">
        <v>2190</v>
      </c>
      <c r="C13" s="803"/>
      <c r="D13" s="803">
        <v>52932</v>
      </c>
      <c r="E13" s="803">
        <v>56584</v>
      </c>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18.95</v>
      </c>
      <c r="E15" s="2219">
        <f>IF(A13="出让",IF(E13="","",ROUNDDOWN(MIN((E13-$D$3)/365,E14),2)),E14)</f>
        <v>28.95</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41"/>
      <c r="C16" s="3242"/>
      <c r="D16" s="3243"/>
      <c r="E16" s="2220" t="s">
        <v>2194</v>
      </c>
      <c r="F16" s="3244"/>
      <c r="G16" s="3245"/>
      <c r="H16" s="3245"/>
      <c r="I16" s="3246"/>
      <c r="J16" s="2243"/>
      <c r="K16" s="2401"/>
      <c r="L16" s="1670"/>
      <c r="M16" s="1670"/>
      <c r="N16" s="2243"/>
      <c r="O16" s="1670"/>
      <c r="P16" s="2243"/>
      <c r="Q16" s="2243"/>
      <c r="R16" s="2243"/>
    </row>
    <row r="17" spans="1:28">
      <c r="A17" s="305" t="s">
        <v>2195</v>
      </c>
      <c r="B17" s="294" t="s">
        <v>2196</v>
      </c>
      <c r="C17" s="8">
        <f>'数据-汇总表'!E3</f>
        <v>32.74</v>
      </c>
      <c r="D17" s="1256" t="s">
        <v>2197</v>
      </c>
      <c r="E17" s="3247" t="s">
        <v>2198</v>
      </c>
      <c r="F17" s="3248"/>
      <c r="G17" s="3248"/>
      <c r="H17" s="3248"/>
      <c r="I17" s="3249"/>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0" t="s">
        <v>2202</v>
      </c>
      <c r="F18" s="3251"/>
      <c r="G18" s="3251"/>
      <c r="H18" s="3251"/>
      <c r="I18" s="3252"/>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7" t="s">
        <v>2206</v>
      </c>
      <c r="C20" s="3238"/>
      <c r="D20" s="3239" t="s">
        <v>2207</v>
      </c>
      <c r="E20" s="3240"/>
      <c r="F20" s="2428" t="s">
        <v>1056</v>
      </c>
      <c r="G20" s="2440"/>
      <c r="H20" s="2440"/>
      <c r="I20" s="2440"/>
      <c r="J20" s="2243"/>
      <c r="K20" s="323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25"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5"/>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5"/>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6"/>
      <c r="B30" s="294" t="s">
        <v>2218</v>
      </c>
      <c r="C30" s="3227"/>
      <c r="D30" s="3228"/>
      <c r="E30" s="2440"/>
      <c r="F30" s="2440"/>
      <c r="G30" s="2440"/>
      <c r="H30" s="2440"/>
      <c r="I30" s="2440"/>
      <c r="J30" s="2243"/>
      <c r="K30" s="2400"/>
      <c r="L30" s="2397"/>
      <c r="M30" s="2397"/>
      <c r="N30" s="2243"/>
      <c r="O30" s="1670"/>
      <c r="P30" s="2243"/>
      <c r="Q30" s="2243"/>
      <c r="R30" s="2243"/>
      <c r="S30" s="2243"/>
      <c r="T30" s="2243"/>
      <c r="U30" s="2243"/>
      <c r="V30" s="2243"/>
    </row>
    <row r="31" spans="1:28">
      <c r="A31" s="3229"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0"/>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24" t="s">
        <v>2228</v>
      </c>
      <c r="T34" s="315" t="str">
        <f>NUMBERSTRING(7-K34,1)&amp;"通"</f>
        <v>七通</v>
      </c>
      <c r="U34" s="2243"/>
      <c r="V34" s="2243"/>
    </row>
    <row r="35" spans="1:30">
      <c r="A35" s="2234"/>
      <c r="B35" s="3224" t="s">
        <v>2229</v>
      </c>
      <c r="C35" s="3224"/>
      <c r="D35" s="3224"/>
      <c r="E35" s="322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303</v>
      </c>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211</v>
      </c>
      <c r="C38" s="2236" t="s">
        <v>211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44" sqref="M4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32.74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32.74</v>
      </c>
      <c r="H5" s="13">
        <f t="shared" ref="H5:AT5" si="0">SUM(H13:H656)</f>
        <v>32.74</v>
      </c>
      <c r="I5" s="13">
        <f t="shared" si="0"/>
        <v>32.74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32.74</v>
      </c>
      <c r="BA5" s="15">
        <f t="shared" si="1"/>
        <v>32.74</v>
      </c>
      <c r="BB5" s="15">
        <f t="shared" si="1"/>
        <v>32.74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3469</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跃层商住</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3465</v>
      </c>
      <c r="E13" s="13">
        <f>IF($C$3="是",ROUND($A$3*G13/$B$3,2),ROUND($A$3*(G13-AT13)/$B$3,2))</f>
        <v>0</v>
      </c>
      <c r="F13" s="29"/>
      <c r="G13" s="30">
        <f>H13+AC13+AT13</f>
        <v>32.74</v>
      </c>
      <c r="H13" s="17">
        <f>SUMIF(I$12:AB$12,"总值",I13:AB13)</f>
        <v>32.74</v>
      </c>
      <c r="I13" s="1514">
        <v>32.74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32.74</v>
      </c>
      <c r="BA13" s="13">
        <f>SUM(BB13:BK13)</f>
        <v>32.74</v>
      </c>
      <c r="BB13" s="13">
        <f>IF($D13="是",I13-J13,0)</f>
        <v>32.74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2" t="s">
        <v>1131</v>
      </c>
      <c r="B2" s="3262"/>
      <c r="C2" s="3262"/>
      <c r="D2" s="748" t="s">
        <v>1107</v>
      </c>
      <c r="E2" s="1523" t="s">
        <v>1108</v>
      </c>
      <c r="F2" s="2437"/>
      <c r="G2" s="2430"/>
      <c r="H2" s="2431"/>
      <c r="I2" s="2144" t="s">
        <v>1132</v>
      </c>
      <c r="J2" s="2437"/>
      <c r="K2" s="2437"/>
      <c r="L2" s="2437"/>
      <c r="M2" s="2437"/>
      <c r="N2" s="2438"/>
      <c r="O2" s="2437"/>
      <c r="P2" s="2437"/>
    </row>
    <row r="3" spans="1:16" ht="15.75" thickBot="1">
      <c r="A3" s="3263" t="s">
        <v>1105</v>
      </c>
      <c r="B3" s="3263"/>
      <c r="C3" s="3263"/>
      <c r="D3" s="41">
        <f>'数据-基础表'!AY6</f>
        <v>0</v>
      </c>
      <c r="E3" s="41">
        <f>'数据-基础表'!AZ5</f>
        <v>32.74</v>
      </c>
      <c r="F3" s="2437"/>
      <c r="G3" s="42"/>
      <c r="H3" s="43" t="s">
        <v>1106</v>
      </c>
      <c r="I3" s="802" t="e">
        <f>ROUND('数据-基础表'!B3/'数据-基础表'!A3,2)</f>
        <v>#DIV/0!</v>
      </c>
      <c r="J3" s="2437"/>
      <c r="K3" s="2437"/>
      <c r="L3" s="2437"/>
      <c r="M3" s="2437"/>
      <c r="N3" s="2438"/>
      <c r="O3" s="2437"/>
      <c r="P3" s="2437"/>
    </row>
    <row r="4" spans="1:16" ht="15">
      <c r="A4" s="3264"/>
      <c r="B4" s="3265"/>
      <c r="C4" s="326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7" t="s">
        <v>1110</v>
      </c>
      <c r="C5" s="326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7" t="s">
        <v>1111</v>
      </c>
      <c r="C6" s="3267"/>
      <c r="D6" s="43">
        <f>ROUND($D$3*E6/$E$3,2)</f>
        <v>0</v>
      </c>
      <c r="E6" s="44">
        <f>E3-E5</f>
        <v>32.74</v>
      </c>
      <c r="F6" s="2437"/>
      <c r="G6" s="1529" t="s">
        <v>1112</v>
      </c>
      <c r="H6" s="45" t="s">
        <v>1113</v>
      </c>
      <c r="I6" s="2433" t="e">
        <f>ROUND(F31/D31,2)</f>
        <v>#DIV/0!</v>
      </c>
      <c r="J6" s="2437"/>
      <c r="K6" s="2437"/>
      <c r="L6" s="2437"/>
      <c r="M6" s="2437"/>
      <c r="N6" s="2437"/>
      <c r="O6" s="2437"/>
      <c r="P6" s="2437"/>
    </row>
    <row r="7" spans="1:16" ht="15.75" thickBot="1">
      <c r="A7" s="3259"/>
      <c r="B7" s="3260"/>
      <c r="C7" s="3261"/>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32.74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32.74</v>
      </c>
      <c r="F16" s="2437"/>
      <c r="G16" s="2437"/>
      <c r="H16" s="1531" t="s">
        <v>1135</v>
      </c>
      <c r="I16" s="1532"/>
      <c r="J16" s="1071"/>
      <c r="K16" s="3256" t="s">
        <v>1135</v>
      </c>
      <c r="L16" s="3257"/>
      <c r="M16" s="3257"/>
      <c r="N16" s="3257"/>
      <c r="O16" s="3257"/>
      <c r="P16" s="3258"/>
    </row>
    <row r="17" spans="1:19" ht="15">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3468</v>
      </c>
      <c r="D19" s="43">
        <f>ROUND($D$3*E19/$E$3,2)</f>
        <v>0</v>
      </c>
      <c r="E19" s="51">
        <f t="shared" ref="E19:E26" si="1">SUM(F19:G19)</f>
        <v>32.74</v>
      </c>
      <c r="F19" s="2556">
        <f>'数据-基础表'!I13</f>
        <v>32.74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32.74</v>
      </c>
      <c r="F27" s="1072">
        <f>IF(SUM(F19:F26)=E8,SUM(F19:F26),"地上面积有误")</f>
        <v>32.74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32.74</v>
      </c>
      <c r="F31" s="644">
        <f>F27+F30</f>
        <v>32.74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3471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信息服务用房</v>
      </c>
      <c r="B6" s="1587" t="str">
        <f>IF(A6=0,"","经营性")</f>
        <v>经营性</v>
      </c>
      <c r="C6" s="1588" t="s">
        <v>673</v>
      </c>
      <c r="D6" s="805">
        <f>SUMIF(项目基本情况!C$12:I$12,C6,项目基本情况!C$14:I$14)</f>
        <v>40</v>
      </c>
      <c r="E6" s="804">
        <f>IF(B6="","",SUMIF(项目基本情况!C$12:I$12,C6,项目基本情况!C$13:I$13))</f>
        <v>52932</v>
      </c>
      <c r="F6" s="61">
        <f>SUMIF(项目基本情况!C$12:I$12,C6,项目基本情况!C$15:I$15)</f>
        <v>18.95</v>
      </c>
      <c r="G6" s="62">
        <f>IF(ISERROR(ROUND(POWER(1+H6,D6-F6)*(POWER(1+H6,F6)-1)/(POWER(1+H6,D6)-1),3)),0,ROUND(POWER(1+H6,D6-F6)*(POWER(1+H6,F6)-1)/(POWER(1+H6,D6)-1),3))</f>
        <v>0.68300000000000005</v>
      </c>
      <c r="H6" s="691">
        <v>4.4999999999999998E-2</v>
      </c>
      <c r="I6" s="691">
        <v>4.4999999999999998E-2</v>
      </c>
      <c r="J6" s="63">
        <v>5.5E-2</v>
      </c>
      <c r="K6" s="970">
        <f>SUMIF('数据-汇总表'!C$19:C$33,A6,'数据-汇总表'!E$19:E$33)</f>
        <v>32.74</v>
      </c>
      <c r="L6" s="692">
        <v>3500</v>
      </c>
      <c r="M6" s="64">
        <f t="shared" ref="M6:M14" si="0">ROUND(K6*L6/10000,0)</f>
        <v>11</v>
      </c>
      <c r="N6" s="690">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4.9000000000000004</v>
      </c>
      <c r="V6" s="67">
        <v>1.4999999999999999E-2</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2E-3</v>
      </c>
      <c r="AL6" s="76">
        <v>1E-3</v>
      </c>
      <c r="AM6" s="77">
        <v>0.01</v>
      </c>
      <c r="AN6" s="1589" t="s">
        <v>3472</v>
      </c>
      <c r="AO6" s="50">
        <f ca="1">SUMIF(INDIRECT("'"&amp;AN6&amp;"'"&amp;"!A:A"),"总价",INDIRECT("'"&amp;AN6&amp;"'"&amp;"!B:B"))</f>
        <v>72.302400000000006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4.4999999999999998E-2</v>
      </c>
      <c r="I16" s="85"/>
      <c r="J16" s="85"/>
      <c r="K16" s="86">
        <f>SUM(K6:K15)</f>
        <v>32.74</v>
      </c>
      <c r="L16" s="87">
        <f>ROUND(M16*10000/SUM(K6:K14),0)</f>
        <v>3360</v>
      </c>
      <c r="M16" s="87">
        <f>SUM(M6:M14)</f>
        <v>11</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0.06</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0" sqref="G4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32.74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125.0733</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32.74</v>
      </c>
      <c r="C14" s="2304"/>
      <c r="D14" s="2304">
        <f ca="1">ROUND(E14*B14/10000,4)</f>
        <v>125.0733</v>
      </c>
      <c r="E14" s="2304">
        <f ca="1">结果表!G20</f>
        <v>38202</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4" t="str">
        <f>项目基本情况!S2</f>
        <v>北京市房地产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4" t="s">
        <v>1265</v>
      </c>
      <c r="B4" s="1625" t="s">
        <v>1266</v>
      </c>
      <c r="C4" s="1626" t="s">
        <v>3486</v>
      </c>
      <c r="D4" s="1626" t="s">
        <v>3472</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287"/>
      <c r="D5" s="3307"/>
      <c r="E5" s="123" t="s">
        <v>1269</v>
      </c>
      <c r="F5" s="1627"/>
      <c r="G5" s="1627"/>
      <c r="H5" s="1627"/>
      <c r="I5" s="1281"/>
    </row>
    <row r="6" spans="1:12" ht="12.75">
      <c r="A6" s="3284"/>
      <c r="B6" s="3271"/>
      <c r="C6" s="3288"/>
      <c r="D6" s="3307"/>
      <c r="E6" s="123" t="s">
        <v>1270</v>
      </c>
      <c r="F6" s="1627"/>
      <c r="G6" s="1627"/>
      <c r="H6" s="1627"/>
      <c r="I6" s="1281"/>
    </row>
    <row r="7" spans="1:12" ht="12.75">
      <c r="A7" s="3284"/>
      <c r="B7" s="3271"/>
      <c r="C7" s="3289"/>
      <c r="D7" s="3307"/>
      <c r="E7" s="123" t="s">
        <v>1271</v>
      </c>
      <c r="F7" s="1627"/>
      <c r="G7" s="1627"/>
      <c r="H7" s="1627"/>
      <c r="I7" s="1281"/>
    </row>
    <row r="8" spans="1:12" ht="12.75">
      <c r="A8" s="3284" t="s">
        <v>1272</v>
      </c>
      <c r="B8" s="3271">
        <v>15</v>
      </c>
      <c r="C8" s="3287"/>
      <c r="D8" s="3307"/>
      <c r="E8" s="123" t="s">
        <v>1273</v>
      </c>
      <c r="F8" s="1627"/>
      <c r="G8" s="1627"/>
      <c r="H8" s="1627"/>
      <c r="I8" s="1281"/>
    </row>
    <row r="9" spans="1:12" ht="12.75">
      <c r="A9" s="3284"/>
      <c r="B9" s="3271"/>
      <c r="C9" s="3289"/>
      <c r="D9" s="3307"/>
      <c r="E9" s="123" t="s">
        <v>1274</v>
      </c>
      <c r="F9" s="1627"/>
      <c r="G9" s="1627"/>
      <c r="H9" s="1627"/>
      <c r="I9" s="1281"/>
    </row>
    <row r="10" spans="1:12" ht="12.75">
      <c r="A10" s="3284" t="s">
        <v>1275</v>
      </c>
      <c r="B10" s="3271">
        <v>15</v>
      </c>
      <c r="C10" s="3287"/>
      <c r="D10" s="3307"/>
      <c r="E10" s="123" t="s">
        <v>1276</v>
      </c>
      <c r="F10" s="1627"/>
      <c r="G10" s="1627"/>
      <c r="H10" s="1627"/>
      <c r="I10" s="1281"/>
    </row>
    <row r="11" spans="1:12" ht="12.75">
      <c r="A11" s="3284"/>
      <c r="B11" s="3271"/>
      <c r="C11" s="3289"/>
      <c r="D11" s="3307"/>
      <c r="E11" s="123" t="s">
        <v>1277</v>
      </c>
      <c r="F11" s="1627"/>
      <c r="G11" s="1627"/>
      <c r="H11" s="1627"/>
      <c r="I11" s="1281"/>
    </row>
    <row r="12" spans="1:12" ht="12.75">
      <c r="A12" s="3284" t="s">
        <v>1278</v>
      </c>
      <c r="B12" s="3271">
        <v>15</v>
      </c>
      <c r="C12" s="3287"/>
      <c r="D12" s="3307"/>
      <c r="E12" s="123" t="s">
        <v>1279</v>
      </c>
      <c r="F12" s="1627"/>
      <c r="G12" s="1627"/>
      <c r="H12" s="1627"/>
      <c r="I12" s="1281"/>
    </row>
    <row r="13" spans="1:12" ht="12.75">
      <c r="A13" s="3284"/>
      <c r="B13" s="3271"/>
      <c r="C13" s="3289"/>
      <c r="D13" s="3307"/>
      <c r="E13" s="123" t="s">
        <v>1280</v>
      </c>
      <c r="F13" s="1627"/>
      <c r="G13" s="1627"/>
      <c r="H13" s="1627"/>
      <c r="I13" s="1281"/>
    </row>
    <row r="14" spans="1:12" ht="12.75">
      <c r="A14" s="3284" t="s">
        <v>1281</v>
      </c>
      <c r="B14" s="3271">
        <v>30</v>
      </c>
      <c r="C14" s="3287">
        <v>8</v>
      </c>
      <c r="D14" s="3307">
        <f>10-C14</f>
        <v>2</v>
      </c>
      <c r="E14" s="123" t="s">
        <v>1282</v>
      </c>
      <c r="F14" s="1627"/>
      <c r="G14" s="1627"/>
      <c r="H14" s="1627"/>
      <c r="I14" s="1281"/>
    </row>
    <row r="15" spans="1:12" ht="12.75">
      <c r="A15" s="3284"/>
      <c r="B15" s="3271"/>
      <c r="C15" s="3288"/>
      <c r="D15" s="3307"/>
      <c r="E15" s="123" t="s">
        <v>1283</v>
      </c>
      <c r="F15" s="1627"/>
      <c r="G15" s="1627"/>
      <c r="H15" s="1627"/>
      <c r="I15" s="1281"/>
    </row>
    <row r="16" spans="1:12" ht="12.75">
      <c r="A16" s="3284"/>
      <c r="B16" s="3271"/>
      <c r="C16" s="3289"/>
      <c r="D16" s="3307"/>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294" t="s">
        <v>2131</v>
      </c>
      <c r="F18" s="3295"/>
      <c r="G18" s="3295"/>
      <c r="H18" s="3295"/>
      <c r="I18" s="3295"/>
      <c r="K18" s="294" t="s">
        <v>1289</v>
      </c>
      <c r="L18" s="294">
        <f>IF(C1="",'数据-汇总表'!E3,SUMIF(项目类型,C1,'数据-汇总表'!E17:E26)+SUMIF(项目类型,C1,'数据-汇总表'!I17:I26))</f>
        <v>32.74</v>
      </c>
      <c r="M18" s="294">
        <f>IF(C1="",'数据-汇总表'!E3,SUMIF(项目类型,C1,'数据-汇总表'!E17:E26))</f>
        <v>32.74</v>
      </c>
    </row>
    <row r="19" spans="1:36" ht="15">
      <c r="A19" s="1630" t="s">
        <v>1290</v>
      </c>
      <c r="B19" s="1631" t="s">
        <v>1291</v>
      </c>
      <c r="C19" s="126">
        <f ca="1">SUMIF(INDIRECT("'"&amp;C4&amp;"'"&amp;"!A:A"),结果表!B19,INDIRECT("'"&amp;C4&amp;"'"&amp;"!B:B"))</f>
        <v>138.26429999999999</v>
      </c>
      <c r="D19" s="127">
        <f ca="1">SUMIF(INDIRECT("'"&amp;D4&amp;"'"&amp;"!A:A"),结果表!B19,INDIRECT("'"&amp;D4&amp;"'"&amp;"!B:B"))</f>
        <v>72.302400000000006</v>
      </c>
      <c r="E19" s="1630" t="s">
        <v>1292</v>
      </c>
      <c r="F19" s="1631" t="s">
        <v>1291</v>
      </c>
      <c r="G19" s="128">
        <f ca="1">ROUND(C19*$C$18+D19*$D$18,0)</f>
        <v>125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42231</v>
      </c>
      <c r="D20" s="130">
        <f ca="1">SUMIF(INDIRECT("'"&amp;D4&amp;"'"&amp;"!A:A"),结果表!B20,INDIRECT("'"&amp;D4&amp;"'"&amp;"!B:B"))</f>
        <v>22084</v>
      </c>
      <c r="E20" s="1633"/>
      <c r="F20" s="43" t="s">
        <v>1295</v>
      </c>
      <c r="G20" s="131">
        <f ca="1">ROUND(C20*$C$18+D20*$D$18,0)</f>
        <v>38202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0.91230581557458645</v>
      </c>
      <c r="E22" s="121"/>
      <c r="F22" s="121"/>
      <c r="G22" s="121"/>
      <c r="H22" s="121"/>
      <c r="I22" s="121"/>
    </row>
    <row r="23" spans="1:36" ht="13.5" thickBot="1">
      <c r="A23" s="646"/>
      <c r="B23" s="646"/>
      <c r="C23" s="646"/>
      <c r="D23" s="646"/>
      <c r="E23" s="121"/>
      <c r="F23" s="121"/>
      <c r="G23" s="121"/>
      <c r="H23" s="121"/>
      <c r="I23" s="121"/>
    </row>
    <row r="24" spans="1:36" ht="14.25">
      <c r="A24" s="3278" t="s">
        <v>1299</v>
      </c>
      <c r="B24" s="1631" t="s">
        <v>1291</v>
      </c>
      <c r="C24" s="128">
        <f>IF(B30=0,0,D30)</f>
        <v>0</v>
      </c>
      <c r="D24" s="1637"/>
      <c r="E24" s="121"/>
      <c r="F24" s="121"/>
      <c r="G24" s="121"/>
      <c r="H24" s="121"/>
      <c r="I24" s="121"/>
    </row>
    <row r="25" spans="1:36" ht="14.25">
      <c r="A25" s="327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c r="M27" s="684">
        <v>125</v>
      </c>
      <c r="N27" s="684">
        <v>117</v>
      </c>
    </row>
    <row r="28" spans="1:36" ht="14.25">
      <c r="A28" s="1639"/>
      <c r="B28" s="134"/>
      <c r="C28" s="134"/>
      <c r="D28" s="135"/>
      <c r="E28" s="121"/>
      <c r="F28" s="121"/>
      <c r="G28" s="121"/>
      <c r="H28" s="121"/>
      <c r="I28" s="121"/>
      <c r="M28" s="684">
        <f>M27/'数据-汇总表'!F19</f>
        <v>3.8179596823457542</v>
      </c>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38202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8" t="s">
        <v>1312</v>
      </c>
      <c r="B36" s="1652" t="s">
        <v>1313</v>
      </c>
      <c r="C36" s="137"/>
      <c r="D36" s="1653"/>
      <c r="E36" s="1567"/>
      <c r="F36" s="1654"/>
      <c r="G36" s="121"/>
      <c r="H36" s="121"/>
      <c r="I36" s="121"/>
    </row>
    <row r="37" spans="1:15" ht="15.75" thickBot="1">
      <c r="A37" s="3299"/>
      <c r="B37" s="1555" t="s">
        <v>1314</v>
      </c>
      <c r="C37" s="139"/>
      <c r="D37" s="1071"/>
      <c r="E37" s="1071"/>
      <c r="F37" s="1654"/>
      <c r="G37" s="121"/>
      <c r="H37" s="121"/>
      <c r="I37" s="121"/>
    </row>
    <row r="38" spans="1:15" ht="15.75" thickBot="1">
      <c r="A38" s="330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5" t="s">
        <v>1326</v>
      </c>
      <c r="B45" s="3276"/>
      <c r="C45" s="3277"/>
      <c r="D45" s="147" t="e">
        <f ca="1">ROUND(H101*F45,0)</f>
        <v>#REF!</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8"/>
      <c r="I46" s="151"/>
      <c r="J46" s="2308">
        <v>1</v>
      </c>
      <c r="K46" s="3334" t="s">
        <v>1331</v>
      </c>
      <c r="L46" s="3334"/>
      <c r="M46" s="3354"/>
      <c r="N46" s="3354"/>
      <c r="O46" s="3354"/>
    </row>
    <row r="47" spans="1:15" ht="12" customHeight="1">
      <c r="A47" s="152" t="s">
        <v>1332</v>
      </c>
      <c r="B47" s="153"/>
      <c r="C47" s="154"/>
      <c r="D47" s="1024" t="s">
        <v>1333</v>
      </c>
      <c r="E47" s="294" t="s">
        <v>1334</v>
      </c>
      <c r="F47" s="155" t="s">
        <v>1335</v>
      </c>
      <c r="G47" s="2331" t="s">
        <v>1336</v>
      </c>
      <c r="H47" s="2332"/>
      <c r="I47" s="151"/>
      <c r="J47" s="2308">
        <v>2</v>
      </c>
      <c r="K47" s="3334" t="s">
        <v>1337</v>
      </c>
      <c r="L47" s="3334"/>
      <c r="M47" s="3355">
        <f>'数据-取费表'!B2</f>
        <v>46015</v>
      </c>
      <c r="N47" s="3355"/>
      <c r="O47" s="3355"/>
    </row>
    <row r="48" spans="1:15" ht="25.5">
      <c r="A48" s="3303" t="s">
        <v>1338</v>
      </c>
      <c r="B48" s="3286"/>
      <c r="C48" s="328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4" t="s">
        <v>1340</v>
      </c>
      <c r="L48" s="3334"/>
      <c r="M48" s="3356" t="e">
        <f ca="1">H101</f>
        <v>#REF!</v>
      </c>
      <c r="N48" s="3356"/>
      <c r="O48" s="3356"/>
    </row>
    <row r="49" spans="1:35" ht="25.5" customHeight="1">
      <c r="A49" s="2150" t="s">
        <v>1341</v>
      </c>
      <c r="B49" s="3270" t="s">
        <v>1342</v>
      </c>
      <c r="C49" s="3270"/>
      <c r="D49" s="1478">
        <v>0</v>
      </c>
      <c r="E49" s="316" t="s">
        <v>1343</v>
      </c>
      <c r="F49" s="2231" t="s">
        <v>28</v>
      </c>
      <c r="G49" s="3340"/>
      <c r="H49" s="2132" t="s">
        <v>2134</v>
      </c>
      <c r="I49" s="2133"/>
      <c r="J49" s="2308">
        <v>4</v>
      </c>
      <c r="K49" s="3334" t="str">
        <f>IF(项目基本情况!E8="房地产抵押价值","房地产抵押价值","抵押担保权已注销时的房地产抵押价值")</f>
        <v>抵押担保权已注销时的房地产抵押价值</v>
      </c>
      <c r="L49" s="3334"/>
      <c r="M49" s="3356" t="str">
        <f>IF(项目基本情况!E8="房地产抵押价值",H107,H109)</f>
        <v>——</v>
      </c>
      <c r="N49" s="3356"/>
      <c r="O49" s="3356"/>
    </row>
    <row r="50" spans="1:35" ht="25.5" customHeight="1">
      <c r="A50" s="2336"/>
      <c r="B50" s="3270" t="s">
        <v>1344</v>
      </c>
      <c r="C50" s="3270"/>
      <c r="D50" s="2187"/>
      <c r="E50" s="323"/>
      <c r="F50" s="2231"/>
      <c r="G50" s="3341"/>
      <c r="H50" s="2134" t="s">
        <v>2135</v>
      </c>
      <c r="I50" s="2133"/>
      <c r="J50" s="3353" t="s">
        <v>1345</v>
      </c>
      <c r="K50" s="3353"/>
      <c r="L50" s="3353"/>
      <c r="M50" s="3353"/>
      <c r="N50" s="3353"/>
      <c r="O50" s="3353"/>
    </row>
    <row r="51" spans="1:35" ht="20.45" customHeight="1">
      <c r="A51" s="2337"/>
      <c r="B51" s="3270" t="s">
        <v>1346</v>
      </c>
      <c r="C51" s="3270"/>
      <c r="D51" s="1024"/>
      <c r="E51" s="319"/>
      <c r="F51" s="2231"/>
      <c r="G51" s="3342"/>
      <c r="H51" s="2134" t="s">
        <v>2136</v>
      </c>
      <c r="I51" s="2133"/>
      <c r="J51" s="2309" t="s">
        <v>1347</v>
      </c>
      <c r="K51" s="3334" t="s">
        <v>1348</v>
      </c>
      <c r="L51" s="3334"/>
      <c r="M51" s="2309" t="s">
        <v>1349</v>
      </c>
      <c r="N51" s="2309" t="s">
        <v>1350</v>
      </c>
      <c r="O51" s="2309" t="s">
        <v>1351</v>
      </c>
    </row>
    <row r="52" spans="1:35" ht="24" customHeight="1">
      <c r="A52" s="2151" t="s">
        <v>1352</v>
      </c>
      <c r="B52" s="3270" t="s">
        <v>1353</v>
      </c>
      <c r="C52" s="3270"/>
      <c r="D52" s="1024" t="e">
        <f ca="1">ROUND(D45*'数据-取费表'!B41/(1+'数据-取费表'!C42),0)</f>
        <v>#REF!</v>
      </c>
      <c r="E52" s="1256" t="s">
        <v>1354</v>
      </c>
      <c r="F52" s="2338">
        <f>'数据-取费表'!B41</f>
        <v>5.6000000000000001E-2</v>
      </c>
      <c r="G52" s="2339"/>
      <c r="H52" s="2329"/>
      <c r="I52" s="1669"/>
      <c r="J52" s="2308">
        <v>1</v>
      </c>
      <c r="K52" s="3335" t="s">
        <v>1355</v>
      </c>
      <c r="L52" s="3335"/>
      <c r="M52" s="2310" t="b">
        <f>D48</f>
        <v>0</v>
      </c>
      <c r="N52" s="2308" t="str">
        <f>E48</f>
        <v>销售额×税（费）率</v>
      </c>
      <c r="O52" s="2311">
        <f>F48</f>
        <v>5.6000000000000001E-2</v>
      </c>
    </row>
    <row r="53" spans="1:35" ht="12" customHeight="1">
      <c r="A53" s="2151" t="s">
        <v>1356</v>
      </c>
      <c r="B53" s="3296" t="s">
        <v>2291</v>
      </c>
      <c r="C53" s="3297"/>
      <c r="D53" s="1024" t="e">
        <f ca="1">ROUND(D45*'数据-取费表'!B41/(1+'数据-取费表'!C42),0)</f>
        <v>#REF!</v>
      </c>
      <c r="E53" s="1256" t="s">
        <v>1354</v>
      </c>
      <c r="F53" s="2338">
        <f>'数据-取费表'!B41</f>
        <v>5.6000000000000001E-2</v>
      </c>
      <c r="G53" s="2339"/>
      <c r="H53" s="2329"/>
      <c r="I53" s="1669"/>
      <c r="J53" s="2308">
        <v>2</v>
      </c>
      <c r="K53" s="3335" t="s">
        <v>1357</v>
      </c>
      <c r="L53" s="3335"/>
      <c r="M53" s="2310" t="e">
        <f t="shared" ref="M53:O54" ca="1" si="0">D55</f>
        <v>#REF!</v>
      </c>
      <c r="N53" s="2308" t="str">
        <f t="shared" si="0"/>
        <v>销售额×税（费）率</v>
      </c>
      <c r="O53" s="2311" t="str">
        <f t="shared" si="0"/>
        <v>免征</v>
      </c>
    </row>
    <row r="54" spans="1:35" ht="12" customHeight="1">
      <c r="A54" s="2151" t="s">
        <v>1358</v>
      </c>
      <c r="B54" s="3296" t="s">
        <v>2292</v>
      </c>
      <c r="C54" s="3297"/>
      <c r="D54" s="1024" t="e">
        <f ca="1">C68</f>
        <v>#REF!</v>
      </c>
      <c r="E54" s="319" t="s">
        <v>1359</v>
      </c>
      <c r="F54" s="2338">
        <f>'数据-取费表'!B41</f>
        <v>5.6000000000000001E-2</v>
      </c>
      <c r="G54" s="2339"/>
      <c r="H54" s="2340"/>
      <c r="I54" s="1669"/>
      <c r="J54" s="2308">
        <v>3</v>
      </c>
      <c r="K54" s="3335" t="s">
        <v>1360</v>
      </c>
      <c r="L54" s="3335"/>
      <c r="M54" s="2310" t="e">
        <f t="shared" ca="1" si="0"/>
        <v>#REF!</v>
      </c>
      <c r="N54" s="2308" t="str">
        <f t="shared" si="0"/>
        <v>增值额×税（费）率</v>
      </c>
      <c r="O54" s="2312" t="str">
        <f t="shared" si="0"/>
        <v>免征</v>
      </c>
    </row>
    <row r="55" spans="1:35" ht="24" customHeight="1">
      <c r="A55" s="3285" t="s">
        <v>1361</v>
      </c>
      <c r="B55" s="3286"/>
      <c r="C55" s="3286"/>
      <c r="D55" s="12" t="e">
        <f ca="1">IF(H55="个人住宅",0,ROUND(D45*I55,0))</f>
        <v>#REF!</v>
      </c>
      <c r="E55" s="1256" t="s">
        <v>1362</v>
      </c>
      <c r="F55" s="2338" t="str">
        <f>IF(H55="正常",I55,"免征")</f>
        <v>免征</v>
      </c>
      <c r="G55" s="2339"/>
      <c r="H55" s="2335"/>
      <c r="I55" s="157">
        <f>'数据-取费表'!B49</f>
        <v>5.0000000000000001E-4</v>
      </c>
      <c r="J55" s="2308">
        <f>IF(H59="非个人房产","",4)</f>
        <v>4</v>
      </c>
      <c r="K55" s="3335" t="str">
        <f>IF(H59="非个人房产","——","个人所得税")</f>
        <v>个人所得税</v>
      </c>
      <c r="L55" s="3335"/>
      <c r="M55" s="2313" t="e">
        <f ca="1">D59</f>
        <v>#REF!</v>
      </c>
      <c r="N55" s="1881" t="str">
        <f>E59</f>
        <v>差额计税</v>
      </c>
      <c r="O55" s="2314">
        <f>F59</f>
        <v>0.01</v>
      </c>
    </row>
    <row r="56" spans="1:35" ht="24.75">
      <c r="A56" s="3285" t="s">
        <v>1363</v>
      </c>
      <c r="B56" s="3286"/>
      <c r="C56" s="3286"/>
      <c r="D56" s="12" t="e">
        <f ca="1">IF(H56="个人住宅",D57,D58)</f>
        <v>#REF!</v>
      </c>
      <c r="E56" s="1256" t="s">
        <v>1364</v>
      </c>
      <c r="F56" s="2338" t="str">
        <f>IF(H56="正常",F58,"免征")</f>
        <v>免征</v>
      </c>
      <c r="G56" s="2341" t="s">
        <v>1365</v>
      </c>
      <c r="H56" s="2342"/>
      <c r="I56" s="1670"/>
      <c r="J56" s="2308" t="str">
        <f>IF(项目基本情况!K6="上海银行",IF(J55="",4,J55+1),"")</f>
        <v/>
      </c>
      <c r="K56" s="3358" t="str">
        <f>IF(项目基本情况!K6="上海银行","其他处置费用","")</f>
        <v/>
      </c>
      <c r="L56" s="3359"/>
      <c r="M56" s="2310" t="str">
        <f>IF(项目基本情况!K6="上海银行",M69,"")</f>
        <v/>
      </c>
      <c r="N56" s="3358" t="str">
        <f>IF(项目基本情况!K6="上海银行","包含处置中涉及的律师、诉讼、拍卖、评估等费用","")</f>
        <v/>
      </c>
      <c r="O56" s="3361"/>
    </row>
    <row r="57" spans="1:35" ht="12.75">
      <c r="A57" s="2151" t="s">
        <v>1341</v>
      </c>
      <c r="B57" s="3296" t="s">
        <v>1366</v>
      </c>
      <c r="C57" s="3297"/>
      <c r="D57" s="1478">
        <v>0</v>
      </c>
      <c r="E57" s="316" t="s">
        <v>1343</v>
      </c>
      <c r="F57" s="294"/>
      <c r="G57" s="2339"/>
      <c r="H57" s="2343"/>
      <c r="I57" s="1670"/>
      <c r="J57" s="3335">
        <f>IF(AND(J55="",J56=""),4,IF(项目基本情况!K6="上海银行",结果表!J56+1,结果表!J55+1))</f>
        <v>5</v>
      </c>
      <c r="K57" s="3335" t="s">
        <v>1367</v>
      </c>
      <c r="L57" s="2315" t="s">
        <v>1368</v>
      </c>
      <c r="M57" s="2316"/>
      <c r="N57" s="2317">
        <f ca="1">SUMIF(M52:M56,"&lt;9e307")</f>
        <v>0</v>
      </c>
      <c r="O57" s="2318"/>
      <c r="P57" s="2463" t="e">
        <f ca="1">N57/M49</f>
        <v>#VALUE!</v>
      </c>
    </row>
    <row r="58" spans="1:35" ht="24.75">
      <c r="A58" s="2151" t="s">
        <v>1352</v>
      </c>
      <c r="B58" s="3296" t="s">
        <v>1369</v>
      </c>
      <c r="C58" s="3270"/>
      <c r="D58" s="12" t="e">
        <f ca="1">IF(H58="转让取得",C81,C97)</f>
        <v>#REF!</v>
      </c>
      <c r="E58" s="1256" t="s">
        <v>1364</v>
      </c>
      <c r="F58" s="294" t="s">
        <v>28</v>
      </c>
      <c r="G58" s="2339"/>
      <c r="H58" s="2342"/>
      <c r="I58" s="1670"/>
      <c r="J58" s="3335"/>
      <c r="K58" s="3335"/>
      <c r="L58" s="2315" t="s">
        <v>1370</v>
      </c>
      <c r="M58" s="2319"/>
      <c r="N58" s="2320" t="str">
        <f ca="1">NUMBERSTRING(INT(N57*10000),2)&amp;"元整"</f>
        <v>零元整</v>
      </c>
      <c r="O58" s="2321"/>
    </row>
    <row r="59" spans="1:35" ht="24.75" thickBot="1">
      <c r="A59" s="3338" t="s">
        <v>1371</v>
      </c>
      <c r="B59" s="3339"/>
      <c r="C59" s="3339"/>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36">
        <f>J57+1</f>
        <v>6</v>
      </c>
      <c r="K59" s="3335" t="s">
        <v>1372</v>
      </c>
      <c r="L59" s="2308" t="s">
        <v>1368</v>
      </c>
      <c r="M59" s="2322"/>
      <c r="N59" s="2323" t="e">
        <f ca="1">M49-N57</f>
        <v>#VALUE!</v>
      </c>
      <c r="O59" s="2324"/>
    </row>
    <row r="60" spans="1:35" ht="12" customHeight="1">
      <c r="A60" s="1671"/>
      <c r="B60" s="646"/>
      <c r="C60" s="646"/>
      <c r="D60" s="646"/>
      <c r="E60" s="1466"/>
      <c r="F60" s="1670"/>
      <c r="G60" s="1670"/>
      <c r="H60" s="151"/>
      <c r="I60" s="121"/>
      <c r="J60" s="3337"/>
      <c r="K60" s="3335"/>
      <c r="L60" s="2315" t="s">
        <v>1370</v>
      </c>
      <c r="M60" s="2319"/>
      <c r="N60" s="2320" t="e">
        <f ca="1">NUMBERSTRING(INT(N59*10000),2)&amp;"元整"</f>
        <v>#VALUE!</v>
      </c>
      <c r="O60" s="2321"/>
    </row>
    <row r="61" spans="1:35" ht="13.5" thickBot="1">
      <c r="A61" s="3283" t="s">
        <v>1373</v>
      </c>
      <c r="B61" s="3283"/>
      <c r="C61" s="3283"/>
      <c r="D61" s="3283"/>
      <c r="E61" s="3283"/>
      <c r="F61" s="1670"/>
      <c r="G61" s="1670"/>
      <c r="H61" s="151"/>
      <c r="I61" s="121"/>
      <c r="J61" s="2308">
        <f>J59+1</f>
        <v>7</v>
      </c>
      <c r="K61" s="3335" t="s">
        <v>1374</v>
      </c>
      <c r="L61" s="3335"/>
      <c r="M61" s="2325"/>
      <c r="N61" s="2326" t="e">
        <f ca="1">ROUND(N59*10000/'数据-汇总表'!E3,0)</f>
        <v>#VALUE!</v>
      </c>
      <c r="O61" s="2327"/>
    </row>
    <row r="62" spans="1:35" ht="12.75">
      <c r="A62" s="3301" t="s">
        <v>1375</v>
      </c>
      <c r="B62" s="3302"/>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60"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6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60"/>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60"/>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6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60"/>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60"/>
      <c r="K69" s="1245" t="s">
        <v>1393</v>
      </c>
      <c r="L69" s="1245"/>
      <c r="M69" s="294" t="e">
        <f>ROUND(SUM(M63:M68),0)</f>
        <v>#VALUE!</v>
      </c>
      <c r="N69" s="2330" t="e">
        <f>M69/M49</f>
        <v>#VALUE!</v>
      </c>
      <c r="Z69" s="1623"/>
      <c r="AI69" s="1561"/>
    </row>
    <row r="70" spans="1:35" s="642" customFormat="1" ht="1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1" t="s">
        <v>1375</v>
      </c>
      <c r="B71" s="3302"/>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6" t="s">
        <v>1402</v>
      </c>
      <c r="F76" s="3270"/>
      <c r="G76" s="3270"/>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80" t="s">
        <v>1406</v>
      </c>
      <c r="F78" s="3281"/>
      <c r="G78" s="3281"/>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1" t="s">
        <v>1375</v>
      </c>
      <c r="B84" s="3302"/>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62" t="s">
        <v>2129</v>
      </c>
      <c r="H90" s="3363"/>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0" t="s">
        <v>1422</v>
      </c>
      <c r="F92" s="3281"/>
      <c r="G92" s="3281"/>
      <c r="H92" s="329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80" t="s">
        <v>1406</v>
      </c>
      <c r="F93" s="3281"/>
      <c r="G93" s="3281"/>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1" t="s">
        <v>1426</v>
      </c>
      <c r="F94" s="3292"/>
      <c r="G94" s="3292"/>
      <c r="H94" s="32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69" t="str">
        <f>C4</f>
        <v>比较法-住宅</v>
      </c>
      <c r="D101" s="2370" t="str">
        <f>D4</f>
        <v>收益法 (元)</v>
      </c>
      <c r="E101" s="3357" t="s">
        <v>1431</v>
      </c>
      <c r="F101" s="3314"/>
      <c r="G101" s="1687" t="s">
        <v>1432</v>
      </c>
      <c r="H101" s="2379" t="e">
        <f ca="1">H118</f>
        <v>#REF!</v>
      </c>
      <c r="I101" s="121"/>
    </row>
    <row r="102" spans="1:35" ht="18.75" customHeight="1">
      <c r="A102" s="3316" t="s">
        <v>1433</v>
      </c>
      <c r="B102" s="2368" t="s">
        <v>1432</v>
      </c>
      <c r="C102" s="2369">
        <f ca="1">IF(D32="楼面单价",ROUND(C19,0),C19)</f>
        <v>138.26429999999999</v>
      </c>
      <c r="D102" s="2370">
        <f ca="1">IF(D32="楼面单价",ROUND(D19,0),D19)</f>
        <v>72.302400000000006</v>
      </c>
      <c r="E102" s="3357"/>
      <c r="F102" s="3314"/>
      <c r="G102" s="1687" t="s">
        <v>1434</v>
      </c>
      <c r="H102" s="2339" t="e">
        <f ca="1">I118</f>
        <v>#REF!</v>
      </c>
      <c r="I102" s="121"/>
    </row>
    <row r="103" spans="1:35" ht="42.75" customHeight="1">
      <c r="A103" s="3316"/>
      <c r="B103" s="2368" t="s">
        <v>1434</v>
      </c>
      <c r="C103" s="2371">
        <f ca="1">C20</f>
        <v>42231</v>
      </c>
      <c r="D103" s="2372">
        <f ca="1">D20</f>
        <v>22084</v>
      </c>
      <c r="E103" s="3351" t="s">
        <v>1435</v>
      </c>
      <c r="F103" s="3352"/>
      <c r="G103" s="1688" t="s">
        <v>1436</v>
      </c>
      <c r="H103" s="2379">
        <f>IF(D36="正常操作",H104+H105+H106,H105+H106)</f>
        <v>0</v>
      </c>
      <c r="I103" s="121"/>
    </row>
    <row r="104" spans="1:35" ht="18.75" customHeight="1">
      <c r="A104" s="3316"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7"/>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3" t="str">
        <f>IF(项目基本情况!E8="已注销","——","3.房地产抵押价值")</f>
        <v>3.房地产抵押价值</v>
      </c>
      <c r="F107" s="3314"/>
      <c r="G107" s="1687" t="s">
        <v>1432</v>
      </c>
      <c r="H107" s="2379" t="e">
        <f ca="1">IF(E107="——","——",H101-H103)</f>
        <v>#REF!</v>
      </c>
      <c r="I107" s="121"/>
    </row>
    <row r="108" spans="1:35" ht="18.75" customHeight="1">
      <c r="A108" s="121"/>
      <c r="B108" s="121"/>
      <c r="C108" s="121"/>
      <c r="D108" s="121"/>
      <c r="E108" s="3313"/>
      <c r="F108" s="3314"/>
      <c r="G108" s="1687" t="s">
        <v>1434</v>
      </c>
      <c r="H108" s="2339">
        <f ca="1">IF(H107=H101,H102,ROUND(H107*10000/'数据-汇总表'!E3,0))</f>
        <v>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7" t="s">
        <v>1432</v>
      </c>
      <c r="H109" s="2382" t="str">
        <f>IF(E109="——","——",H101-H105-H106)</f>
        <v>——</v>
      </c>
      <c r="I109" s="121"/>
    </row>
    <row r="110" spans="1:35" ht="18.75" customHeight="1">
      <c r="A110" s="121"/>
      <c r="B110" s="121"/>
      <c r="C110" s="121"/>
      <c r="D110" s="121"/>
      <c r="E110" s="3313"/>
      <c r="F110" s="3314"/>
      <c r="G110" s="1687" t="s">
        <v>1434</v>
      </c>
      <c r="H110" s="2339"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7" t="s">
        <v>1432</v>
      </c>
      <c r="H111" s="2379" t="str">
        <f>IF(E111="——","——",N59)</f>
        <v>——</v>
      </c>
      <c r="I111" s="121"/>
    </row>
    <row r="112" spans="1:35" ht="18.75" customHeight="1" thickBot="1">
      <c r="A112" s="121"/>
      <c r="B112" s="121"/>
      <c r="C112" s="121"/>
      <c r="D112" s="121"/>
      <c r="E112" s="3346"/>
      <c r="F112" s="3347"/>
      <c r="G112" s="1690" t="s">
        <v>1434</v>
      </c>
      <c r="H112" s="2383"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32.74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4" t="s">
        <v>1452</v>
      </c>
      <c r="B119" s="3284"/>
      <c r="C119" s="3284"/>
      <c r="D119" s="3324" t="e">
        <f ca="1">NUMBERSTRING(INT(D118*10000),2)&amp;"元整"</f>
        <v>#REF!</v>
      </c>
      <c r="E119" s="3326"/>
      <c r="F119" s="3324" t="e">
        <f ca="1">NUMBERSTRING(INT(F118*10000),2)&amp;"元整"</f>
        <v>#REF!</v>
      </c>
      <c r="G119" s="3326"/>
      <c r="H119" s="3324" t="e">
        <f ca="1">NUMBERSTRING(INT(H118*10000),2)&amp;"元整"</f>
        <v>#REF!</v>
      </c>
      <c r="I119" s="3326"/>
    </row>
    <row r="120" spans="1:27" ht="18.75" customHeight="1">
      <c r="A120" s="3348" t="str">
        <f>IF(项目基本情况!B9="房地产市场价值","",MID(E103,3,LEN(E103)-2))</f>
        <v/>
      </c>
      <c r="B120" s="3349"/>
      <c r="C120" s="3350"/>
      <c r="D120" s="3348">
        <f>H103</f>
        <v>0</v>
      </c>
      <c r="E120" s="3349"/>
      <c r="F120" s="3349"/>
      <c r="G120" s="3349"/>
      <c r="H120" s="3349"/>
      <c r="I120" s="33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
      </c>
      <c r="B122" s="3315"/>
      <c r="C122" s="3315"/>
      <c r="D122" s="3348" t="e">
        <f ca="1">H107</f>
        <v>#REF!</v>
      </c>
      <c r="E122" s="3349"/>
      <c r="F122" s="3349"/>
      <c r="G122" s="3349"/>
      <c r="H122" s="3349"/>
      <c r="I122" s="3350"/>
      <c r="AA122" s="684"/>
    </row>
    <row r="123" spans="1:27" ht="18.75" customHeight="1">
      <c r="A123" s="3284" t="s">
        <v>1452</v>
      </c>
      <c r="B123" s="3284"/>
      <c r="C123" s="3284"/>
      <c r="D123" s="3324" t="e">
        <f ca="1">NUMBERSTRING(INT(D122*10000),2)&amp;"元整"</f>
        <v>#REF!</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32.74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32.74</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北京市房地产市场价值预评估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-305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32.74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115" zoomScaleNormal="60" zoomScaleSheetLayoutView="115" workbookViewId="0">
      <selection activeCell="M44" sqref="M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3467</v>
      </c>
      <c r="E1" s="3123" t="s">
        <v>3487</v>
      </c>
      <c r="F1" s="1735" t="s">
        <v>3483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138.26429999999999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42231</v>
      </c>
      <c r="C3" s="344" t="s">
        <v>1665</v>
      </c>
      <c r="D3" s="343">
        <f>IF(D1="",'数据-汇总表'!E3,SUMIF('数据-汇总表'!$C19:$C33,D1,'数据-汇总表'!$E19:$E33))</f>
        <v>32.74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5"/>
      <c r="M4" s="2486"/>
      <c r="N4" s="2486"/>
      <c r="O4" s="2486"/>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ht="15">
      <c r="A5" s="348"/>
      <c r="B5" s="349"/>
      <c r="C5" s="3413" t="s">
        <v>3477</v>
      </c>
      <c r="D5" s="3409"/>
      <c r="E5" s="3416" t="str">
        <f>C5</f>
        <v>西山国际城</v>
      </c>
      <c r="F5" s="3417"/>
      <c r="G5" s="3408" t="str">
        <f>E5</f>
        <v>西山国际城</v>
      </c>
      <c r="H5" s="3409"/>
      <c r="I5" s="3408" t="str">
        <f>G5</f>
        <v>西山国际城</v>
      </c>
      <c r="J5" s="3409"/>
      <c r="K5" s="1745"/>
      <c r="L5" s="2485"/>
      <c r="M5" s="2486"/>
      <c r="N5" s="2486"/>
      <c r="O5" s="2486"/>
      <c r="P5" s="3396"/>
      <c r="Q5" s="3397"/>
      <c r="R5" s="3402"/>
      <c r="S5" s="3403"/>
      <c r="T5" s="3402"/>
      <c r="U5" s="3403"/>
      <c r="V5" s="3376"/>
      <c r="W5" s="3376"/>
      <c r="X5" s="1265"/>
      <c r="Y5" s="3402"/>
      <c r="Z5" s="3403"/>
      <c r="AA5" s="3388"/>
      <c r="AB5" s="3388"/>
      <c r="AC5" s="3388"/>
    </row>
    <row r="6" spans="1:29" ht="15.75" thickBot="1">
      <c r="A6" s="350"/>
      <c r="B6" s="351"/>
      <c r="C6" s="3406" t="s">
        <v>1677</v>
      </c>
      <c r="D6" s="3407"/>
      <c r="E6" s="3414" t="s">
        <v>1677</v>
      </c>
      <c r="F6" s="3415"/>
      <c r="G6" s="3406" t="s">
        <v>1677</v>
      </c>
      <c r="H6" s="3407"/>
      <c r="I6" s="3406" t="s">
        <v>1677</v>
      </c>
      <c r="J6" s="3407"/>
      <c r="K6" s="1745" t="s">
        <v>1678</v>
      </c>
      <c r="L6" s="2485"/>
      <c r="M6" s="2486"/>
      <c r="N6" s="2486"/>
      <c r="O6" s="2486"/>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f>案例!R12</f>
        <v>45927</v>
      </c>
      <c r="F7" s="357">
        <f>SUMIF(58:58,YEAR(E7)&amp;"-"&amp;MONTH(E7),59:59)</f>
        <v>100.5</v>
      </c>
      <c r="G7" s="356">
        <f>案例!R14</f>
        <v>45901</v>
      </c>
      <c r="H7" s="355">
        <f>SUMIF(58:58,YEAR(G7)&amp;"-"&amp;MONTH(G7),59:59)</f>
        <v>100.5</v>
      </c>
      <c r="I7" s="356">
        <f>案例!R15</f>
        <v>45899</v>
      </c>
      <c r="J7" s="355">
        <f>SUMIF(58:58,YEAR(I7)&amp;"-"&amp;MONTH(I7),59:59)</f>
        <v>100.5</v>
      </c>
      <c r="K7" s="1746"/>
      <c r="L7" s="2487"/>
      <c r="M7" s="2438"/>
      <c r="N7" s="2438"/>
      <c r="O7" s="2438"/>
      <c r="P7" s="3410" t="s">
        <v>1680</v>
      </c>
      <c r="Q7" s="3412"/>
      <c r="R7" s="664" t="s">
        <v>20</v>
      </c>
      <c r="S7" s="665">
        <f t="shared" ref="S7:S15" si="0">F7</f>
        <v>100.5</v>
      </c>
      <c r="T7" s="664" t="s">
        <v>20</v>
      </c>
      <c r="U7" s="665">
        <f t="shared" ref="U7:U15" si="1">H7</f>
        <v>100.5</v>
      </c>
      <c r="V7" s="664" t="s">
        <v>20</v>
      </c>
      <c r="W7" s="665">
        <f t="shared" ref="W7:W15" si="2">J7</f>
        <v>100.5</v>
      </c>
      <c r="X7" s="666"/>
      <c r="Y7" s="3410" t="s">
        <v>1680</v>
      </c>
      <c r="Z7" s="3411"/>
      <c r="AA7" s="50">
        <f>D7/F7</f>
        <v>0.99502487562189057</v>
      </c>
      <c r="AB7" s="50">
        <f>D7/H7</f>
        <v>0.99502487562189057</v>
      </c>
      <c r="AC7" s="50">
        <f>D7/J7</f>
        <v>0.99502487562189057</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6"/>
      <c r="Q11" s="530" t="str">
        <f t="shared" si="6"/>
        <v>容积率</v>
      </c>
      <c r="R11" s="664" t="s">
        <v>18</v>
      </c>
      <c r="S11" s="665">
        <f t="shared" si="0"/>
        <v>100</v>
      </c>
      <c r="T11" s="664" t="s">
        <v>18</v>
      </c>
      <c r="U11" s="665">
        <f t="shared" si="1"/>
        <v>100</v>
      </c>
      <c r="V11" s="664" t="s">
        <v>18</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6"/>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t="s">
        <v>3502</v>
      </c>
      <c r="D16" s="387"/>
      <c r="E16" s="386" t="s">
        <v>3502</v>
      </c>
      <c r="F16" s="387"/>
      <c r="G16" s="386" t="s">
        <v>3502</v>
      </c>
      <c r="H16" s="389"/>
      <c r="I16" s="386" t="s">
        <v>3502</v>
      </c>
      <c r="J16" s="387"/>
      <c r="K16" s="1753"/>
      <c r="L16" s="2491"/>
      <c r="M16" s="2486"/>
      <c r="N16" s="2486"/>
      <c r="O16" s="2486"/>
      <c r="P16" s="3385"/>
      <c r="Q16" s="1263"/>
      <c r="R16" s="667"/>
      <c r="S16" s="668"/>
      <c r="T16" s="667"/>
      <c r="U16" s="668"/>
      <c r="V16" s="667"/>
      <c r="W16" s="668"/>
      <c r="X16" s="1265"/>
      <c r="Y16" s="337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t="s">
        <v>3502</v>
      </c>
      <c r="D18" s="389"/>
      <c r="E18" s="386" t="s">
        <v>3502</v>
      </c>
      <c r="F18" s="389"/>
      <c r="G18" s="386" t="s">
        <v>3502</v>
      </c>
      <c r="H18" s="387"/>
      <c r="I18" s="386" t="s">
        <v>3502</v>
      </c>
      <c r="J18" s="387"/>
      <c r="K18" s="1753"/>
      <c r="L18" s="2491"/>
      <c r="M18" s="2486"/>
      <c r="N18" s="2486"/>
      <c r="O18" s="2486"/>
      <c r="P18" s="3385"/>
      <c r="Q18" s="1263"/>
      <c r="R18" s="667"/>
      <c r="S18" s="668"/>
      <c r="T18" s="667"/>
      <c r="U18" s="668"/>
      <c r="V18" s="667"/>
      <c r="W18" s="668"/>
      <c r="X18" s="1265"/>
      <c r="Y18" s="337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t="s">
        <v>3502</v>
      </c>
      <c r="D20" s="387"/>
      <c r="E20" s="386" t="s">
        <v>3502</v>
      </c>
      <c r="F20" s="387"/>
      <c r="G20" s="386" t="s">
        <v>3502</v>
      </c>
      <c r="H20" s="387"/>
      <c r="I20" s="386" t="s">
        <v>3502</v>
      </c>
      <c r="J20" s="387"/>
      <c r="K20" s="1753"/>
      <c r="L20" s="2491"/>
      <c r="M20" s="2486"/>
      <c r="N20" s="2486"/>
      <c r="O20" s="2486"/>
      <c r="P20" s="3385"/>
      <c r="Q20" s="1263"/>
      <c r="R20" s="667"/>
      <c r="S20" s="668"/>
      <c r="T20" s="667"/>
      <c r="U20" s="668"/>
      <c r="V20" s="667"/>
      <c r="W20" s="668"/>
      <c r="X20" s="1265"/>
      <c r="Y20" s="337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t="s">
        <v>3507</v>
      </c>
      <c r="D22" s="387"/>
      <c r="E22" s="1755" t="s">
        <v>3507</v>
      </c>
      <c r="F22" s="387"/>
      <c r="G22" s="1755" t="s">
        <v>3507</v>
      </c>
      <c r="H22" s="387"/>
      <c r="I22" s="1755" t="s">
        <v>3507</v>
      </c>
      <c r="J22" s="387"/>
      <c r="K22" s="1759"/>
      <c r="L22" s="2491"/>
      <c r="M22" s="2486"/>
      <c r="N22" s="2486"/>
      <c r="O22" s="2486"/>
      <c r="P22" s="3385"/>
      <c r="Q22" s="1263"/>
      <c r="R22" s="667"/>
      <c r="S22" s="668"/>
      <c r="T22" s="667"/>
      <c r="U22" s="668"/>
      <c r="V22" s="667"/>
      <c r="W22" s="668"/>
      <c r="X22" s="1265"/>
      <c r="Y22" s="337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t="s">
        <v>3502</v>
      </c>
      <c r="D24" s="387"/>
      <c r="E24" s="386" t="s">
        <v>3502</v>
      </c>
      <c r="F24" s="387"/>
      <c r="G24" s="386" t="s">
        <v>3502</v>
      </c>
      <c r="H24" s="387"/>
      <c r="I24" s="386" t="s">
        <v>3502</v>
      </c>
      <c r="J24" s="387"/>
      <c r="K24" s="1753"/>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3428</v>
      </c>
      <c r="F26" s="374">
        <f>SUMIF(88:88,E26,89:89)-SUMIF(88:88,C26,89:89)+100</f>
        <v>100</v>
      </c>
      <c r="G26" s="1760" t="s">
        <v>3512</v>
      </c>
      <c r="H26" s="374">
        <f>SUMIF(88:88,G26,89:89)-SUMIF(88:88,C26,89:89)+100</f>
        <v>100.5</v>
      </c>
      <c r="I26" s="1760" t="s">
        <v>3428</v>
      </c>
      <c r="J26" s="374">
        <f>SUMIF(88:88,I26,89:89)-SUMIF(88:88,C26,89:89)+100</f>
        <v>100</v>
      </c>
      <c r="K26" s="365">
        <v>0.5</v>
      </c>
      <c r="L26" s="2491"/>
      <c r="M26" s="2486"/>
      <c r="N26" s="2486"/>
      <c r="O26" s="2486"/>
      <c r="P26" s="3385"/>
      <c r="Q26" s="1263" t="str">
        <f t="shared" si="11"/>
        <v>朝向</v>
      </c>
      <c r="R26" s="667" t="s">
        <v>18</v>
      </c>
      <c r="S26" s="668">
        <f t="shared" si="12"/>
        <v>100</v>
      </c>
      <c r="T26" s="667" t="s">
        <v>18</v>
      </c>
      <c r="U26" s="668">
        <f t="shared" si="13"/>
        <v>100.5</v>
      </c>
      <c r="V26" s="667" t="s">
        <v>18</v>
      </c>
      <c r="W26" s="668">
        <f t="shared" si="14"/>
        <v>100</v>
      </c>
      <c r="X26" s="1265"/>
      <c r="Y26" s="3378"/>
      <c r="Z26" s="1264" t="str">
        <f>Q26</f>
        <v>朝向</v>
      </c>
      <c r="AA26" s="1264">
        <f t="shared" si="15"/>
        <v>1</v>
      </c>
      <c r="AB26" s="1264">
        <f t="shared" si="16"/>
        <v>0.99502487562189057</v>
      </c>
      <c r="AC26" s="1264">
        <f t="shared" si="17"/>
        <v>1</v>
      </c>
    </row>
    <row r="27" spans="1:29" s="102" customFormat="1" ht="15">
      <c r="A27" s="370"/>
      <c r="B27" s="3175" t="s">
        <v>3503</v>
      </c>
      <c r="C27" s="3177" t="s">
        <v>3504</v>
      </c>
      <c r="D27" s="401">
        <v>100</v>
      </c>
      <c r="E27" s="3178" t="s">
        <v>3505</v>
      </c>
      <c r="F27" s="401">
        <f>SUMIF(90:90,E27,91:91)-SUMIF(90:90,C27,91:91)+100</f>
        <v>101.5</v>
      </c>
      <c r="G27" s="3179" t="s">
        <v>3504</v>
      </c>
      <c r="H27" s="401">
        <f>SUMIF(90:90,G27,91:91)-SUMIF(90:90,C27,91:91)+100</f>
        <v>100</v>
      </c>
      <c r="I27" s="3179" t="s">
        <v>3506</v>
      </c>
      <c r="J27" s="401">
        <f>SUMIF(90:90,I27,91:91)-SUMIF(90:90,C27,91:91)+100</f>
        <v>100.5</v>
      </c>
      <c r="K27" s="1748"/>
      <c r="L27" s="2487"/>
      <c r="M27" s="2438"/>
      <c r="N27" s="2438"/>
      <c r="O27" s="2438"/>
      <c r="P27" s="3385"/>
      <c r="Q27" s="530" t="str">
        <f t="shared" si="11"/>
        <v>楼层</v>
      </c>
      <c r="R27" s="664" t="s">
        <v>18</v>
      </c>
      <c r="S27" s="665">
        <f t="shared" si="12"/>
        <v>101.5</v>
      </c>
      <c r="T27" s="664" t="s">
        <v>18</v>
      </c>
      <c r="U27" s="665">
        <f t="shared" si="13"/>
        <v>100</v>
      </c>
      <c r="V27" s="664" t="s">
        <v>18</v>
      </c>
      <c r="W27" s="665">
        <f t="shared" si="14"/>
        <v>100.5</v>
      </c>
      <c r="X27" s="666"/>
      <c r="Y27" s="3378"/>
      <c r="Z27" s="50" t="str">
        <f>Q27</f>
        <v>楼层</v>
      </c>
      <c r="AA27" s="1264">
        <f t="shared" si="15"/>
        <v>0.98522167487684731</v>
      </c>
      <c r="AB27" s="1264">
        <f t="shared" si="16"/>
        <v>1</v>
      </c>
      <c r="AC27" s="1264">
        <f t="shared" si="17"/>
        <v>0.99502487562189057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t="s">
        <v>3478</v>
      </c>
      <c r="D32" s="405">
        <v>100</v>
      </c>
      <c r="E32" s="1764" t="s">
        <v>3478</v>
      </c>
      <c r="F32" s="400">
        <f>SUMIF(100:100,E32,101:101)-SUMIF(100:100,C32,101:101)+100</f>
        <v>100</v>
      </c>
      <c r="G32" s="1764" t="s">
        <v>3478</v>
      </c>
      <c r="H32" s="405">
        <f>SUMIF(100:100,G32,101:101)-SUMIF(100:100,C32,101:101)+100</f>
        <v>100</v>
      </c>
      <c r="I32" s="1764" t="s">
        <v>3478</v>
      </c>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32.74</v>
      </c>
      <c r="D33" s="119">
        <v>100</v>
      </c>
      <c r="E33" s="369">
        <f>案例!N12</f>
        <v>32</v>
      </c>
      <c r="F33" s="364">
        <f>LOOKUP(E33,103:103,104:104)-LOOKUP(C33,103:103,104:104)+100</f>
        <v>100</v>
      </c>
      <c r="G33" s="368">
        <f>案例!N13</f>
        <v>56</v>
      </c>
      <c r="H33" s="119">
        <f>LOOKUP(G33,103:103,104:104)-LOOKUP(C33,103:103,104:104)+100</f>
        <v>98</v>
      </c>
      <c r="I33" s="369">
        <f>案例!N15</f>
        <v>31</v>
      </c>
      <c r="J33" s="119">
        <f>LOOKUP(I33,103:103,104:104)-LOOKUP(C33,103:103,104:104)+100</f>
        <v>100</v>
      </c>
      <c r="K33" s="1748"/>
      <c r="L33" s="2490"/>
      <c r="M33" s="2492"/>
      <c r="N33" s="2492"/>
      <c r="O33" s="2492"/>
      <c r="P33" s="3380"/>
      <c r="Q33" s="531" t="str">
        <f t="shared" si="11"/>
        <v>项目建筑规模</v>
      </c>
      <c r="R33" s="669" t="s">
        <v>18</v>
      </c>
      <c r="S33" s="670">
        <f t="shared" si="12"/>
        <v>100</v>
      </c>
      <c r="T33" s="669" t="s">
        <v>18</v>
      </c>
      <c r="U33" s="670">
        <f t="shared" si="13"/>
        <v>98</v>
      </c>
      <c r="V33" s="669" t="s">
        <v>18</v>
      </c>
      <c r="W33" s="670">
        <f t="shared" si="14"/>
        <v>100</v>
      </c>
      <c r="X33" s="671"/>
      <c r="Y33" s="3382"/>
      <c r="Z33" s="672" t="str">
        <f t="shared" si="18"/>
        <v>项目建筑规模</v>
      </c>
      <c r="AA33" s="1264">
        <f t="shared" si="15"/>
        <v>1</v>
      </c>
      <c r="AB33" s="1264">
        <f t="shared" si="16"/>
        <v>1.0204081632653061</v>
      </c>
      <c r="AC33" s="1264">
        <f t="shared" si="17"/>
        <v>1</v>
      </c>
    </row>
    <row r="34" spans="1:29" ht="15">
      <c r="A34" s="409"/>
      <c r="B34" s="364" t="s">
        <v>1698</v>
      </c>
      <c r="C34" s="399" t="s">
        <v>3474</v>
      </c>
      <c r="D34" s="374">
        <v>100</v>
      </c>
      <c r="E34" s="399" t="s">
        <v>3474</v>
      </c>
      <c r="F34" s="400">
        <f>SUMIF(105:105,E34,106:106)-SUMIF(105:105,C34,106:106)+100</f>
        <v>100</v>
      </c>
      <c r="G34" s="399" t="s">
        <v>3474</v>
      </c>
      <c r="H34" s="374">
        <f>SUMIF(105:105,G34,106:106)-SUMIF(105:105,C34,106:106)+100</f>
        <v>100</v>
      </c>
      <c r="I34" s="399" t="s">
        <v>3474</v>
      </c>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80"/>
      <c r="Q37" s="530" t="str">
        <f t="shared" si="11"/>
        <v>成新度</v>
      </c>
      <c r="R37" s="664" t="s">
        <v>18</v>
      </c>
      <c r="S37" s="665">
        <f t="shared" si="12"/>
        <v>100</v>
      </c>
      <c r="T37" s="664" t="s">
        <v>18</v>
      </c>
      <c r="U37" s="665">
        <f t="shared" si="13"/>
        <v>100</v>
      </c>
      <c r="V37" s="664" t="s">
        <v>18</v>
      </c>
      <c r="W37" s="665">
        <f t="shared" si="14"/>
        <v>100</v>
      </c>
      <c r="X37" s="666"/>
      <c r="Y37" s="3382"/>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t="s">
        <v>3511</v>
      </c>
      <c r="D42" s="374">
        <v>100</v>
      </c>
      <c r="E42" s="1760" t="s">
        <v>3420</v>
      </c>
      <c r="F42" s="400">
        <f>SUMIF(122:122,E42,123:123)-SUMIF(122:122,C42,123:123)+100</f>
        <v>95</v>
      </c>
      <c r="G42" s="1760" t="s">
        <v>3420</v>
      </c>
      <c r="H42" s="374">
        <f>SUMIF(122:122,G42,123:123)-SUMIF(122:122,C42,123:123)+100</f>
        <v>95</v>
      </c>
      <c r="I42" s="1760" t="s">
        <v>3420</v>
      </c>
      <c r="J42" s="374">
        <f>SUMIF(122:122,I42,123:123)-SUMIF(122:122,C42,123:123)+100</f>
        <v>95</v>
      </c>
      <c r="K42" s="365">
        <v>5</v>
      </c>
      <c r="L42" s="2491"/>
      <c r="M42" s="2486"/>
      <c r="N42" s="2486"/>
      <c r="O42" s="2486"/>
      <c r="P42" s="3380"/>
      <c r="Q42" s="1263" t="str">
        <f t="shared" si="11"/>
        <v>内部装修</v>
      </c>
      <c r="R42" s="667" t="s">
        <v>18</v>
      </c>
      <c r="S42" s="668">
        <f t="shared" si="12"/>
        <v>95</v>
      </c>
      <c r="T42" s="667" t="s">
        <v>18</v>
      </c>
      <c r="U42" s="668">
        <f t="shared" si="13"/>
        <v>95</v>
      </c>
      <c r="V42" s="667" t="s">
        <v>18</v>
      </c>
      <c r="W42" s="668">
        <f t="shared" si="14"/>
        <v>95</v>
      </c>
      <c r="X42" s="1265"/>
      <c r="Y42" s="3382"/>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3502</v>
      </c>
      <c r="D43" s="374">
        <v>100</v>
      </c>
      <c r="E43" s="1760" t="s">
        <v>3502</v>
      </c>
      <c r="F43" s="400">
        <f>SUMIF(124:124,E43,125:125)-SUMIF(124:124,C43,125:125)+100</f>
        <v>100</v>
      </c>
      <c r="G43" s="1760" t="s">
        <v>3502</v>
      </c>
      <c r="H43" s="374">
        <f>SUMIF(124:124,G43,125:125)-SUMIF(124:124,C43,125:125)+100</f>
        <v>100</v>
      </c>
      <c r="I43" s="1760" t="s">
        <v>3502</v>
      </c>
      <c r="J43" s="374">
        <f>SUMIF(124:124,I43,125:125)-SUMIF(124:124,C43,125:125)+100</f>
        <v>100</v>
      </c>
      <c r="K43" s="365">
        <v>2</v>
      </c>
      <c r="L43" s="2491"/>
      <c r="M43" s="2486">
        <f>C48*K42/100</f>
        <v>2111.5500000000002</v>
      </c>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16</v>
      </c>
      <c r="D47" s="418"/>
      <c r="E47" s="419">
        <f>案例!O17</f>
        <v>42692</v>
      </c>
      <c r="F47" s="420"/>
      <c r="G47" s="421">
        <f>案例!O13</f>
        <v>38094</v>
      </c>
      <c r="H47" s="422"/>
      <c r="I47" s="419">
        <f>案例!O19</f>
        <v>40423</v>
      </c>
      <c r="J47" s="422"/>
      <c r="K47" s="1765"/>
      <c r="L47" s="2493"/>
      <c r="M47" s="2486"/>
      <c r="N47" s="2486"/>
      <c r="O47" s="2486"/>
      <c r="P47" s="3375" t="str">
        <f>A47</f>
        <v>成交单价（元/平方米）</v>
      </c>
      <c r="Q47" s="3375"/>
      <c r="R47" s="3376">
        <f>E47</f>
        <v>42692</v>
      </c>
      <c r="S47" s="3376"/>
      <c r="T47" s="3376">
        <f>G47</f>
        <v>38094</v>
      </c>
      <c r="U47" s="3376"/>
      <c r="V47" s="3376">
        <f>I47</f>
        <v>40423</v>
      </c>
      <c r="W47" s="3376"/>
      <c r="X47" s="385"/>
      <c r="Y47" s="673"/>
      <c r="Z47" s="385"/>
      <c r="AA47" s="385"/>
      <c r="AB47" s="385"/>
      <c r="AC47" s="385"/>
    </row>
    <row r="48" spans="1:29" ht="15.75" thickBot="1">
      <c r="A48" s="423" t="s">
        <v>1709</v>
      </c>
      <c r="B48" s="424"/>
      <c r="C48" s="1082">
        <f>R49</f>
        <v>42231</v>
      </c>
      <c r="D48" s="2139" t="s">
        <v>2138</v>
      </c>
      <c r="E48" s="1083">
        <f>R48</f>
        <v>44055</v>
      </c>
      <c r="F48" s="2140"/>
      <c r="G48" s="1082">
        <f>T48</f>
        <v>40511</v>
      </c>
      <c r="H48" s="2140"/>
      <c r="I48" s="1083">
        <f>V48</f>
        <v>42128</v>
      </c>
      <c r="J48" s="2140"/>
      <c r="K48" s="2141">
        <f>F48+H48+J48</f>
        <v>0</v>
      </c>
      <c r="L48" s="2493"/>
      <c r="M48" s="2486"/>
      <c r="N48" s="2486"/>
      <c r="O48" s="2486"/>
      <c r="P48" s="3375" t="str">
        <f>A48</f>
        <v>比较价值（元/平方米）</v>
      </c>
      <c r="Q48" s="3375"/>
      <c r="R48" s="3376">
        <f>IF(F1="售价",ROUND(PRODUCT(R47,AA7:AA46),0),ROUND(PRODUCT(R47,AA7:AA46),1))</f>
        <v>44055</v>
      </c>
      <c r="S48" s="3376"/>
      <c r="T48" s="3376">
        <f>IF(F1="售价",ROUND(PRODUCT(T47,AB7:AB46),0),ROUND(PRODUCT(T47,AB7:AB46),1))</f>
        <v>40511</v>
      </c>
      <c r="U48" s="3376"/>
      <c r="V48" s="3376">
        <f>IF(F1="售价",ROUND(PRODUCT(V47,AC7:AC46),0),ROUND(PRODUCT(V47,AC7:AC46),1))</f>
        <v>42128</v>
      </c>
      <c r="W48" s="3376"/>
      <c r="X48" s="385"/>
      <c r="Y48" s="385"/>
      <c r="Z48" s="385"/>
      <c r="AA48" s="385"/>
      <c r="AB48" s="385"/>
      <c r="AC48" s="385"/>
    </row>
    <row r="49" spans="1:29" ht="15.75" thickBot="1">
      <c r="A49" s="427" t="s">
        <v>1710</v>
      </c>
      <c r="B49" s="428"/>
      <c r="C49" s="1084">
        <f>R49</f>
        <v>42231</v>
      </c>
      <c r="D49" s="351"/>
      <c r="E49" s="351"/>
      <c r="F49" s="351"/>
      <c r="G49" s="351"/>
      <c r="H49" s="351"/>
      <c r="I49" s="351"/>
      <c r="J49" s="351"/>
      <c r="K49" s="1766"/>
      <c r="L49" s="2493"/>
      <c r="M49" s="2486"/>
      <c r="N49" s="2486"/>
      <c r="O49" s="2486"/>
      <c r="P49" s="3372" t="str">
        <f>A49</f>
        <v>估价对象XX用房的比较价值（楼面单价，元/平方米）</v>
      </c>
      <c r="Q49" s="3373"/>
      <c r="R49" s="3374">
        <f>IF(F1="售价",ROUND(IF(D48="简单平均",AVERAGE(R48:V48),R48*F48+T48*H48+V48*J48),0),ROUND(IF(D48="简单平均",AVERAGE(R48:V48),R48*F48+T48*H48+V48*J48),1))</f>
        <v>42231</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3.1926356225990826E-2</v>
      </c>
      <c r="F52" s="435" t="str">
        <f>IF(OR(E52&gt;=0.3,E52&lt;=-0.3),"超过30%","")</f>
        <v/>
      </c>
      <c r="G52" s="434">
        <f>IF(G47&lt;G48,G48/G47-1,G47/G48-1)</f>
        <v>6.3448312070142343E-2</v>
      </c>
      <c r="H52" s="435" t="str">
        <f>IF(OR(G52&gt;=0.3,G52&lt;=-0.3),"超过30%","")</f>
        <v/>
      </c>
      <c r="I52" s="434">
        <f>IF(I47&lt;I48,I48/I47-1,I47/I48-1)</f>
        <v>4.217895752418177E-2</v>
      </c>
      <c r="J52" s="435" t="str">
        <f>IF(OR(I52&gt;=0.3,I52&lt;=-0.3),"超过30%","")</f>
        <v/>
      </c>
      <c r="K52" s="2498"/>
      <c r="L52" s="2494"/>
      <c r="M52" s="2486"/>
      <c r="N52" s="2486"/>
      <c r="O52" s="2486"/>
    </row>
    <row r="53" spans="1:29" ht="13.5" customHeight="1">
      <c r="A53" s="2486"/>
      <c r="B53" s="2486"/>
      <c r="C53" s="432" t="s">
        <v>1712</v>
      </c>
      <c r="D53" s="436"/>
      <c r="E53" s="434">
        <f>IF(E48&lt;G48,G48/E48-1,E48/G48-1)</f>
        <v>8.7482412184344938E-2</v>
      </c>
      <c r="F53" s="435" t="str">
        <f>IF(OR(E53&gt;=0.2,E53&lt;=-0.2),"超过20%","")</f>
        <v/>
      </c>
      <c r="G53" s="434">
        <f>IF(G48&lt;I48,I48/G48-1,G48/I48-1)</f>
        <v>3.9915084791784849E-2</v>
      </c>
      <c r="H53" s="435" t="str">
        <f>IF(OR(G53&gt;=0.2,G53&lt;=-0.2),"超过20%","")</f>
        <v/>
      </c>
      <c r="I53" s="434">
        <f>IF(I48&lt;E48,E48/I48-1,I48/E48-1)</f>
        <v>4.5741549563235839E-2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0.12070142279624085</v>
      </c>
      <c r="F54" s="435" t="str">
        <f>IF(OR(E54&gt;=0.3,E54&lt;=-0.3),"超过30%","")</f>
        <v/>
      </c>
      <c r="G54" s="434">
        <f>IF(G47&lt;I47,I47/G47-1,G47/I47-1)</f>
        <v>6.1138236992702266E-2</v>
      </c>
      <c r="H54" s="435" t="str">
        <f>IF(OR(G54&gt;=0.3,G54&lt;=-0.3),"超过30%","")</f>
        <v/>
      </c>
      <c r="I54" s="434">
        <f>IF(I47&lt;E47,E47/I47-1,I47/E47-1)</f>
        <v>5.6131410335700016E-2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3513</v>
      </c>
      <c r="D88" s="3174" t="s">
        <v>3484</v>
      </c>
      <c r="E88" s="3174" t="s">
        <v>3485</v>
      </c>
      <c r="F88" s="3174"/>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6" t="s">
        <v>3490</v>
      </c>
      <c r="D90" s="3176" t="s">
        <v>3491</v>
      </c>
      <c r="E90" s="3174" t="s">
        <v>3425</v>
      </c>
      <c r="F90" s="3176" t="s">
        <v>3493</v>
      </c>
      <c r="G90" s="3176" t="s">
        <v>3492</v>
      </c>
      <c r="H90" s="486"/>
      <c r="I90" s="486"/>
      <c r="J90" s="486"/>
      <c r="K90" s="486"/>
      <c r="L90" s="487"/>
      <c r="M90" s="488"/>
      <c r="N90" s="881"/>
      <c r="O90" s="881"/>
      <c r="P90" s="1774"/>
      <c r="Q90" s="490"/>
    </row>
    <row r="91" spans="1:17" s="408" customFormat="1" ht="15.75" thickBot="1">
      <c r="A91" s="484"/>
      <c r="B91" s="474"/>
      <c r="C91" s="491">
        <v>100</v>
      </c>
      <c r="D91" s="491">
        <v>100</v>
      </c>
      <c r="E91" s="491">
        <v>100.5</v>
      </c>
      <c r="F91" s="491">
        <v>101</v>
      </c>
      <c r="G91" s="491">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74" t="s">
        <v>3480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3481</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3495</v>
      </c>
      <c r="D122" s="3174" t="s">
        <v>3481</v>
      </c>
      <c r="E122" s="3174" t="s">
        <v>3514</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I34" sqref="I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3467</v>
      </c>
      <c r="D1" s="1271" t="s">
        <v>43</v>
      </c>
      <c r="E1" s="1272" t="s">
        <v>678</v>
      </c>
      <c r="F1" s="999">
        <f ca="1">J53</f>
        <v>18.95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72.302400000000006</v>
      </c>
      <c r="C2" s="1289" t="s">
        <v>879</v>
      </c>
      <c r="D2" s="1375">
        <f ca="1">C40+J29+L46</f>
        <v>723024</v>
      </c>
      <c r="E2" s="1295" t="s">
        <v>880</v>
      </c>
      <c r="F2" s="1296"/>
      <c r="G2" s="2477"/>
      <c r="H2" s="2467"/>
      <c r="I2" s="2467"/>
      <c r="J2" s="2467"/>
      <c r="K2" s="2468"/>
      <c r="L2" s="2467"/>
      <c r="M2" s="2467"/>
    </row>
    <row r="3" spans="1:37" ht="18" customHeight="1" thickBot="1">
      <c r="A3" s="1297" t="s">
        <v>881</v>
      </c>
      <c r="B3" s="1298">
        <f ca="1">IF(ISERROR(D2/F43),0,ROUND(D2/F43,0))</f>
        <v>22084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53938</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53871</v>
      </c>
      <c r="D6" s="147" t="s">
        <v>2106</v>
      </c>
      <c r="E6" s="294" t="s">
        <v>696</v>
      </c>
      <c r="F6" s="295">
        <f ca="1">INDIRECT("'数据-取费表'!u"&amp;$G$1)</f>
        <v>4.9000000000000004</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32.74</v>
      </c>
      <c r="G7" s="1292"/>
      <c r="H7" s="296"/>
      <c r="I7" s="3370"/>
      <c r="J7" s="298"/>
      <c r="K7" s="299"/>
      <c r="L7" s="294" t="s">
        <v>697</v>
      </c>
      <c r="M7" s="295">
        <f ca="1">F7</f>
        <v>32.74</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0.08</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3473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127337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114590</v>
      </c>
      <c r="D14" s="1257" t="s">
        <v>708</v>
      </c>
      <c r="E14" s="1255"/>
      <c r="F14" s="311"/>
      <c r="G14" s="1292"/>
      <c r="H14" s="928" t="s">
        <v>398</v>
      </c>
      <c r="I14" s="294" t="s">
        <v>709</v>
      </c>
      <c r="J14" s="21">
        <f ca="1">C29</f>
        <v>159171</v>
      </c>
      <c r="K14" s="12"/>
      <c r="L14" s="759"/>
      <c r="M14" s="760"/>
    </row>
    <row r="15" spans="1:37" s="1304" customFormat="1" ht="18" customHeight="1" thickBot="1">
      <c r="A15" s="928" t="s">
        <v>399</v>
      </c>
      <c r="B15" s="294" t="s">
        <v>710</v>
      </c>
      <c r="C15" s="21">
        <f ca="1">ROUND(C14*F15,0)</f>
        <v>6875</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318</v>
      </c>
      <c r="K16" s="1024" t="s">
        <v>715</v>
      </c>
      <c r="L16" s="1025"/>
      <c r="M16" s="1009"/>
    </row>
    <row r="17" spans="1:37" s="1304" customFormat="1" ht="18" customHeight="1">
      <c r="A17" s="928" t="s">
        <v>681</v>
      </c>
      <c r="B17" s="294" t="s">
        <v>716</v>
      </c>
      <c r="C17" s="21">
        <f ca="1">ROUND(F17*(F43+INDIRECT("'数据-取费表'!S"&amp;$G$1)),0)</f>
        <v>6548</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130305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1303</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-318</v>
      </c>
      <c r="K25" s="1032" t="s">
        <v>753</v>
      </c>
      <c r="L25" s="1033"/>
      <c r="M25" s="1034"/>
    </row>
    <row r="26" spans="1:37" ht="18" customHeight="1">
      <c r="A26" s="928" t="s">
        <v>397</v>
      </c>
      <c r="B26" s="294" t="s">
        <v>754</v>
      </c>
      <c r="C26" s="21">
        <f ca="1">ROUND((C19+C20)*F26,0)</f>
        <v>13161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159171</v>
      </c>
      <c r="D29" s="1029"/>
      <c r="E29" s="1027"/>
      <c r="F29" s="1030"/>
      <c r="G29" s="1303"/>
      <c r="H29" s="325" t="s">
        <v>396</v>
      </c>
      <c r="I29" s="326" t="s">
        <v>768</v>
      </c>
      <c r="J29" s="327">
        <f ca="1">ROUND(J26/(1+F40)^F41,0)</f>
        <v>0</v>
      </c>
      <c r="K29" s="328" t="s">
        <v>769</v>
      </c>
      <c r="L29" s="329"/>
      <c r="M29" s="330">
        <f ca="1">INDIRECT("'数据-取费表'!k"&amp;$G$1)</f>
        <v>32.74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4575</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3591</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318</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127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539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49363</v>
      </c>
      <c r="D39" s="1032" t="s">
        <v>773</v>
      </c>
      <c r="E39" s="1033"/>
      <c r="F39" s="1034"/>
      <c r="G39" s="1292"/>
      <c r="H39" s="2472"/>
      <c r="I39" s="1305"/>
      <c r="J39" s="1306"/>
      <c r="K39" s="2470"/>
      <c r="L39" s="2472"/>
      <c r="M39" s="2472"/>
    </row>
    <row r="40" spans="1:18" ht="18" customHeight="1">
      <c r="A40" s="291" t="s">
        <v>395</v>
      </c>
      <c r="B40" s="292" t="s">
        <v>774</v>
      </c>
      <c r="C40" s="293">
        <f ca="1">ROUND(C39*(1-((1+F42)/(1+F40))^F41)/(F40-F42),0)</f>
        <v>697979</v>
      </c>
      <c r="D40" s="316" t="s">
        <v>758</v>
      </c>
      <c r="E40" s="294" t="s">
        <v>759</v>
      </c>
      <c r="F40" s="304">
        <f ca="1">INDIRECT("'数据-取费表'!I"&amp;$G$1)</f>
        <v>4.4999999999999998E-2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21319</v>
      </c>
      <c r="D43" s="328" t="s">
        <v>777</v>
      </c>
      <c r="E43" s="329" t="s">
        <v>778</v>
      </c>
      <c r="F43" s="330">
        <f ca="1">INDIRECT("'数据-取费表'!k"&amp;$G$1)</f>
        <v>32.74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-70.357399999999998</v>
      </c>
      <c r="D45" s="3129" t="s">
        <v>3351</v>
      </c>
      <c r="E45" s="1307"/>
      <c r="F45" s="1307"/>
      <c r="O45" s="1310" t="s">
        <v>808</v>
      </c>
      <c r="P45" s="1366"/>
      <c r="Q45" s="1366"/>
      <c r="R45" s="1366"/>
    </row>
    <row r="46" spans="1:18" s="1292" customFormat="1" ht="13.5" thickBot="1">
      <c r="A46" s="1311" t="s">
        <v>809</v>
      </c>
      <c r="C46" s="1312">
        <f ca="1">ROUND(C45,0)</f>
        <v>-70</v>
      </c>
      <c r="D46" s="1313" t="str">
        <f>C2</f>
        <v>万元</v>
      </c>
      <c r="I46" s="1314" t="s">
        <v>810</v>
      </c>
      <c r="J46" s="1315"/>
      <c r="K46" s="1316"/>
      <c r="L46" s="1317">
        <f ca="1">IF(M47="住宅",0,IF(L48&gt;J51,L60,J60))</f>
        <v>25045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3474</v>
      </c>
      <c r="K47" s="1323" t="s">
        <v>816</v>
      </c>
      <c r="L47" s="1324">
        <f ca="1">INDIRECT("'数据-取费表'!d"&amp;$G$1)</f>
        <v>40</v>
      </c>
      <c r="M47" s="1288" t="str">
        <f>IF(ISNUMBER(FIND("住宅",C1)),"住宅","非住宅")</f>
        <v>非住宅</v>
      </c>
      <c r="O47" s="1325" t="s">
        <v>403</v>
      </c>
      <c r="P47" s="1326" t="s">
        <v>817</v>
      </c>
      <c r="Q47" s="1327">
        <f ca="1">C40+J29</f>
        <v>697979</v>
      </c>
      <c r="R47" s="1327" t="s">
        <v>818</v>
      </c>
    </row>
    <row r="48" spans="1:18" s="1292" customFormat="1" ht="28.5" thickBot="1">
      <c r="A48" s="1047" t="s">
        <v>438</v>
      </c>
      <c r="B48" s="292" t="s">
        <v>692</v>
      </c>
      <c r="C48" s="1268">
        <f ca="1">C49+C53+C55</f>
        <v>0</v>
      </c>
      <c r="D48" s="1049"/>
      <c r="E48" s="1050"/>
      <c r="F48" s="908"/>
      <c r="G48" s="681"/>
      <c r="H48" s="682"/>
      <c r="I48" s="1328" t="s">
        <v>819</v>
      </c>
      <c r="J48" s="1329" t="s">
        <v>3475</v>
      </c>
      <c r="K48" s="1330" t="s">
        <v>820</v>
      </c>
      <c r="L48" s="1331">
        <f ca="1">INDIRECT("'数据-取费表'!f"&amp;$G$1)</f>
        <v>18.95</v>
      </c>
      <c r="O48" s="1325" t="s">
        <v>404</v>
      </c>
      <c r="P48" s="1326" t="s">
        <v>821</v>
      </c>
      <c r="Q48" s="1327">
        <f ca="1">J60</f>
        <v>25045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159171</v>
      </c>
      <c r="R49" s="1327" t="s">
        <v>818</v>
      </c>
    </row>
    <row r="50" spans="1:18" s="1292" customFormat="1" ht="13.5" thickBot="1">
      <c r="A50" s="922"/>
      <c r="B50" s="925"/>
      <c r="C50" s="926"/>
      <c r="D50" s="899"/>
      <c r="E50" s="993" t="s">
        <v>697</v>
      </c>
      <c r="F50" s="994">
        <f ca="1">F7</f>
        <v>32.74</v>
      </c>
      <c r="H50" s="682"/>
      <c r="I50" s="1328" t="s">
        <v>826</v>
      </c>
      <c r="J50" s="1335">
        <f>SUMPRODUCT((I63:I65=J47)*(J62:L62=J48)*(J63:L65))</f>
        <v>60</v>
      </c>
      <c r="K50" s="1330" t="s">
        <v>827</v>
      </c>
      <c r="L50" s="1333"/>
      <c r="M50" s="1336"/>
      <c r="O50" s="1334" t="s">
        <v>406</v>
      </c>
      <c r="P50" s="1326" t="s">
        <v>828</v>
      </c>
      <c r="Q50" s="1337">
        <f ca="1">J58</f>
        <v>0.434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811453</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18.95</v>
      </c>
      <c r="K53" s="3367" t="s">
        <v>837</v>
      </c>
      <c r="L53" s="3368"/>
      <c r="O53" s="1325" t="s">
        <v>409</v>
      </c>
      <c r="P53" s="1326" t="s">
        <v>838</v>
      </c>
      <c r="Q53" s="1327">
        <f ca="1">Q47+Q48</f>
        <v>723024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127337</v>
      </c>
      <c r="D56" s="1352"/>
      <c r="E56" s="1353"/>
      <c r="F56" s="1345"/>
      <c r="I56" s="1354" t="s">
        <v>842</v>
      </c>
      <c r="J56" s="1355" t="s">
        <v>3476</v>
      </c>
      <c r="K56" s="1328" t="s">
        <v>843</v>
      </c>
      <c r="L56" s="1331" t="str">
        <f ca="1">IF(L48&lt;J51,"——",L48-J51)</f>
        <v>——</v>
      </c>
      <c r="O56" s="1325" t="s">
        <v>403</v>
      </c>
      <c r="P56" s="1326" t="s">
        <v>817</v>
      </c>
      <c r="Q56" s="1327">
        <f ca="1">C40+J29</f>
        <v>697979</v>
      </c>
      <c r="R56" s="1327" t="s">
        <v>818</v>
      </c>
    </row>
    <row r="57" spans="1:18" s="1292" customFormat="1" ht="24.75" thickBot="1">
      <c r="A57" s="1356"/>
      <c r="B57" s="896" t="s">
        <v>767</v>
      </c>
      <c r="C57" s="230">
        <f ca="1">C29</f>
        <v>159171</v>
      </c>
      <c r="D57" s="1357"/>
      <c r="E57" s="1358"/>
      <c r="F57" s="1359"/>
      <c r="I57" s="1360" t="s">
        <v>844</v>
      </c>
      <c r="J57" s="1361">
        <f ca="1">IF(OR(M47="住宅",J51&lt;L48,J56="是"),"——",J51-L48)</f>
        <v>26.05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445</v>
      </c>
      <c r="D58" s="906" t="s">
        <v>715</v>
      </c>
      <c r="E58" s="907"/>
      <c r="F58" s="908"/>
      <c r="I58" s="1360" t="s">
        <v>848</v>
      </c>
      <c r="J58" s="1362">
        <f ca="1">IF(J55&lt;0.4,0.4,J55)</f>
        <v>0.434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69080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25045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697979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127</v>
      </c>
      <c r="D65" s="910" t="s">
        <v>743</v>
      </c>
      <c r="E65" s="896" t="s">
        <v>744</v>
      </c>
      <c r="F65" s="321">
        <f t="shared" ca="1" si="0"/>
        <v>1E-3</v>
      </c>
      <c r="I65" s="1367" t="s">
        <v>867</v>
      </c>
      <c r="J65" s="610">
        <v>40</v>
      </c>
      <c r="K65" s="610">
        <v>30</v>
      </c>
      <c r="L65" s="610">
        <v>50</v>
      </c>
      <c r="M65" s="1369">
        <v>0.02</v>
      </c>
      <c r="O65" s="1325" t="s">
        <v>403</v>
      </c>
      <c r="P65" s="1326" t="s">
        <v>868</v>
      </c>
      <c r="Q65" s="1327">
        <f ca="1">C40+J29</f>
        <v>697979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-445</v>
      </c>
      <c r="D67" s="909" t="s">
        <v>753</v>
      </c>
      <c r="E67" s="914"/>
      <c r="F67" s="915"/>
      <c r="O67" s="1334" t="s">
        <v>405</v>
      </c>
      <c r="P67" s="1326" t="s">
        <v>850</v>
      </c>
      <c r="Q67" s="1370">
        <f ca="1">L51</f>
        <v>811453</v>
      </c>
      <c r="R67" s="1327" t="s">
        <v>870</v>
      </c>
    </row>
    <row r="68" spans="1:18" s="1292" customFormat="1" ht="16.5" thickBot="1">
      <c r="A68" s="893" t="s">
        <v>395</v>
      </c>
      <c r="B68" s="894" t="s">
        <v>774</v>
      </c>
      <c r="C68" s="293">
        <f ca="1">ROUND(C67*(1-((1+F70)/(1+F68))^F69)/(F68-F70),0)</f>
        <v>-5595</v>
      </c>
      <c r="D68" s="911" t="s">
        <v>758</v>
      </c>
      <c r="E68" s="896" t="s">
        <v>759</v>
      </c>
      <c r="F68" s="304">
        <f ca="1">F40</f>
        <v>4.4999999999999998E-2</v>
      </c>
      <c r="O68" s="1334" t="s">
        <v>406</v>
      </c>
      <c r="P68" s="1371" t="s">
        <v>871</v>
      </c>
      <c r="Q68" s="1327">
        <f ca="1">ROUND(Q69-Q70*Q71,0)</f>
        <v>42359</v>
      </c>
      <c r="R68" s="1327" t="s">
        <v>414</v>
      </c>
    </row>
    <row r="69" spans="1:18" s="1292" customFormat="1" ht="13.5" thickBot="1">
      <c r="A69" s="897"/>
      <c r="B69" s="898"/>
      <c r="C69" s="298"/>
      <c r="D69" s="916" t="s">
        <v>762</v>
      </c>
      <c r="E69" s="896" t="s">
        <v>763</v>
      </c>
      <c r="F69" s="324">
        <f ca="1">F41</f>
        <v>18.95</v>
      </c>
      <c r="O69" s="1334" t="s">
        <v>411</v>
      </c>
      <c r="P69" s="1371" t="s">
        <v>872</v>
      </c>
      <c r="Q69" s="1327">
        <f ca="1">C39</f>
        <v>49363</v>
      </c>
      <c r="R69" s="1327" t="s">
        <v>818</v>
      </c>
    </row>
    <row r="70" spans="1:18" s="1292" customFormat="1" ht="13.5" thickBot="1">
      <c r="A70" s="900"/>
      <c r="B70" s="901"/>
      <c r="C70" s="302"/>
      <c r="D70" s="912"/>
      <c r="E70" s="896" t="s">
        <v>766</v>
      </c>
      <c r="F70" s="991"/>
      <c r="O70" s="1334" t="s">
        <v>412</v>
      </c>
      <c r="P70" s="1371" t="s">
        <v>873</v>
      </c>
      <c r="Q70" s="1327">
        <f ca="1">C13</f>
        <v>127337</v>
      </c>
      <c r="R70" s="1327" t="s">
        <v>818</v>
      </c>
    </row>
    <row r="71" spans="1:18" s="1292" customFormat="1" ht="13.5" thickBot="1">
      <c r="A71" s="917" t="s">
        <v>396</v>
      </c>
      <c r="B71" s="918" t="s">
        <v>776</v>
      </c>
      <c r="C71" s="327">
        <f ca="1">ROUND(C68/F71,0)</f>
        <v>-171</v>
      </c>
      <c r="D71" s="919" t="s">
        <v>777</v>
      </c>
      <c r="E71" s="920" t="s">
        <v>778</v>
      </c>
      <c r="F71" s="330">
        <f ca="1">F43</f>
        <v>32.74</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7004</v>
      </c>
      <c r="D75" s="1292"/>
      <c r="E75" s="1292"/>
      <c r="F75" s="1292"/>
      <c r="K75" s="1309"/>
      <c r="L75" s="1292"/>
      <c r="O75" s="1325" t="s">
        <v>409</v>
      </c>
      <c r="P75" s="1326" t="s">
        <v>838</v>
      </c>
      <c r="Q75" s="1327">
        <f ca="1">Q65+Q66</f>
        <v>697979</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0.85799999999999998</v>
      </c>
    </row>
    <row r="80" spans="1:18">
      <c r="B80" s="331" t="s">
        <v>800</v>
      </c>
      <c r="C80" s="266">
        <f ca="1">ROUND(C75/C39,3)</f>
        <v>0.14199999999999999</v>
      </c>
    </row>
    <row r="81" spans="2:3">
      <c r="B81" s="262" t="s">
        <v>801</v>
      </c>
      <c r="C81" s="230"/>
    </row>
    <row r="82" spans="2:3">
      <c r="B82" s="265" t="s">
        <v>802</v>
      </c>
      <c r="C82" s="267">
        <f ca="1">1-C83</f>
        <v>0.81800000000000006</v>
      </c>
    </row>
    <row r="83" spans="2:3">
      <c r="B83" s="265" t="s">
        <v>803</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4" t="s">
        <v>2317</v>
      </c>
      <c r="K2" s="342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6" t="s">
        <v>2327</v>
      </c>
      <c r="K3" s="342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6" t="s">
        <v>2329</v>
      </c>
      <c r="K4" s="342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2" t="s">
        <v>2333</v>
      </c>
      <c r="B6" s="3433"/>
      <c r="C6" s="3434"/>
      <c r="D6" s="2620"/>
      <c r="E6" s="2621"/>
      <c r="F6" s="2622"/>
      <c r="G6" s="2623"/>
      <c r="H6" s="2598"/>
      <c r="I6" s="2599"/>
      <c r="J6" s="3418">
        <v>1</v>
      </c>
      <c r="K6" s="341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8"/>
      <c r="K7" s="342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5" t="s">
        <v>2347</v>
      </c>
      <c r="C8" s="3436"/>
      <c r="D8" s="2639" t="s">
        <v>2348</v>
      </c>
      <c r="E8" s="2640" t="s">
        <v>2349</v>
      </c>
      <c r="F8" s="2641" t="s">
        <v>2350</v>
      </c>
      <c r="G8" s="2642"/>
      <c r="H8" s="2598"/>
      <c r="I8" s="2599"/>
      <c r="J8" s="3418"/>
      <c r="K8" s="342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5" t="s">
        <v>2353</v>
      </c>
      <c r="C9" s="3436"/>
      <c r="D9" s="2639">
        <f>ROUND(D6*E9,0)</f>
        <v>0</v>
      </c>
      <c r="E9" s="2643"/>
      <c r="F9" s="2644" t="s">
        <v>2354</v>
      </c>
      <c r="G9" s="2623"/>
      <c r="H9" s="2598"/>
      <c r="I9" s="2599"/>
      <c r="J9" s="3418"/>
      <c r="K9" s="3420"/>
      <c r="L9" s="2633" t="s">
        <v>2355</v>
      </c>
      <c r="M9" s="2634"/>
      <c r="N9" s="2610"/>
      <c r="O9" s="2635"/>
      <c r="P9" s="2635"/>
      <c r="Q9" s="2636">
        <v>365</v>
      </c>
      <c r="R9" s="2637">
        <f t="shared" si="0"/>
        <v>0</v>
      </c>
      <c r="S9" s="2591"/>
      <c r="T9" s="2591"/>
      <c r="U9" s="2591"/>
      <c r="V9" s="2599"/>
    </row>
    <row r="10" spans="1:22" s="2603" customFormat="1" ht="13.15" customHeight="1">
      <c r="A10" s="2638">
        <v>2</v>
      </c>
      <c r="B10" s="3435" t="s">
        <v>2356</v>
      </c>
      <c r="C10" s="3436"/>
      <c r="D10" s="2639">
        <f>ROUND(D6*E10,0)</f>
        <v>0</v>
      </c>
      <c r="E10" s="2643"/>
      <c r="F10" s="2644" t="s">
        <v>2357</v>
      </c>
      <c r="G10" s="2623"/>
      <c r="H10" s="2598"/>
      <c r="I10" s="2599"/>
      <c r="J10" s="3418"/>
      <c r="K10" s="3420"/>
      <c r="L10" s="2633" t="s">
        <v>2358</v>
      </c>
      <c r="M10" s="2634"/>
      <c r="N10" s="2610"/>
      <c r="O10" s="2635"/>
      <c r="P10" s="2635"/>
      <c r="Q10" s="2636">
        <v>365</v>
      </c>
      <c r="R10" s="2637">
        <f t="shared" si="0"/>
        <v>0</v>
      </c>
      <c r="S10" s="2591"/>
      <c r="T10" s="2591"/>
      <c r="U10" s="2591"/>
      <c r="V10" s="2599"/>
    </row>
    <row r="11" spans="1:22" s="2603" customFormat="1" ht="13.15" customHeight="1">
      <c r="A11" s="2638">
        <v>3</v>
      </c>
      <c r="B11" s="3435" t="s">
        <v>2359</v>
      </c>
      <c r="C11" s="3436"/>
      <c r="D11" s="2639">
        <f>D12+D14+D15+D16</f>
        <v>0</v>
      </c>
      <c r="E11" s="2645" t="e">
        <f>D11/D6</f>
        <v>#DIV/0!</v>
      </c>
      <c r="F11" s="2641"/>
      <c r="G11" s="2642"/>
      <c r="H11" s="2598"/>
      <c r="I11" s="2599"/>
      <c r="J11" s="3418"/>
      <c r="K11" s="342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8" t="s">
        <v>2362</v>
      </c>
      <c r="C12" s="3429"/>
      <c r="D12" s="2647">
        <f>ROUND(D13*1.2%*(1-30%),0)</f>
        <v>0</v>
      </c>
      <c r="E12" s="2648">
        <v>1.2E-2</v>
      </c>
      <c r="F12" s="2641" t="s">
        <v>2363</v>
      </c>
      <c r="G12" s="2642"/>
      <c r="H12" s="2598"/>
      <c r="I12" s="2599"/>
      <c r="J12" s="3418"/>
      <c r="K12" s="342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8"/>
      <c r="K13" s="342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8" t="s">
        <v>2368</v>
      </c>
      <c r="C14" s="3429"/>
      <c r="D14" s="2647">
        <f>ROUND(E14*B5/10000,0)</f>
        <v>0</v>
      </c>
      <c r="E14" s="2636"/>
      <c r="F14" s="2641" t="s">
        <v>2369</v>
      </c>
      <c r="G14" s="2642"/>
      <c r="H14" s="2598"/>
      <c r="I14" s="2599"/>
      <c r="J14" s="3418"/>
      <c r="K14" s="342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8" t="s">
        <v>2372</v>
      </c>
      <c r="C15" s="3429"/>
      <c r="D15" s="2647">
        <f>ROUND(D6*E15,0)</f>
        <v>0</v>
      </c>
      <c r="E15" s="2648">
        <v>5.5E-2</v>
      </c>
      <c r="F15" s="2641" t="s">
        <v>2373</v>
      </c>
      <c r="G15" s="2623"/>
      <c r="H15" s="2598"/>
      <c r="I15" s="2599"/>
      <c r="J15" s="3418">
        <v>2</v>
      </c>
      <c r="K15" s="341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8" t="s">
        <v>2381</v>
      </c>
      <c r="C16" s="3429"/>
      <c r="D16" s="2658">
        <f>D6*E16</f>
        <v>0</v>
      </c>
      <c r="E16" s="2659"/>
      <c r="F16" s="2644" t="s">
        <v>2382</v>
      </c>
      <c r="G16" s="2623"/>
      <c r="H16" s="2598"/>
      <c r="I16" s="2599"/>
      <c r="J16" s="3418"/>
      <c r="K16" s="342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0" t="s">
        <v>2384</v>
      </c>
      <c r="C17" s="3431"/>
      <c r="D17" s="2661">
        <f>ROUND(D6*E17,0)</f>
        <v>0</v>
      </c>
      <c r="E17" s="2662"/>
      <c r="F17" s="2663" t="s">
        <v>2385</v>
      </c>
      <c r="G17" s="2623"/>
      <c r="H17" s="2598"/>
      <c r="I17" s="2599"/>
      <c r="J17" s="3418"/>
      <c r="K17" s="342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8"/>
      <c r="K18" s="342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8"/>
      <c r="K19" s="342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8">
        <v>3</v>
      </c>
      <c r="K20" s="341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8"/>
      <c r="K21" s="342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8"/>
      <c r="K22" s="342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8"/>
      <c r="K23" s="342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8"/>
      <c r="K24" s="342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4" t="s">
        <v>2317</v>
      </c>
      <c r="K32" s="342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6" t="s">
        <v>2327</v>
      </c>
      <c r="K33" s="342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6" t="s">
        <v>2329</v>
      </c>
      <c r="K34" s="342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8">
        <v>1</v>
      </c>
      <c r="K36" s="341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8"/>
      <c r="K37" s="342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8"/>
      <c r="K38" s="342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8"/>
      <c r="K39" s="342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8"/>
      <c r="K40" s="342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72.302400000000006</v>
      </c>
      <c r="C2" s="1729" t="s">
        <v>1651</v>
      </c>
      <c r="D2" s="1730" t="s">
        <v>1652</v>
      </c>
      <c r="E2" s="2391">
        <f>SUM(E6:E13)</f>
        <v>32.74</v>
      </c>
      <c r="F2" s="2478"/>
      <c r="G2" s="459"/>
      <c r="H2" s="459"/>
      <c r="I2" s="459"/>
      <c r="J2" s="459"/>
      <c r="K2" s="459"/>
      <c r="L2" s="459"/>
      <c r="M2" s="459"/>
      <c r="N2" s="459"/>
      <c r="O2" s="459"/>
      <c r="P2" s="459"/>
      <c r="Q2" s="459"/>
      <c r="R2" s="459"/>
      <c r="S2" s="459"/>
    </row>
    <row r="3" spans="1:22" ht="15.75">
      <c r="A3" s="1728" t="s">
        <v>686</v>
      </c>
      <c r="B3" s="2385">
        <f ca="1">ROUND(B2*10000/E2,0)</f>
        <v>22084</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72.302400000000006</v>
      </c>
      <c r="C6" s="1729" t="s">
        <v>1651</v>
      </c>
      <c r="D6" s="2478"/>
      <c r="E6" s="2390">
        <f>IF(OR(A6=0,F6="否"),0,'数据-取费表'!K6+'数据-取费表'!S6)</f>
        <v>32.74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32.74</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ht="15">
      <c r="A5" s="348"/>
      <c r="B5" s="349"/>
      <c r="C5" s="3408" t="s">
        <v>1673</v>
      </c>
      <c r="D5" s="3409"/>
      <c r="E5" s="3416" t="s">
        <v>1674</v>
      </c>
      <c r="F5" s="3417"/>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76"/>
      <c r="AC5" s="3388"/>
    </row>
    <row r="6" spans="1:29" ht="15.75" thickBot="1">
      <c r="A6" s="350"/>
      <c r="B6" s="351"/>
      <c r="C6" s="3406" t="s">
        <v>1677</v>
      </c>
      <c r="D6" s="3407"/>
      <c r="E6" s="3414" t="s">
        <v>1677</v>
      </c>
      <c r="F6" s="3415"/>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76"/>
      <c r="AC6" s="3389"/>
    </row>
    <row r="7" spans="1:29" s="102" customFormat="1" ht="15.75" thickBot="1">
      <c r="A7" s="352" t="s">
        <v>1679</v>
      </c>
      <c r="B7" s="353"/>
      <c r="C7" s="354">
        <f>'数据-取费表'!B2</f>
        <v>46015</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5"/>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5"/>
      <c r="Q18" s="1263"/>
      <c r="R18" s="667"/>
      <c r="S18" s="668"/>
      <c r="T18" s="667"/>
      <c r="U18" s="668"/>
      <c r="V18" s="667"/>
      <c r="W18" s="668"/>
      <c r="X18" s="1265"/>
      <c r="Y18" s="337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5"/>
      <c r="Q20" s="1263"/>
      <c r="R20" s="667"/>
      <c r="S20" s="668"/>
      <c r="T20" s="667"/>
      <c r="U20" s="668"/>
      <c r="V20" s="667"/>
      <c r="W20" s="668"/>
      <c r="X20" s="1265"/>
      <c r="Y20" s="337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5"/>
      <c r="Q22" s="1263"/>
      <c r="R22" s="667"/>
      <c r="S22" s="668"/>
      <c r="T22" s="667"/>
      <c r="U22" s="668"/>
      <c r="V22" s="667"/>
      <c r="W22" s="668"/>
      <c r="X22" s="1265"/>
      <c r="Y22" s="3378"/>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32.74</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9" t="s">
        <v>1771</v>
      </c>
      <c r="S4" s="3450"/>
      <c r="T4" s="3449" t="s">
        <v>1772</v>
      </c>
      <c r="U4" s="3450"/>
      <c r="V4" s="3451" t="s">
        <v>1773</v>
      </c>
      <c r="W4" s="3451"/>
      <c r="X4" s="1807"/>
      <c r="Y4" s="3449" t="s">
        <v>1775</v>
      </c>
      <c r="Z4" s="3450"/>
      <c r="AA4" s="3453" t="s">
        <v>1771</v>
      </c>
      <c r="AB4" s="3453" t="s">
        <v>1772</v>
      </c>
      <c r="AC4" s="3442" t="s">
        <v>1773</v>
      </c>
    </row>
    <row r="5" spans="1:29" ht="15">
      <c r="A5" s="348"/>
      <c r="B5" s="349"/>
      <c r="C5" s="3408" t="s">
        <v>1673</v>
      </c>
      <c r="D5" s="3409"/>
      <c r="E5" s="3416" t="s">
        <v>1674</v>
      </c>
      <c r="F5" s="3417"/>
      <c r="G5" s="3408" t="s">
        <v>1675</v>
      </c>
      <c r="H5" s="3409"/>
      <c r="I5" s="3408" t="s">
        <v>1676</v>
      </c>
      <c r="J5" s="3409"/>
      <c r="K5" s="537"/>
      <c r="L5" s="2485"/>
      <c r="M5" s="2486"/>
      <c r="N5" s="2486"/>
      <c r="O5" s="2486"/>
      <c r="P5" s="3447"/>
      <c r="Q5" s="3397"/>
      <c r="R5" s="3402"/>
      <c r="S5" s="3403"/>
      <c r="T5" s="3402"/>
      <c r="U5" s="3403"/>
      <c r="V5" s="3376"/>
      <c r="W5" s="3376"/>
      <c r="X5" s="1265"/>
      <c r="Y5" s="3402"/>
      <c r="Z5" s="3403"/>
      <c r="AA5" s="3388"/>
      <c r="AB5" s="3388"/>
      <c r="AC5" s="3443"/>
    </row>
    <row r="6" spans="1:29" ht="15.75" thickBot="1">
      <c r="A6" s="350"/>
      <c r="B6" s="351"/>
      <c r="C6" s="3406" t="s">
        <v>1677</v>
      </c>
      <c r="D6" s="3407"/>
      <c r="E6" s="3414" t="s">
        <v>1677</v>
      </c>
      <c r="F6" s="3415"/>
      <c r="G6" s="3406" t="s">
        <v>1677</v>
      </c>
      <c r="H6" s="3407"/>
      <c r="I6" s="3406" t="s">
        <v>1677</v>
      </c>
      <c r="J6" s="3407"/>
      <c r="K6" s="537" t="s">
        <v>1678</v>
      </c>
      <c r="L6" s="2485"/>
      <c r="M6" s="2486"/>
      <c r="N6" s="2486"/>
      <c r="O6" s="2486"/>
      <c r="P6" s="3448"/>
      <c r="Q6" s="3399"/>
      <c r="R6" s="3402"/>
      <c r="S6" s="3403"/>
      <c r="T6" s="3404"/>
      <c r="U6" s="3405"/>
      <c r="V6" s="3376"/>
      <c r="W6" s="3376"/>
      <c r="X6" s="1265"/>
      <c r="Y6" s="3404"/>
      <c r="Z6" s="3405"/>
      <c r="AA6" s="3389"/>
      <c r="AB6" s="3389"/>
      <c r="AC6" s="3444"/>
    </row>
    <row r="7" spans="1:29" s="102" customFormat="1" ht="15.75" thickBot="1">
      <c r="A7" s="352" t="s">
        <v>1679</v>
      </c>
      <c r="B7" s="353"/>
      <c r="C7" s="354">
        <f>'数据-取费表'!B2</f>
        <v>46015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52"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52"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85"/>
      <c r="Q16" s="1263"/>
      <c r="R16" s="667"/>
      <c r="S16" s="668"/>
      <c r="T16" s="667"/>
      <c r="U16" s="668"/>
      <c r="V16" s="667"/>
      <c r="W16" s="668"/>
      <c r="X16" s="1265"/>
      <c r="Y16" s="3378"/>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85"/>
      <c r="Q18" s="1263"/>
      <c r="R18" s="667"/>
      <c r="S18" s="668"/>
      <c r="T18" s="667"/>
      <c r="U18" s="668"/>
      <c r="V18" s="667"/>
      <c r="W18" s="668"/>
      <c r="X18" s="1265"/>
      <c r="Y18" s="3378"/>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85"/>
      <c r="Q20" s="1263"/>
      <c r="R20" s="667"/>
      <c r="S20" s="668"/>
      <c r="T20" s="667"/>
      <c r="U20" s="668"/>
      <c r="V20" s="667"/>
      <c r="W20" s="668"/>
      <c r="X20" s="1265"/>
      <c r="Y20" s="3378"/>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85"/>
      <c r="Q22" s="1263"/>
      <c r="R22" s="667"/>
      <c r="S22" s="668"/>
      <c r="T22" s="667"/>
      <c r="U22" s="668"/>
      <c r="V22" s="667"/>
      <c r="W22" s="668"/>
      <c r="X22" s="1265"/>
      <c r="Y22" s="3378"/>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85"/>
      <c r="Q24" s="1263"/>
      <c r="R24" s="667"/>
      <c r="S24" s="668"/>
      <c r="T24" s="667"/>
      <c r="U24" s="668"/>
      <c r="V24" s="667"/>
      <c r="W24" s="668"/>
      <c r="X24" s="1265"/>
      <c r="Y24" s="3378"/>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85"/>
      <c r="Q26" s="1263"/>
      <c r="R26" s="667"/>
      <c r="S26" s="668"/>
      <c r="T26" s="667"/>
      <c r="U26" s="668"/>
      <c r="V26" s="667"/>
      <c r="W26" s="668"/>
      <c r="X26" s="1265"/>
      <c r="Y26" s="3378"/>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6" t="s">
        <v>1674</v>
      </c>
      <c r="F5" s="3417"/>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75" thickBot="1">
      <c r="A6" s="350"/>
      <c r="B6" s="351"/>
      <c r="C6" s="3406" t="s">
        <v>1677</v>
      </c>
      <c r="D6" s="3407"/>
      <c r="E6" s="3414" t="s">
        <v>1677</v>
      </c>
      <c r="F6" s="3415"/>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6" t="s">
        <v>1674</v>
      </c>
      <c r="F5" s="3417"/>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75" thickBot="1">
      <c r="A6" s="350"/>
      <c r="B6" s="351"/>
      <c r="C6" s="3406" t="s">
        <v>1677</v>
      </c>
      <c r="D6" s="3407"/>
      <c r="E6" s="3414" t="s">
        <v>1677</v>
      </c>
      <c r="F6" s="3415"/>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5"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5"/>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5"/>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375" t="str">
        <f>A37</f>
        <v>成交单价</v>
      </c>
      <c r="Q37" s="3375"/>
      <c r="R37" s="3376">
        <f>E37</f>
        <v>0</v>
      </c>
      <c r="S37" s="3376"/>
      <c r="T37" s="3376">
        <f>G37</f>
        <v>0</v>
      </c>
      <c r="U37" s="3376"/>
      <c r="V37" s="3376">
        <f>I37</f>
        <v>0</v>
      </c>
      <c r="W37" s="3376"/>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2" t="str">
        <f>A39</f>
        <v>估价对象XX用房的比较价值（楼面单价，元/平方米）</v>
      </c>
      <c r="Q39" s="3373"/>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6" t="s">
        <v>1674</v>
      </c>
      <c r="F5" s="3417"/>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75" thickBot="1">
      <c r="A6" s="350"/>
      <c r="B6" s="351"/>
      <c r="C6" s="3406" t="s">
        <v>1677</v>
      </c>
      <c r="D6" s="3407"/>
      <c r="E6" s="3414" t="s">
        <v>1677</v>
      </c>
      <c r="F6" s="3415"/>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5"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5"/>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5"/>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5"/>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2" t="str">
        <f>A37</f>
        <v>估价对象XX用房的比较价值（楼面单价，元/平方米）</v>
      </c>
      <c r="Q37" s="3373"/>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6" t="s">
        <v>1674</v>
      </c>
      <c r="F5" s="3417"/>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75" thickBot="1">
      <c r="A6" s="350"/>
      <c r="B6" s="351"/>
      <c r="C6" s="3406" t="s">
        <v>1677</v>
      </c>
      <c r="D6" s="3407"/>
      <c r="E6" s="3414" t="s">
        <v>1677</v>
      </c>
      <c r="F6" s="3415"/>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75"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375"/>
      <c r="Q10" s="530" t="str">
        <f t="shared" si="6"/>
        <v>土地使用年限（年）</v>
      </c>
      <c r="R10" s="664" t="s">
        <v>14</v>
      </c>
      <c r="S10" s="665">
        <f t="shared" si="0"/>
        <v>146</v>
      </c>
      <c r="T10" s="664" t="s">
        <v>14</v>
      </c>
      <c r="U10" s="665">
        <f t="shared" si="1"/>
        <v>146</v>
      </c>
      <c r="V10" s="664" t="s">
        <v>14</v>
      </c>
      <c r="W10" s="665">
        <f t="shared" si="2"/>
        <v>146</v>
      </c>
      <c r="X10" s="666"/>
      <c r="Y10" s="3271"/>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5"/>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78"/>
      <c r="Q28" s="530"/>
      <c r="R28" s="664"/>
      <c r="S28" s="665"/>
      <c r="T28" s="664"/>
      <c r="U28" s="665"/>
      <c r="V28" s="664"/>
      <c r="W28" s="665"/>
      <c r="X28" s="666"/>
      <c r="Y28" s="337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4"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75" t="str">
        <f>A46</f>
        <v>成交单价</v>
      </c>
      <c r="Q46" s="3375"/>
      <c r="R46" s="3376">
        <f>E46</f>
        <v>0</v>
      </c>
      <c r="S46" s="3376"/>
      <c r="T46" s="3376">
        <f>G46</f>
        <v>0</v>
      </c>
      <c r="U46" s="3376"/>
      <c r="V46" s="3376">
        <f>I46</f>
        <v>0</v>
      </c>
      <c r="W46" s="3376"/>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75" t="str">
        <f>A47</f>
        <v>比较价值（元/平方米）</v>
      </c>
      <c r="Q47" s="3375"/>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2" t="str">
        <f>A48</f>
        <v>估价对象XX用房的比较价值（楼面单价，元/平方米）</v>
      </c>
      <c r="Q48" s="3373"/>
      <c r="R48" s="3457" t="e">
        <f>ROUND(IF(D47="简单平均",AVERAGE(R47:W47),R47*F47+T47*H47+V47*J47),0)</f>
        <v>#DIV/0!</v>
      </c>
      <c r="S48" s="3457"/>
      <c r="T48" s="3457"/>
      <c r="U48" s="3457"/>
      <c r="V48" s="3457"/>
      <c r="W48" s="345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0" t="s">
        <v>1887</v>
      </c>
      <c r="H55" s="3458"/>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32.74</v>
      </c>
      <c r="F56" s="833" t="e">
        <f t="shared" ref="F56:F64" si="15">ROUND(B56*E56/10000,0)</f>
        <v>#DIV/0!</v>
      </c>
      <c r="G56" s="3386"/>
      <c r="H56" s="337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五级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3" t="s">
        <v>1892</v>
      </c>
      <c r="H63" s="834" t="str">
        <f>项目基本情况!B37</f>
        <v>五级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五级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32.74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6" t="s">
        <v>1674</v>
      </c>
      <c r="F5" s="3417"/>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75" thickBot="1">
      <c r="A6" s="350"/>
      <c r="B6" s="351"/>
      <c r="C6" s="3459" t="s">
        <v>1919</v>
      </c>
      <c r="D6" s="3460"/>
      <c r="E6" s="3461" t="s">
        <v>1919</v>
      </c>
      <c r="F6" s="3462"/>
      <c r="G6" s="3459" t="s">
        <v>1919</v>
      </c>
      <c r="H6" s="3460"/>
      <c r="I6" s="3459" t="s">
        <v>1919</v>
      </c>
      <c r="J6" s="3460"/>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75"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375"/>
      <c r="Q10" s="530" t="str">
        <f t="shared" si="6"/>
        <v>土地使用年限（年）</v>
      </c>
      <c r="R10" s="664" t="s">
        <v>14</v>
      </c>
      <c r="S10" s="665">
        <f t="shared" si="0"/>
        <v>146</v>
      </c>
      <c r="T10" s="664" t="s">
        <v>14</v>
      </c>
      <c r="U10" s="665">
        <f t="shared" si="1"/>
        <v>146</v>
      </c>
      <c r="V10" s="664" t="s">
        <v>14</v>
      </c>
      <c r="W10" s="665">
        <f t="shared" si="2"/>
        <v>146</v>
      </c>
      <c r="X10" s="666"/>
      <c r="Y10" s="3271"/>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5"/>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78"/>
      <c r="Q24" s="530"/>
      <c r="R24" s="664"/>
      <c r="S24" s="665"/>
      <c r="T24" s="664"/>
      <c r="U24" s="665"/>
      <c r="V24" s="664"/>
      <c r="W24" s="665"/>
      <c r="X24" s="666"/>
      <c r="Y24" s="337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4"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75" t="str">
        <f>A41</f>
        <v>成交单价</v>
      </c>
      <c r="Q41" s="3375"/>
      <c r="R41" s="3376">
        <f>E41</f>
        <v>0</v>
      </c>
      <c r="S41" s="3376"/>
      <c r="T41" s="3376">
        <f>G41</f>
        <v>0</v>
      </c>
      <c r="U41" s="3376"/>
      <c r="V41" s="3376">
        <f>I41</f>
        <v>0</v>
      </c>
      <c r="W41" s="3376"/>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75" t="str">
        <f>A42</f>
        <v>比较价值（元/平方米）</v>
      </c>
      <c r="Q42" s="3375"/>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2" t="str">
        <f>A43</f>
        <v>估价对象XX用房的比较价值（楼面单价，元/平方米）</v>
      </c>
      <c r="Q43" s="3373"/>
      <c r="R43" s="3457" t="e">
        <f>ROUND(IF(D42="简单平均",AVERAGE(R42:W42),R42*F42+T42*H42+V42*J42),0)</f>
        <v>#DIV/0!</v>
      </c>
      <c r="S43" s="3457"/>
      <c r="T43" s="3457"/>
      <c r="U43" s="3457"/>
      <c r="V43" s="3457"/>
      <c r="W43" s="345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0" t="s">
        <v>1887</v>
      </c>
      <c r="H50" s="3458"/>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32.74</v>
      </c>
      <c r="F51" s="611" t="e">
        <f t="shared" ref="F51:F60" si="15">ROUND(B51*E51/10000,0)</f>
        <v>#DIV/0!</v>
      </c>
      <c r="G51" s="3386"/>
      <c r="H51" s="337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五级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五级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五级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A19" zoomScale="115" zoomScaleNormal="60" zoomScaleSheetLayoutView="115" workbookViewId="0">
      <selection activeCell="K43" sqref="K4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3467</v>
      </c>
      <c r="E1" s="3123" t="s">
        <v>3487</v>
      </c>
      <c r="F1" s="1735" t="s">
        <v>3488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1.6E-2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4.9000000000000004</v>
      </c>
      <c r="C3" s="344" t="s">
        <v>1665</v>
      </c>
      <c r="D3" s="343">
        <f>IF(D1="",'数据-汇总表'!E3,SUMIF('数据-汇总表'!$C19:$C33,D1,'数据-汇总表'!$E19:$E33))</f>
        <v>32.74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5"/>
      <c r="M4" s="2486"/>
      <c r="N4" s="2486"/>
      <c r="O4" s="2486"/>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ht="15">
      <c r="A5" s="348"/>
      <c r="B5" s="349"/>
      <c r="C5" s="3413" t="s">
        <v>3477</v>
      </c>
      <c r="D5" s="3409"/>
      <c r="E5" s="3416" t="str">
        <f>C5</f>
        <v>西山国际城</v>
      </c>
      <c r="F5" s="3417"/>
      <c r="G5" s="3408" t="str">
        <f>E5</f>
        <v>西山国际城</v>
      </c>
      <c r="H5" s="3409"/>
      <c r="I5" s="3408" t="str">
        <f>G5</f>
        <v>西山国际城</v>
      </c>
      <c r="J5" s="3409"/>
      <c r="K5" s="1745"/>
      <c r="L5" s="2485"/>
      <c r="M5" s="2486"/>
      <c r="N5" s="2486"/>
      <c r="O5" s="2486"/>
      <c r="P5" s="3396"/>
      <c r="Q5" s="3397"/>
      <c r="R5" s="3402"/>
      <c r="S5" s="3403"/>
      <c r="T5" s="3402"/>
      <c r="U5" s="3403"/>
      <c r="V5" s="3376"/>
      <c r="W5" s="3376"/>
      <c r="X5" s="1265"/>
      <c r="Y5" s="3402"/>
      <c r="Z5" s="3403"/>
      <c r="AA5" s="3388"/>
      <c r="AB5" s="3388"/>
      <c r="AC5" s="3388"/>
    </row>
    <row r="6" spans="1:29" ht="15.75" thickBot="1">
      <c r="A6" s="350"/>
      <c r="B6" s="351"/>
      <c r="C6" s="3406" t="s">
        <v>1677</v>
      </c>
      <c r="D6" s="3407"/>
      <c r="E6" s="3414" t="s">
        <v>1677</v>
      </c>
      <c r="F6" s="3415"/>
      <c r="G6" s="3406" t="s">
        <v>1677</v>
      </c>
      <c r="H6" s="3407"/>
      <c r="I6" s="3406" t="s">
        <v>1677</v>
      </c>
      <c r="J6" s="3407"/>
      <c r="K6" s="1745" t="s">
        <v>1678</v>
      </c>
      <c r="L6" s="2485"/>
      <c r="M6" s="2486"/>
      <c r="N6" s="2486"/>
      <c r="O6" s="2486"/>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46015</v>
      </c>
      <c r="D7" s="355">
        <v>100</v>
      </c>
      <c r="E7" s="356">
        <f>案例!I15</f>
        <v>45952</v>
      </c>
      <c r="F7" s="357">
        <f>SUMIF(58:58,YEAR(E7)&amp;"-"&amp;MONTH(E7),59:59)</f>
        <v>100</v>
      </c>
      <c r="G7" s="356">
        <f>案例!I16</f>
        <v>45910</v>
      </c>
      <c r="H7" s="355">
        <f>SUMIF(58:58,YEAR(G7)&amp;"-"&amp;MONTH(G7),59:59)</f>
        <v>100</v>
      </c>
      <c r="I7" s="356">
        <f>案例!I17</f>
        <v>45899</v>
      </c>
      <c r="J7" s="355">
        <f>SUMIF(58:58,YEAR(I7)&amp;"-"&amp;MONTH(I7),59:59)</f>
        <v>100</v>
      </c>
      <c r="K7" s="1746"/>
      <c r="L7" s="2487"/>
      <c r="M7" s="2438"/>
      <c r="N7" s="2438"/>
      <c r="O7" s="2438"/>
      <c r="P7" s="3410"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4"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t="s">
        <v>3502</v>
      </c>
      <c r="D16" s="387"/>
      <c r="E16" s="386" t="s">
        <v>3502</v>
      </c>
      <c r="F16" s="387"/>
      <c r="G16" s="386" t="s">
        <v>3502</v>
      </c>
      <c r="H16" s="389"/>
      <c r="I16" s="386" t="s">
        <v>3502</v>
      </c>
      <c r="J16" s="387"/>
      <c r="K16" s="1753"/>
      <c r="L16" s="2491"/>
      <c r="M16" s="2486"/>
      <c r="N16" s="2486"/>
      <c r="O16" s="2486"/>
      <c r="P16" s="3385"/>
      <c r="Q16" s="1263"/>
      <c r="R16" s="667"/>
      <c r="S16" s="668"/>
      <c r="T16" s="667"/>
      <c r="U16" s="668"/>
      <c r="V16" s="667"/>
      <c r="W16" s="668"/>
      <c r="X16" s="1265"/>
      <c r="Y16" s="337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t="s">
        <v>3502</v>
      </c>
      <c r="D18" s="389"/>
      <c r="E18" s="386" t="s">
        <v>3502</v>
      </c>
      <c r="F18" s="389"/>
      <c r="G18" s="386" t="s">
        <v>3502</v>
      </c>
      <c r="H18" s="387"/>
      <c r="I18" s="386" t="s">
        <v>3502</v>
      </c>
      <c r="J18" s="387"/>
      <c r="K18" s="1753"/>
      <c r="L18" s="2491"/>
      <c r="M18" s="2486"/>
      <c r="N18" s="2486"/>
      <c r="O18" s="2486"/>
      <c r="P18" s="3385"/>
      <c r="Q18" s="1263"/>
      <c r="R18" s="667"/>
      <c r="S18" s="668"/>
      <c r="T18" s="667"/>
      <c r="U18" s="668"/>
      <c r="V18" s="667"/>
      <c r="W18" s="668"/>
      <c r="X18" s="1265"/>
      <c r="Y18" s="337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t="s">
        <v>3502</v>
      </c>
      <c r="D20" s="387"/>
      <c r="E20" s="386" t="s">
        <v>3502</v>
      </c>
      <c r="F20" s="387"/>
      <c r="G20" s="386" t="s">
        <v>3502</v>
      </c>
      <c r="H20" s="387"/>
      <c r="I20" s="386" t="s">
        <v>3502</v>
      </c>
      <c r="J20" s="387"/>
      <c r="K20" s="1753"/>
      <c r="L20" s="2491"/>
      <c r="M20" s="2486"/>
      <c r="N20" s="2486"/>
      <c r="O20" s="2486"/>
      <c r="P20" s="3385"/>
      <c r="Q20" s="1263"/>
      <c r="R20" s="667"/>
      <c r="S20" s="668"/>
      <c r="T20" s="667"/>
      <c r="U20" s="668"/>
      <c r="V20" s="667"/>
      <c r="W20" s="668"/>
      <c r="X20" s="1265"/>
      <c r="Y20" s="337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t="s">
        <v>3507</v>
      </c>
      <c r="D22" s="387"/>
      <c r="E22" s="1755" t="s">
        <v>3507</v>
      </c>
      <c r="F22" s="387"/>
      <c r="G22" s="1755" t="s">
        <v>3507</v>
      </c>
      <c r="H22" s="387"/>
      <c r="I22" s="1755" t="s">
        <v>3507</v>
      </c>
      <c r="J22" s="387"/>
      <c r="K22" s="1759"/>
      <c r="L22" s="2491"/>
      <c r="M22" s="2486"/>
      <c r="N22" s="2486"/>
      <c r="O22" s="2486"/>
      <c r="P22" s="3385"/>
      <c r="Q22" s="1263"/>
      <c r="R22" s="667"/>
      <c r="S22" s="668"/>
      <c r="T22" s="667"/>
      <c r="U22" s="668"/>
      <c r="V22" s="667"/>
      <c r="W22" s="668"/>
      <c r="X22" s="1265"/>
      <c r="Y22" s="337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D23/F23</f>
        <v>1</v>
      </c>
      <c r="AB23" s="1264">
        <f>D23/H23</f>
        <v>1</v>
      </c>
      <c r="AC23" s="1264">
        <f>D23/J23</f>
        <v>1</v>
      </c>
    </row>
    <row r="24" spans="1:29" ht="15">
      <c r="A24" s="367"/>
      <c r="B24" s="395"/>
      <c r="C24" s="386" t="s">
        <v>3502</v>
      </c>
      <c r="D24" s="387"/>
      <c r="E24" s="386" t="s">
        <v>3502</v>
      </c>
      <c r="F24" s="387"/>
      <c r="G24" s="386" t="s">
        <v>3502</v>
      </c>
      <c r="H24" s="387"/>
      <c r="I24" s="386" t="s">
        <v>3502</v>
      </c>
      <c r="J24" s="387"/>
      <c r="K24" s="1753"/>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5"/>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3417</v>
      </c>
      <c r="F26" s="374">
        <f>SUMIF(88:88,E26,89:89)-SUMIF(88:88,C26,89:89)+100</f>
        <v>99</v>
      </c>
      <c r="G26" s="399" t="s">
        <v>3428</v>
      </c>
      <c r="H26" s="374">
        <f>SUMIF(88:88,G26,89:89)-SUMIF(88:88,C26,89:89)+100</f>
        <v>100</v>
      </c>
      <c r="I26" s="399" t="s">
        <v>3428</v>
      </c>
      <c r="J26" s="374">
        <f>SUMIF(88:88,I26,89:89)-SUMIF(88:88,C26,89:89)+100</f>
        <v>100</v>
      </c>
      <c r="K26" s="365">
        <v>1</v>
      </c>
      <c r="L26" s="2491"/>
      <c r="M26" s="2486"/>
      <c r="N26" s="2486"/>
      <c r="O26" s="2486"/>
      <c r="P26" s="3385"/>
      <c r="Q26" s="1263" t="str">
        <f t="shared" si="11"/>
        <v>朝向</v>
      </c>
      <c r="R26" s="667" t="s">
        <v>14</v>
      </c>
      <c r="S26" s="668">
        <f t="shared" si="12"/>
        <v>99</v>
      </c>
      <c r="T26" s="667" t="s">
        <v>14</v>
      </c>
      <c r="U26" s="668">
        <f t="shared" si="13"/>
        <v>100</v>
      </c>
      <c r="V26" s="667" t="s">
        <v>14</v>
      </c>
      <c r="W26" s="668">
        <f t="shared" si="14"/>
        <v>100</v>
      </c>
      <c r="X26" s="1265"/>
      <c r="Y26" s="3378"/>
      <c r="Z26" s="1264" t="str">
        <f>Q26</f>
        <v>朝向</v>
      </c>
      <c r="AA26" s="1264">
        <f t="shared" si="15"/>
        <v>1.0101010101010102</v>
      </c>
      <c r="AB26" s="1264">
        <f t="shared" si="16"/>
        <v>1</v>
      </c>
      <c r="AC26" s="1264">
        <f t="shared" si="17"/>
        <v>1</v>
      </c>
    </row>
    <row r="27" spans="1:29" s="102" customFormat="1" ht="15">
      <c r="A27" s="370"/>
      <c r="B27" s="3175" t="s">
        <v>3489</v>
      </c>
      <c r="C27" s="3177" t="s">
        <v>3491</v>
      </c>
      <c r="D27" s="401">
        <v>100</v>
      </c>
      <c r="E27" s="3178" t="s">
        <v>3493</v>
      </c>
      <c r="F27" s="401">
        <f>SUMIF(90:90,E27,91:91)-SUMIF(90:90,C27,91:91)+100</f>
        <v>101</v>
      </c>
      <c r="G27" s="3179" t="s">
        <v>3494</v>
      </c>
      <c r="H27" s="401">
        <f>SUMIF(90:90,G27,91:91)-SUMIF(90:90,C27,91:91)+100</f>
        <v>100.5</v>
      </c>
      <c r="I27" s="3179" t="s">
        <v>3492</v>
      </c>
      <c r="J27" s="401">
        <f>SUMIF(90:90,I27,91:91)-SUMIF(90:90,C27,91:91)+100</f>
        <v>101.5</v>
      </c>
      <c r="K27" s="1748"/>
      <c r="L27" s="2487"/>
      <c r="M27" s="2438"/>
      <c r="N27" s="2438"/>
      <c r="O27" s="2438"/>
      <c r="P27" s="3385"/>
      <c r="Q27" s="530" t="str">
        <f t="shared" si="11"/>
        <v>楼层</v>
      </c>
      <c r="R27" s="664" t="s">
        <v>14</v>
      </c>
      <c r="S27" s="665">
        <f t="shared" si="12"/>
        <v>101</v>
      </c>
      <c r="T27" s="664" t="s">
        <v>14</v>
      </c>
      <c r="U27" s="665">
        <f t="shared" si="13"/>
        <v>100.5</v>
      </c>
      <c r="V27" s="664" t="s">
        <v>14</v>
      </c>
      <c r="W27" s="665">
        <f t="shared" si="14"/>
        <v>101.5</v>
      </c>
      <c r="X27" s="666"/>
      <c r="Y27" s="3378"/>
      <c r="Z27" s="50" t="str">
        <f>Q27</f>
        <v>楼层</v>
      </c>
      <c r="AA27" s="1264">
        <f t="shared" si="15"/>
        <v>0.99009900990099009</v>
      </c>
      <c r="AB27" s="1264">
        <f t="shared" si="16"/>
        <v>0.99502487562189057</v>
      </c>
      <c r="AC27" s="1264">
        <f t="shared" si="17"/>
        <v>0.98522167487684731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5"/>
      <c r="Q28" s="1263">
        <f t="shared" si="11"/>
        <v>111</v>
      </c>
      <c r="R28" s="667" t="s">
        <v>14</v>
      </c>
      <c r="S28" s="668">
        <f t="shared" si="12"/>
        <v>100</v>
      </c>
      <c r="T28" s="667" t="s">
        <v>14</v>
      </c>
      <c r="U28" s="668">
        <f t="shared" si="13"/>
        <v>100</v>
      </c>
      <c r="V28" s="667" t="s">
        <v>14</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5"/>
      <c r="Q29" s="1263">
        <f t="shared" si="11"/>
        <v>111</v>
      </c>
      <c r="R29" s="667" t="s">
        <v>14</v>
      </c>
      <c r="S29" s="668">
        <f t="shared" si="12"/>
        <v>100</v>
      </c>
      <c r="T29" s="667" t="s">
        <v>14</v>
      </c>
      <c r="U29" s="668">
        <f t="shared" si="13"/>
        <v>100</v>
      </c>
      <c r="V29" s="667" t="s">
        <v>14</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t="s">
        <v>3478</v>
      </c>
      <c r="D32" s="405">
        <v>100</v>
      </c>
      <c r="E32" s="1764" t="s">
        <v>3478</v>
      </c>
      <c r="F32" s="400">
        <f>SUMIF(100:100,E32,101:101)-SUMIF(100:100,C32,101:101)+100</f>
        <v>100</v>
      </c>
      <c r="G32" s="1764" t="s">
        <v>3478</v>
      </c>
      <c r="H32" s="405">
        <f>SUMIF(100:100,G32,101:101)-SUMIF(100:100,C32,101:101)+100</f>
        <v>100</v>
      </c>
      <c r="I32" s="1764" t="s">
        <v>3478</v>
      </c>
      <c r="J32" s="374">
        <f>SUMIF(100:100,I32,101:101)-SUMIF(100:100,C32,101:101)+100</f>
        <v>100</v>
      </c>
      <c r="K32" s="365"/>
      <c r="L32" s="2491"/>
      <c r="M32" s="2486"/>
      <c r="N32" s="2486"/>
      <c r="O32" s="2486"/>
      <c r="P32" s="3379" t="s">
        <v>1696</v>
      </c>
      <c r="Q32" s="1263" t="str">
        <f t="shared" si="11"/>
        <v>建筑类型</v>
      </c>
      <c r="R32" s="667" t="s">
        <v>14</v>
      </c>
      <c r="S32" s="668">
        <f t="shared" si="12"/>
        <v>100</v>
      </c>
      <c r="T32" s="667" t="s">
        <v>14</v>
      </c>
      <c r="U32" s="668">
        <f t="shared" si="13"/>
        <v>100</v>
      </c>
      <c r="V32" s="667" t="s">
        <v>14</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32.74</v>
      </c>
      <c r="D33" s="119">
        <v>100</v>
      </c>
      <c r="E33" s="369">
        <f>案例!C15</f>
        <v>33.700000000000003</v>
      </c>
      <c r="F33" s="364">
        <f>LOOKUP(E33,103:103,104:104)-LOOKUP(C33,103:103,104:104)+100</f>
        <v>100</v>
      </c>
      <c r="G33" s="368">
        <f>案例!C16</f>
        <v>30.86</v>
      </c>
      <c r="H33" s="119">
        <f>LOOKUP(G33,103:103,104:104)-LOOKUP(C33,103:103,104:104)+100</f>
        <v>100</v>
      </c>
      <c r="I33" s="369">
        <f>案例!C17</f>
        <v>33.799999999999997</v>
      </c>
      <c r="J33" s="119">
        <f>LOOKUP(I33,103:103,104:104)-LOOKUP(C33,103:103,104:104)+100</f>
        <v>100</v>
      </c>
      <c r="K33" s="1748"/>
      <c r="L33" s="2490"/>
      <c r="M33" s="2492"/>
      <c r="N33" s="2492"/>
      <c r="O33" s="2492"/>
      <c r="P33" s="3380"/>
      <c r="Q33" s="531" t="str">
        <f t="shared" si="11"/>
        <v>项目建筑规模</v>
      </c>
      <c r="R33" s="669" t="s">
        <v>14</v>
      </c>
      <c r="S33" s="670">
        <f t="shared" si="12"/>
        <v>100</v>
      </c>
      <c r="T33" s="669" t="s">
        <v>14</v>
      </c>
      <c r="U33" s="670">
        <f t="shared" si="13"/>
        <v>100</v>
      </c>
      <c r="V33" s="669" t="s">
        <v>14</v>
      </c>
      <c r="W33" s="670">
        <f t="shared" si="14"/>
        <v>100</v>
      </c>
      <c r="X33" s="671"/>
      <c r="Y33" s="3382"/>
      <c r="Z33" s="672" t="str">
        <f t="shared" si="18"/>
        <v>项目建筑规模</v>
      </c>
      <c r="AA33" s="1264">
        <f t="shared" si="15"/>
        <v>1</v>
      </c>
      <c r="AB33" s="1264">
        <f t="shared" si="16"/>
        <v>1</v>
      </c>
      <c r="AC33" s="1264">
        <f t="shared" si="17"/>
        <v>1</v>
      </c>
    </row>
    <row r="34" spans="1:29" ht="15">
      <c r="A34" s="409"/>
      <c r="B34" s="364" t="s">
        <v>1698</v>
      </c>
      <c r="C34" s="399" t="s">
        <v>3474</v>
      </c>
      <c r="D34" s="374">
        <v>100</v>
      </c>
      <c r="E34" s="399" t="s">
        <v>3474</v>
      </c>
      <c r="F34" s="400">
        <f>SUMIF(105:105,E34,106:106)-SUMIF(105:105,C34,106:106)+100</f>
        <v>100</v>
      </c>
      <c r="G34" s="399" t="s">
        <v>3474</v>
      </c>
      <c r="H34" s="374">
        <f>SUMIF(105:105,G34,106:106)-SUMIF(105:105,C34,106:106)+100</f>
        <v>100</v>
      </c>
      <c r="I34" s="399" t="s">
        <v>3474</v>
      </c>
      <c r="J34" s="374">
        <f>SUMIF(105:105,I34,106:106)-SUMIF(105:105,C34,106:106)+100</f>
        <v>100</v>
      </c>
      <c r="K34" s="365"/>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380"/>
      <c r="Q35" s="1263" t="str">
        <f t="shared" si="11"/>
        <v>建筑品质</v>
      </c>
      <c r="R35" s="667" t="s">
        <v>14</v>
      </c>
      <c r="S35" s="668">
        <f t="shared" si="12"/>
        <v>100</v>
      </c>
      <c r="T35" s="667" t="s">
        <v>14</v>
      </c>
      <c r="U35" s="668">
        <f t="shared" si="13"/>
        <v>100</v>
      </c>
      <c r="V35" s="667" t="s">
        <v>14</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80"/>
      <c r="Q37" s="530" t="str">
        <f t="shared" si="11"/>
        <v>成新度</v>
      </c>
      <c r="R37" s="664" t="s">
        <v>14</v>
      </c>
      <c r="S37" s="665">
        <f t="shared" si="12"/>
        <v>100</v>
      </c>
      <c r="T37" s="664" t="s">
        <v>14</v>
      </c>
      <c r="U37" s="665">
        <f t="shared" si="13"/>
        <v>100</v>
      </c>
      <c r="V37" s="664" t="s">
        <v>14</v>
      </c>
      <c r="W37" s="665">
        <f t="shared" si="14"/>
        <v>100</v>
      </c>
      <c r="X37" s="666"/>
      <c r="Y37" s="3382"/>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14</v>
      </c>
      <c r="S38" s="668">
        <f t="shared" si="12"/>
        <v>100</v>
      </c>
      <c r="T38" s="667" t="s">
        <v>14</v>
      </c>
      <c r="U38" s="668">
        <f t="shared" si="13"/>
        <v>100</v>
      </c>
      <c r="V38" s="667" t="s">
        <v>14</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14</v>
      </c>
      <c r="S39" s="668">
        <f t="shared" si="12"/>
        <v>100</v>
      </c>
      <c r="T39" s="667" t="s">
        <v>14</v>
      </c>
      <c r="U39" s="668">
        <f t="shared" si="13"/>
        <v>100</v>
      </c>
      <c r="V39" s="667" t="s">
        <v>14</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14</v>
      </c>
      <c r="S40" s="668">
        <f t="shared" si="12"/>
        <v>100</v>
      </c>
      <c r="T40" s="667" t="s">
        <v>14</v>
      </c>
      <c r="U40" s="668">
        <f t="shared" si="13"/>
        <v>100</v>
      </c>
      <c r="V40" s="667" t="s">
        <v>14</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14</v>
      </c>
      <c r="S41" s="670">
        <f t="shared" si="12"/>
        <v>100</v>
      </c>
      <c r="T41" s="669" t="s">
        <v>14</v>
      </c>
      <c r="U41" s="670">
        <f t="shared" si="13"/>
        <v>100</v>
      </c>
      <c r="V41" s="669" t="s">
        <v>14</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t="s">
        <v>3511</v>
      </c>
      <c r="D42" s="374">
        <v>100</v>
      </c>
      <c r="E42" s="1761" t="s">
        <v>3420</v>
      </c>
      <c r="F42" s="400">
        <f>SUMIF(122:122,E42,123:123)-SUMIF(122:122,C42,123:123)+100</f>
        <v>95</v>
      </c>
      <c r="G42" s="1760" t="s">
        <v>3420</v>
      </c>
      <c r="H42" s="374">
        <f>SUMIF(122:122,G42,123:123)-SUMIF(122:122,C42,123:123)+100</f>
        <v>95</v>
      </c>
      <c r="I42" s="1761" t="s">
        <v>3420</v>
      </c>
      <c r="J42" s="374">
        <f>SUMIF(122:122,I42,123:123)-SUMIF(122:122,C42,123:123)+100</f>
        <v>95</v>
      </c>
      <c r="K42" s="365">
        <v>5</v>
      </c>
      <c r="L42" s="2491"/>
      <c r="M42" s="2486">
        <f>C48*0.01</f>
        <v>4.9000000000000002E-2</v>
      </c>
      <c r="N42" s="2486"/>
      <c r="O42" s="2486"/>
      <c r="P42" s="3380"/>
      <c r="Q42" s="1263" t="str">
        <f t="shared" si="11"/>
        <v>内部装修</v>
      </c>
      <c r="R42" s="667" t="s">
        <v>14</v>
      </c>
      <c r="S42" s="668">
        <f t="shared" si="12"/>
        <v>95</v>
      </c>
      <c r="T42" s="667" t="s">
        <v>14</v>
      </c>
      <c r="U42" s="668">
        <f t="shared" si="13"/>
        <v>95</v>
      </c>
      <c r="V42" s="667" t="s">
        <v>14</v>
      </c>
      <c r="W42" s="668">
        <f t="shared" si="14"/>
        <v>95</v>
      </c>
      <c r="X42" s="1265"/>
      <c r="Y42" s="3382"/>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3502</v>
      </c>
      <c r="D43" s="374">
        <v>100</v>
      </c>
      <c r="E43" s="1760" t="s">
        <v>3502</v>
      </c>
      <c r="F43" s="400">
        <f>SUMIF(124:124,E43,125:125)-SUMIF(124:124,C43,125:125)+100</f>
        <v>100</v>
      </c>
      <c r="G43" s="1760" t="s">
        <v>3502</v>
      </c>
      <c r="H43" s="374">
        <f>SUMIF(124:124,G43,125:125)-SUMIF(124:124,C43,125:125)+100</f>
        <v>100</v>
      </c>
      <c r="I43" s="1760" t="s">
        <v>3502</v>
      </c>
      <c r="J43" s="374">
        <f>SUMIF(124:124,I43,125:125)-SUMIF(124:124,C43,125:125)+100</f>
        <v>100</v>
      </c>
      <c r="K43" s="365"/>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80"/>
      <c r="Q44" s="530">
        <f t="shared" si="11"/>
        <v>111</v>
      </c>
      <c r="R44" s="664" t="s">
        <v>14</v>
      </c>
      <c r="S44" s="665">
        <f t="shared" si="12"/>
        <v>100</v>
      </c>
      <c r="T44" s="664" t="s">
        <v>14</v>
      </c>
      <c r="U44" s="665">
        <f t="shared" si="13"/>
        <v>100</v>
      </c>
      <c r="V44" s="664" t="s">
        <v>14</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0</v>
      </c>
      <c r="D47" s="418"/>
      <c r="E47" s="419">
        <f>案例!F15</f>
        <v>4.95</v>
      </c>
      <c r="F47" s="420"/>
      <c r="G47" s="421">
        <f>案例!F16</f>
        <v>4.6399999999999997</v>
      </c>
      <c r="H47" s="422"/>
      <c r="I47" s="419">
        <f>案例!F17</f>
        <v>4.4400000000000004</v>
      </c>
      <c r="J47" s="422"/>
      <c r="K47" s="1765"/>
      <c r="L47" s="2493"/>
      <c r="M47" s="2486"/>
      <c r="N47" s="2486"/>
      <c r="O47" s="2486"/>
      <c r="P47" s="3375" t="str">
        <f>A47</f>
        <v>成交单价（元/平方米）</v>
      </c>
      <c r="Q47" s="3375"/>
      <c r="R47" s="3376">
        <f>E47</f>
        <v>4.95</v>
      </c>
      <c r="S47" s="3376"/>
      <c r="T47" s="3376">
        <f>G47</f>
        <v>4.6399999999999997</v>
      </c>
      <c r="U47" s="3376"/>
      <c r="V47" s="3376">
        <f>I47</f>
        <v>4.4400000000000004</v>
      </c>
      <c r="W47" s="3376"/>
      <c r="X47" s="385"/>
      <c r="Y47" s="673"/>
      <c r="Z47" s="385"/>
      <c r="AA47" s="385"/>
      <c r="AB47" s="385"/>
      <c r="AC47" s="385"/>
    </row>
    <row r="48" spans="1:29" ht="15.75" thickBot="1">
      <c r="A48" s="423" t="s">
        <v>1709</v>
      </c>
      <c r="B48" s="424"/>
      <c r="C48" s="1082">
        <f>R49</f>
        <v>4.9000000000000004</v>
      </c>
      <c r="D48" s="2139" t="s">
        <v>2138</v>
      </c>
      <c r="E48" s="1083">
        <f>R48</f>
        <v>5.2</v>
      </c>
      <c r="F48" s="2140"/>
      <c r="G48" s="1082">
        <f>T48</f>
        <v>4.9000000000000004</v>
      </c>
      <c r="H48" s="2140"/>
      <c r="I48" s="1083">
        <f>V48</f>
        <v>4.5999999999999996</v>
      </c>
      <c r="J48" s="2140"/>
      <c r="K48" s="2141">
        <f>F48+H48+J48</f>
        <v>0</v>
      </c>
      <c r="L48" s="2493"/>
      <c r="M48" s="2486"/>
      <c r="N48" s="2486"/>
      <c r="O48" s="2486"/>
      <c r="P48" s="3375" t="str">
        <f>A48</f>
        <v>比较价值（元/平方米）</v>
      </c>
      <c r="Q48" s="3375"/>
      <c r="R48" s="3376">
        <f>IF(F1="售价",ROUND(PRODUCT(R47,AA7:AA46),0),ROUND(PRODUCT(R47,AA7:AA46),1))</f>
        <v>5.2</v>
      </c>
      <c r="S48" s="3376"/>
      <c r="T48" s="3376">
        <f>IF(F1="售价",ROUND(PRODUCT(T47,AB7:AB46),0),ROUND(PRODUCT(T47,AB7:AB46),1))</f>
        <v>4.9000000000000004</v>
      </c>
      <c r="U48" s="3376"/>
      <c r="V48" s="3376">
        <f>IF(F1="售价",ROUND(PRODUCT(V47,AC7:AC46),0),ROUND(PRODUCT(V47,AC7:AC46),1))</f>
        <v>4.5999999999999996</v>
      </c>
      <c r="W48" s="3376"/>
      <c r="X48" s="385"/>
      <c r="Y48" s="385"/>
      <c r="Z48" s="385"/>
      <c r="AA48" s="385"/>
      <c r="AB48" s="385"/>
      <c r="AC48" s="385"/>
    </row>
    <row r="49" spans="1:29" ht="15.75" thickBot="1">
      <c r="A49" s="427" t="s">
        <v>1710</v>
      </c>
      <c r="B49" s="428"/>
      <c r="C49" s="1084">
        <f>R49</f>
        <v>4.9000000000000004</v>
      </c>
      <c r="D49" s="351"/>
      <c r="E49" s="351"/>
      <c r="F49" s="351"/>
      <c r="G49" s="351"/>
      <c r="H49" s="351"/>
      <c r="I49" s="351"/>
      <c r="J49" s="351"/>
      <c r="K49" s="1766"/>
      <c r="L49" s="2493"/>
      <c r="M49" s="2486"/>
      <c r="N49" s="2486"/>
      <c r="O49" s="2486"/>
      <c r="P49" s="3372" t="str">
        <f>A49</f>
        <v>估价对象XX用房的比较价值（楼面单价，元/平方米）</v>
      </c>
      <c r="Q49" s="3373"/>
      <c r="R49" s="3374">
        <f>IF(F1="售价",ROUND(IF(D48="简单平均",AVERAGE(R48:V48),R48*F48+T48*H48+V48*J48),0),ROUND(IF(D48="简单平均",AVERAGE(R48:V48),R48*F48+T48*H48+V48*J48),1))</f>
        <v>4.9000000000000004</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5.0505050505050608E-2</v>
      </c>
      <c r="F52" s="435" t="str">
        <f>IF(OR(E52&gt;=0.3,E52&lt;=-0.3),"超过30%","")</f>
        <v/>
      </c>
      <c r="G52" s="434">
        <f>IF(G47&lt;G48,G48/G47-1,G47/G48-1)</f>
        <v>5.6034482758620774E-2</v>
      </c>
      <c r="H52" s="435" t="str">
        <f>IF(OR(G52&gt;=0.3,G52&lt;=-0.3),"超过30%","")</f>
        <v/>
      </c>
      <c r="I52" s="434">
        <f>IF(I47&lt;I48,I48/I47-1,I47/I48-1)</f>
        <v>3.603603603603589E-2</v>
      </c>
      <c r="J52" s="435" t="str">
        <f>IF(OR(I52&gt;=0.3,I52&lt;=-0.3),"超过30%","")</f>
        <v/>
      </c>
      <c r="K52" s="2498"/>
      <c r="L52" s="2494"/>
      <c r="M52" s="2486"/>
      <c r="N52" s="2486"/>
      <c r="O52" s="2486"/>
    </row>
    <row r="53" spans="1:29" ht="13.5" customHeight="1">
      <c r="A53" s="2486"/>
      <c r="B53" s="2486"/>
      <c r="C53" s="432" t="s">
        <v>1712</v>
      </c>
      <c r="D53" s="436"/>
      <c r="E53" s="434">
        <f>IF(E48&lt;G48,G48/E48-1,E48/G48-1)</f>
        <v>6.1224489795918435E-2</v>
      </c>
      <c r="F53" s="435" t="str">
        <f>IF(OR(E53&gt;=0.2,E53&lt;=-0.2),"超过20%","")</f>
        <v/>
      </c>
      <c r="G53" s="434">
        <f>IF(G48&lt;I48,I48/G48-1,G48/I48-1)</f>
        <v>6.5217391304347894E-2</v>
      </c>
      <c r="H53" s="435" t="str">
        <f>IF(OR(G53&gt;=0.2,G53&lt;=-0.2),"超过20%","")</f>
        <v/>
      </c>
      <c r="I53" s="434">
        <f>IF(I48&lt;E48,E48/I48-1,I48/E48-1)</f>
        <v>0.13043478260869579</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6.6810344827586299E-2</v>
      </c>
      <c r="F54" s="435" t="str">
        <f>IF(OR(E54&gt;=0.3,E54&lt;=-0.3),"超过30%","")</f>
        <v/>
      </c>
      <c r="G54" s="434">
        <f>IF(G47&lt;I47,I47/G47-1,G47/I47-1)</f>
        <v>4.5045045045044807E-2</v>
      </c>
      <c r="H54" s="435" t="str">
        <f>IF(OR(G54&gt;=0.3,G54&lt;=-0.3),"超过30%","")</f>
        <v/>
      </c>
      <c r="I54" s="434">
        <f>IF(I47&lt;E47,E47/I47-1,I47/E47-1)</f>
        <v>0.11486486486486491</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v>
      </c>
      <c r="G59" s="446">
        <v>100</v>
      </c>
      <c r="H59" s="446">
        <v>100</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3484</v>
      </c>
      <c r="D88" s="3174" t="s">
        <v>3485</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6" t="s">
        <v>3490</v>
      </c>
      <c r="D90" s="3176" t="s">
        <v>3491</v>
      </c>
      <c r="E90" s="3174" t="s">
        <v>3425</v>
      </c>
      <c r="F90" s="3176" t="s">
        <v>3493</v>
      </c>
      <c r="G90" s="3176" t="s">
        <v>3492</v>
      </c>
      <c r="H90" s="486"/>
      <c r="I90" s="486"/>
      <c r="J90" s="486"/>
      <c r="K90" s="486"/>
      <c r="L90" s="487"/>
      <c r="M90" s="488"/>
      <c r="N90" s="881"/>
      <c r="O90" s="881"/>
      <c r="P90" s="1774"/>
      <c r="Q90" s="490"/>
    </row>
    <row r="91" spans="1:17" s="408" customFormat="1" ht="15.75" thickBot="1">
      <c r="A91" s="484"/>
      <c r="B91" s="474"/>
      <c r="C91" s="491">
        <f>'比较法-住宅'!C91</f>
        <v>100</v>
      </c>
      <c r="D91" s="491">
        <f>'比较法-住宅'!D91</f>
        <v>100</v>
      </c>
      <c r="E91" s="491">
        <f>'比较法-住宅'!E91</f>
        <v>100.5</v>
      </c>
      <c r="F91" s="491">
        <f>'比较法-住宅'!F91</f>
        <v>101</v>
      </c>
      <c r="G91" s="491">
        <f>'比较法-住宅'!G91</f>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74" t="s">
        <v>3480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3481</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3495</v>
      </c>
      <c r="D122" s="3174" t="s">
        <v>3421</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57.640599999999999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17606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350982.22000000003</v>
      </c>
      <c r="D5" s="203" t="s">
        <v>1469</v>
      </c>
      <c r="E5" s="204" t="s">
        <v>1470</v>
      </c>
      <c r="F5" s="204" t="s">
        <v>1471</v>
      </c>
      <c r="G5" s="205"/>
    </row>
    <row r="6" spans="1:8" s="206" customFormat="1" ht="13.5" customHeight="1">
      <c r="A6" s="732" t="s">
        <v>1472</v>
      </c>
      <c r="B6" s="207" t="s">
        <v>1473</v>
      </c>
      <c r="C6" s="208">
        <f>基准地价修正!C33*基准地价修正!D33</f>
        <v>340594.22000000003</v>
      </c>
      <c r="D6" s="209"/>
      <c r="E6" s="210"/>
      <c r="F6" s="210"/>
      <c r="G6" s="211"/>
    </row>
    <row r="7" spans="1:8" s="206" customFormat="1" ht="13.5" customHeight="1">
      <c r="A7" s="732" t="s">
        <v>1474</v>
      </c>
      <c r="B7" s="207" t="s">
        <v>1475</v>
      </c>
      <c r="C7" s="212">
        <f>ROUND(C6*F7,0)</f>
        <v>10388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6548</v>
      </c>
      <c r="D10" s="795">
        <f ca="1">IF(B1="",'数据-汇总表'!E6,IF(INDIRECT("'数据-取费表'!c"&amp;$G$1)="住宅",INDIRECT("'数据-取费表'!s"&amp;$G$1),INDIRECT("'数据-取费表'!k"&amp;$G$1)+INDIRECT("'数据-取费表'!s"&amp;$G$1)))</f>
        <v>32.74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6548</v>
      </c>
      <c r="D19" s="204">
        <f ca="1">D9+D10</f>
        <v>32.74</v>
      </c>
      <c r="E19" s="203">
        <f>'数据-取费表'!B31</f>
        <v>200</v>
      </c>
      <c r="F19" s="223"/>
      <c r="G19" s="1714" t="s">
        <v>436</v>
      </c>
    </row>
    <row r="20" spans="1:7" s="206" customFormat="1" ht="13.5" customHeight="1">
      <c r="A20" s="247" t="s">
        <v>1574</v>
      </c>
      <c r="B20" s="202" t="s">
        <v>1575</v>
      </c>
      <c r="C20" s="224">
        <f ca="1">ROUND((C5+C19)*F20,0)</f>
        <v>3575</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22843</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22315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416</v>
      </c>
      <c r="D24" s="230"/>
      <c r="E24" s="230"/>
      <c r="F24" s="231"/>
      <c r="G24" s="232" t="s">
        <v>1586</v>
      </c>
    </row>
    <row r="25" spans="1:7" s="206" customFormat="1" ht="24">
      <c r="A25" s="734" t="s">
        <v>1476</v>
      </c>
      <c r="B25" s="207" t="s">
        <v>1587</v>
      </c>
      <c r="C25" s="230">
        <f ca="1">ROUND(IF('数据-取费表'!B22&lt;=1,C20*F22*'数据-取费表'!B22/2,C20*(POWER((1+F22),'数据-取费表'!B22/2)-1)),0)</f>
        <v>112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36111</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36111</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449069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130305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114590</v>
      </c>
      <c r="D34" s="209"/>
      <c r="E34" s="212"/>
      <c r="F34" s="249"/>
      <c r="G34" s="211"/>
    </row>
    <row r="35" spans="1:7" ht="13.5" customHeight="1">
      <c r="A35" s="734" t="s">
        <v>351</v>
      </c>
      <c r="B35" s="207" t="s">
        <v>1527</v>
      </c>
      <c r="C35" s="212">
        <f ca="1">ROUND(C34*F35,0)</f>
        <v>6875</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6548</v>
      </c>
      <c r="D37" s="209">
        <f ca="1">D19</f>
        <v>32.74</v>
      </c>
      <c r="E37" s="241">
        <f>'数据-取费表'!B35</f>
        <v>200</v>
      </c>
      <c r="F37" s="251"/>
      <c r="G37" s="253"/>
    </row>
    <row r="38" spans="1:7" ht="13.5" customHeight="1">
      <c r="A38" s="734" t="s">
        <v>354</v>
      </c>
      <c r="B38" s="207" t="s">
        <v>1533</v>
      </c>
      <c r="C38" s="212">
        <f ca="1">ROUND(C34*F38,0)</f>
        <v>2292</v>
      </c>
      <c r="D38" s="212"/>
      <c r="E38" s="212"/>
      <c r="F38" s="251">
        <f>'数据-取费表'!B36</f>
        <v>0.02</v>
      </c>
      <c r="G38" s="211" t="s">
        <v>1528</v>
      </c>
    </row>
    <row r="39" spans="1:7" s="206" customFormat="1" ht="13.5" customHeight="1">
      <c r="A39" s="247" t="s">
        <v>1534</v>
      </c>
      <c r="B39" s="202" t="s">
        <v>1535</v>
      </c>
      <c r="C39" s="224">
        <f ca="1">ROUND(C33*F20,0)</f>
        <v>1303</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4120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4079</v>
      </c>
      <c r="D42" s="230"/>
      <c r="E42" s="230"/>
      <c r="F42" s="231"/>
      <c r="G42" s="3364" t="s">
        <v>1591</v>
      </c>
    </row>
    <row r="43" spans="1:7" ht="13.5" customHeight="1">
      <c r="A43" s="734" t="s">
        <v>347</v>
      </c>
      <c r="B43" s="207" t="s">
        <v>1545</v>
      </c>
      <c r="C43" s="230">
        <f ca="1">ROUND(IF('数据-取费表'!B22&lt;=1,C39*F22*'数据-取费表'!B20/2,C39*(POWER((1+F22),'数据-取费表'!B20/2)-1)),0)</f>
        <v>41</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13161</v>
      </c>
      <c r="D45" s="227">
        <f ca="1">C47</f>
        <v>1E-3</v>
      </c>
      <c r="E45" s="228" t="s">
        <v>1539</v>
      </c>
      <c r="F45" s="238">
        <f ca="1">F27</f>
        <v>0.1</v>
      </c>
      <c r="G45" s="239" t="s">
        <v>1548</v>
      </c>
    </row>
    <row r="46" spans="1:7" s="206" customFormat="1" ht="13.5" customHeight="1">
      <c r="A46" s="734" t="s">
        <v>346</v>
      </c>
      <c r="B46" s="240" t="s">
        <v>1549</v>
      </c>
      <c r="C46" s="241">
        <f ca="1">ROUND((C33+C39)*F27,0)</f>
        <v>13161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159171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127337</v>
      </c>
      <c r="D51" s="224"/>
      <c r="E51" s="224"/>
      <c r="F51" s="256"/>
      <c r="G51" s="226" t="s">
        <v>1560</v>
      </c>
    </row>
    <row r="52" spans="1:7" s="200" customFormat="1" ht="16.5" thickBot="1">
      <c r="A52" s="257" t="s">
        <v>1561</v>
      </c>
      <c r="B52" s="258"/>
      <c r="C52" s="259">
        <f ca="1">C31+C51</f>
        <v>576406</v>
      </c>
      <c r="D52" s="258"/>
      <c r="E52" s="258"/>
      <c r="F52" s="258"/>
      <c r="G52" s="260"/>
    </row>
    <row r="55" spans="1:7" ht="15">
      <c r="B55" s="262" t="s">
        <v>1562</v>
      </c>
      <c r="C55" s="263"/>
    </row>
    <row r="56" spans="1:7">
      <c r="B56" s="265" t="s">
        <v>802</v>
      </c>
      <c r="C56" s="267">
        <f ca="1">1-C57</f>
        <v>0.77900000000000003</v>
      </c>
    </row>
    <row r="57" spans="1:7">
      <c r="B57" s="265" t="s">
        <v>803</v>
      </c>
      <c r="C57" s="266">
        <f ca="1">ROUND(C51/C52,3)</f>
        <v>0.221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34</v>
      </c>
      <c r="C2" s="1982" t="s">
        <v>2074</v>
      </c>
      <c r="D2" s="1982" t="s">
        <v>2075</v>
      </c>
      <c r="E2" s="2396">
        <f ca="1">SUMIF(E6:E13,"&lt;&gt;#ref!",E6:E13)</f>
        <v>32.74</v>
      </c>
      <c r="F2" s="2543"/>
      <c r="G2" s="2543"/>
      <c r="H2" s="2543"/>
      <c r="I2" s="2543"/>
      <c r="J2" s="2543"/>
      <c r="K2" s="2543"/>
      <c r="L2" s="2543"/>
      <c r="M2" s="2543"/>
      <c r="N2" s="2543"/>
      <c r="O2" s="2543"/>
      <c r="P2" s="2543"/>
    </row>
    <row r="3" spans="1:16" ht="15.75">
      <c r="A3" s="1982" t="s">
        <v>2076</v>
      </c>
      <c r="B3" s="2386">
        <f ca="1">ROUND(B2*10000/E2,0)</f>
        <v>10385</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34</v>
      </c>
      <c r="C6" s="1982" t="s">
        <v>2074</v>
      </c>
      <c r="D6" s="2543"/>
      <c r="E6" s="2396">
        <f ca="1">SUMIF(INDIRECT("'"&amp;A6&amp;"'"&amp;"!C:C"),"建筑面积",INDIRECT("'"&amp;A6&amp;"'"&amp;"!D:D"))</f>
        <v>32.74</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32.74</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v>
      </c>
      <c r="C2" s="1844"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14096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10385</v>
      </c>
      <c r="C3" s="1844" t="s">
        <v>1941</v>
      </c>
      <c r="D3" s="162" t="s">
        <v>1942</v>
      </c>
      <c r="E3" s="3117" t="s">
        <v>2449</v>
      </c>
      <c r="F3" s="1846" t="s">
        <v>3496</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11110</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6"/>
      <c r="B4" s="3477"/>
      <c r="C4" s="3477"/>
      <c r="D4" s="3478"/>
      <c r="E4" s="3478"/>
      <c r="F4" s="3478"/>
      <c r="G4" s="3478"/>
      <c r="H4" s="3478"/>
      <c r="I4" s="3478"/>
      <c r="J4" s="3479"/>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9390</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15200</v>
      </c>
      <c r="D5" s="1252">
        <f>ROUND(C6*C17+C20,0)</f>
        <v>15200</v>
      </c>
      <c r="E5" s="1252"/>
      <c r="F5" s="1849"/>
      <c r="G5" s="1850"/>
      <c r="H5" s="1850"/>
      <c r="I5" s="1850"/>
      <c r="J5" s="1851"/>
      <c r="K5" s="1852"/>
      <c r="L5" s="1845" t="s">
        <v>1948</v>
      </c>
      <c r="M5" s="811">
        <f>SUMPRODUCT((区片价!B87:B126=I2)*(区片价!C3:G3=E2)*(区片价!C87:G126))</f>
        <v>15200</v>
      </c>
      <c r="N5" s="813">
        <f>SUMPRODUCT((因素修正幅度!B87:B126=I2)*(因素修正幅度!C3:G3=E2)*(因素修正幅度!C87:G126))</f>
        <v>9.8000000000000004E-2</v>
      </c>
      <c r="O5" s="1056"/>
      <c r="P5" s="1056"/>
      <c r="Q5" s="1056"/>
      <c r="R5" s="1129">
        <v>4</v>
      </c>
      <c r="S5" s="3062">
        <f>ROUND(SUMPRODUCT((B106:B110=R5)*(C105:N105=G2)*(C106:N110)),4)</f>
        <v>0.88239999999999996</v>
      </c>
      <c r="T5" s="3062">
        <f t="shared" si="0"/>
        <v>8282</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15200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7959</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1.5</v>
      </c>
      <c r="AA7" s="1133"/>
      <c r="AB7" s="1133"/>
      <c r="AC7" s="1134"/>
      <c r="AD7" s="1135"/>
      <c r="AE7" s="1135"/>
      <c r="AF7" s="1135"/>
      <c r="AG7" s="1135"/>
      <c r="AH7" s="1135"/>
      <c r="AI7" s="1135"/>
      <c r="AJ7" s="1136"/>
    </row>
    <row r="8" spans="1:36" ht="25.5">
      <c r="A8" s="3008"/>
      <c r="B8" s="162" t="s">
        <v>1957</v>
      </c>
      <c r="C8" s="1868" t="s">
        <v>3497</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0" t="s">
        <v>3254</v>
      </c>
      <c r="B20" s="159" t="s">
        <v>1994</v>
      </c>
      <c r="C20" s="3030">
        <f>ROUND(IF(F21="与级别开发程度一致",0,(G21-E21)/C21),0)</f>
        <v>0</v>
      </c>
      <c r="D20" s="3045" t="s">
        <v>1998</v>
      </c>
      <c r="E20" s="3046"/>
      <c r="F20" s="3486" t="s">
        <v>1995</v>
      </c>
      <c r="G20" s="348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81"/>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3498</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46015</v>
      </c>
      <c r="H23" s="3047" t="s">
        <v>3499</v>
      </c>
      <c r="I23" s="3048" t="str">
        <f>IF(H23="季度增幅（自定义）",SUMIF(N25:N28,E2,O25:O28),"")</f>
        <v/>
      </c>
      <c r="J23" s="3140" t="s">
        <v>3500</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0.72230000000000005</v>
      </c>
      <c r="D24" s="1900" t="s">
        <v>2007</v>
      </c>
      <c r="E24" s="1248">
        <f>存贷款利率!E28/100</f>
        <v>4.3499999999999997E-2</v>
      </c>
      <c r="F24" s="1900" t="s">
        <v>1999</v>
      </c>
      <c r="G24" s="724">
        <f>SUMIF(M30:Q30,E2,M33:Q33)</f>
        <v>5.5E-2</v>
      </c>
      <c r="H24" s="1900" t="s">
        <v>2008</v>
      </c>
      <c r="I24" s="725">
        <f>SUMIF('数据-取费表'!C6:C15,E2,'数据-取费表'!F6:F15)/COUNTIF('数据-取费表'!C6:C15,E2)</f>
        <v>18.95</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1.1084000000000001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1.1084000000000001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34</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10403</v>
      </c>
      <c r="D33" s="1938">
        <f>'数据-汇总表'!F19</f>
        <v>32.74</v>
      </c>
      <c r="E33" s="727">
        <f>ROUND(C33*D33/10000,0)</f>
        <v>34</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2601</v>
      </c>
      <c r="D34" s="1943"/>
      <c r="E34" s="727">
        <f>ROUND(IF(B25="楼层修正",SUM(V2:V16)*M40,C34*D34/10000),0)</f>
        <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84"/>
      <c r="B37" s="1953" t="s">
        <v>2036</v>
      </c>
      <c r="C37" s="167">
        <f>ROUND(D5*C22*C23*C24*C28*F37,0)</f>
        <v>5631</v>
      </c>
      <c r="D37" s="1938"/>
      <c r="E37" s="163">
        <f>ROUND(C37*D37/10000,0)</f>
        <v>0</v>
      </c>
      <c r="F37" s="163">
        <f>SUMIF(修正!A59:A70,G2,修正!B59:B70)</f>
        <v>0.6</v>
      </c>
      <c r="G37" s="163">
        <f>ROUND(IF(E2="工业",C37*$M$42,C37*$M$41),0)</f>
        <v>1408</v>
      </c>
      <c r="H37" s="163">
        <f>D37</f>
        <v>0</v>
      </c>
      <c r="I37" s="163">
        <f>ROUND(G37*H37/10000,0)</f>
        <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85"/>
      <c r="B38" s="1882" t="s">
        <v>2037</v>
      </c>
      <c r="C38" s="167">
        <f>ROUND(D5*C22*C23*C24*C28*F38,0)</f>
        <v>2816</v>
      </c>
      <c r="D38" s="1938"/>
      <c r="E38" s="163">
        <f t="shared" ref="E38:E42" si="4">ROUND(C38*D38/10000,0)</f>
        <v>0</v>
      </c>
      <c r="F38" s="163">
        <f>SUMIF(修正!A59:A70,G2,修正!C59:C70)</f>
        <v>0.3</v>
      </c>
      <c r="G38" s="163">
        <f>ROUND(IF(E2="工业",C38*$M$42,C38*$M$41),0)</f>
        <v>704</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85"/>
      <c r="B39" s="1882" t="s">
        <v>3257</v>
      </c>
      <c r="C39" s="167">
        <f>ROUND(D5*C22*C23*C24*C28*F39,0)</f>
        <v>2346</v>
      </c>
      <c r="D39" s="1938"/>
      <c r="E39" s="163">
        <f t="shared" si="4"/>
        <v>0</v>
      </c>
      <c r="F39" s="163">
        <f>SUMIF(修正!A59:A70,G2,修正!D59:D70)</f>
        <v>0.25</v>
      </c>
      <c r="G39" s="163">
        <f>ROUND(IF(E2="工业",C39*$M$42,C39*$M$41),0)</f>
        <v>587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2346</v>
      </c>
      <c r="D40" s="1938"/>
      <c r="E40" s="163">
        <f t="shared" si="4"/>
        <v>0</v>
      </c>
      <c r="F40" s="167">
        <f>SUMIF(修正!A59:A70,G2,修正!E59:E70)</f>
        <v>0.25</v>
      </c>
      <c r="G40" s="163">
        <f>ROUND(IF(E2="工业",C40*$M$42,C40*$M$41),0)</f>
        <v>587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3502</v>
      </c>
      <c r="D50" s="1002">
        <f t="shared" ref="D50:D58" si="7">SUMIF($J$49:$N$49,C50,J50:N50)</f>
        <v>1.47E-2</v>
      </c>
      <c r="E50" s="702">
        <f>ROUND(SUM(D50:D58),4)</f>
        <v>4.2299999999999997E-2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3502</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3502</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3501</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3501</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3502</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3502</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3502</v>
      </c>
      <c r="D57" s="1002">
        <f t="shared" si="7"/>
        <v>3.8999999999999998E-3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3502</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82" t="s">
        <v>3292</v>
      </c>
      <c r="B103" s="3482"/>
      <c r="C103" s="3482"/>
      <c r="D103" s="3482"/>
      <c r="E103" s="3482"/>
      <c r="F103" s="3482"/>
      <c r="G103" s="3482"/>
      <c r="H103" s="3482"/>
      <c r="I103" s="3482"/>
      <c r="J103" s="3482"/>
      <c r="K103" s="1667"/>
      <c r="L103" s="1667"/>
      <c r="M103" s="1667"/>
      <c r="N103" s="1667"/>
    </row>
    <row r="104" spans="1:14">
      <c r="A104" s="3483" t="s">
        <v>3293</v>
      </c>
      <c r="B104" s="3483" t="s">
        <v>3294</v>
      </c>
      <c r="C104" s="3089" t="s">
        <v>3295</v>
      </c>
      <c r="D104" s="3090"/>
      <c r="E104" s="3090"/>
      <c r="F104" s="3090"/>
      <c r="G104" s="3090"/>
      <c r="H104" s="3090"/>
      <c r="I104" s="3090"/>
      <c r="J104" s="3091"/>
      <c r="K104" s="3092"/>
      <c r="L104" s="3092"/>
      <c r="M104" s="3092"/>
      <c r="N104" s="3092"/>
    </row>
    <row r="105" spans="1:14">
      <c r="A105" s="3483"/>
      <c r="B105" s="348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2" t="s">
        <v>3309</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0.92800000000000005</v>
      </c>
      <c r="E116" s="162" t="s">
        <v>3312</v>
      </c>
      <c r="F116" s="3100" t="str">
        <f>E2</f>
        <v>商业</v>
      </c>
      <c r="G116" s="162" t="s">
        <v>3313</v>
      </c>
      <c r="H116" s="3100" t="str">
        <f>G2</f>
        <v>五级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9" t="s">
        <v>2607</v>
      </c>
      <c r="B20" s="3492" t="s">
        <v>2628</v>
      </c>
      <c r="C20" s="3167" t="s">
        <v>2439</v>
      </c>
      <c r="D20" s="3167"/>
      <c r="E20" s="2843">
        <v>1</v>
      </c>
      <c r="F20" s="2844" t="s">
        <v>2440</v>
      </c>
      <c r="G20" s="2844"/>
    </row>
    <row r="21" spans="1:13" ht="19.5" customHeight="1">
      <c r="A21" s="3500"/>
      <c r="B21" s="3488"/>
      <c r="C21" s="2856" t="s">
        <v>2441</v>
      </c>
      <c r="D21" s="2856"/>
      <c r="E21" s="2847">
        <v>1</v>
      </c>
      <c r="F21" s="2844" t="s">
        <v>2442</v>
      </c>
      <c r="G21" s="2844"/>
    </row>
    <row r="22" spans="1:13" ht="19.5" customHeight="1">
      <c r="A22" s="3500"/>
      <c r="B22" s="3488"/>
      <c r="C22" s="2856" t="s">
        <v>2443</v>
      </c>
      <c r="D22" s="2856"/>
      <c r="E22" s="2847">
        <v>0.9</v>
      </c>
      <c r="F22" s="2844" t="s">
        <v>2444</v>
      </c>
      <c r="G22" s="2844"/>
    </row>
    <row r="23" spans="1:13" ht="19.5" customHeight="1">
      <c r="A23" s="3500"/>
      <c r="B23" s="3488"/>
      <c r="C23" s="2856" t="s">
        <v>2445</v>
      </c>
      <c r="D23" s="2856"/>
      <c r="E23" s="2847">
        <v>0.9</v>
      </c>
      <c r="F23" s="2844" t="s">
        <v>2446</v>
      </c>
      <c r="G23" s="2844"/>
    </row>
    <row r="24" spans="1:13" ht="19.5" customHeight="1">
      <c r="A24" s="3500"/>
      <c r="B24" s="3488"/>
      <c r="C24" s="2856" t="s">
        <v>2447</v>
      </c>
      <c r="D24" s="2856"/>
      <c r="E24" s="2847">
        <v>0.8</v>
      </c>
      <c r="F24" s="2844" t="s">
        <v>2448</v>
      </c>
      <c r="G24" s="2844"/>
    </row>
    <row r="25" spans="1:13" ht="19.5" customHeight="1">
      <c r="A25" s="3500"/>
      <c r="B25" s="3488"/>
      <c r="C25" s="2856" t="s">
        <v>2449</v>
      </c>
      <c r="D25" s="2856"/>
      <c r="E25" s="2847">
        <v>0.8</v>
      </c>
      <c r="F25" s="2844"/>
      <c r="G25" s="2844"/>
    </row>
    <row r="26" spans="1:13" ht="19.5" customHeight="1">
      <c r="A26" s="3500"/>
      <c r="B26" s="3488"/>
      <c r="C26" s="2856" t="s">
        <v>3407</v>
      </c>
      <c r="D26" s="2856"/>
      <c r="E26" s="2847">
        <v>0.43</v>
      </c>
      <c r="F26" s="2844"/>
      <c r="G26" s="2844"/>
    </row>
    <row r="27" spans="1:13" ht="19.5" customHeight="1" thickBot="1">
      <c r="A27" s="3501"/>
      <c r="B27" s="3493"/>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4" t="s">
        <v>2631</v>
      </c>
      <c r="B29" s="3497" t="s">
        <v>2612</v>
      </c>
      <c r="C29" s="2841" t="s">
        <v>2452</v>
      </c>
      <c r="D29" s="2842"/>
      <c r="E29" s="2843">
        <v>1</v>
      </c>
      <c r="F29" s="2844" t="s">
        <v>2453</v>
      </c>
      <c r="G29" s="2844"/>
    </row>
    <row r="30" spans="1:13" ht="19.5" customHeight="1">
      <c r="A30" s="3495"/>
      <c r="B30" s="3491"/>
      <c r="C30" s="2845" t="s">
        <v>2454</v>
      </c>
      <c r="D30" s="2846"/>
      <c r="E30" s="2847">
        <v>1</v>
      </c>
      <c r="F30" s="2844" t="s">
        <v>2455</v>
      </c>
      <c r="G30" s="2844"/>
    </row>
    <row r="31" spans="1:13" ht="19.5" customHeight="1">
      <c r="A31" s="3495"/>
      <c r="B31" s="3491"/>
      <c r="C31" s="2845" t="s">
        <v>2456</v>
      </c>
      <c r="D31" s="2846"/>
      <c r="E31" s="2847">
        <v>0.8</v>
      </c>
      <c r="F31" s="2844" t="s">
        <v>2457</v>
      </c>
      <c r="G31" s="2844"/>
    </row>
    <row r="32" spans="1:13" ht="19.5" customHeight="1">
      <c r="A32" s="3495"/>
      <c r="B32" s="3491"/>
      <c r="C32" s="2845" t="s">
        <v>2458</v>
      </c>
      <c r="D32" s="2846"/>
      <c r="E32" s="2847">
        <v>0.8</v>
      </c>
      <c r="F32" s="2844" t="s">
        <v>2459</v>
      </c>
      <c r="G32" s="2844"/>
    </row>
    <row r="33" spans="1:7" ht="19.5" customHeight="1">
      <c r="A33" s="3495"/>
      <c r="B33" s="3491"/>
      <c r="C33" s="2845" t="s">
        <v>2460</v>
      </c>
      <c r="D33" s="2846"/>
      <c r="E33" s="2847">
        <v>0.8</v>
      </c>
      <c r="F33" s="2844" t="s">
        <v>2461</v>
      </c>
      <c r="G33" s="2844"/>
    </row>
    <row r="34" spans="1:7" ht="19.5" customHeight="1">
      <c r="A34" s="3495"/>
      <c r="B34" s="3491"/>
      <c r="C34" s="2845" t="s">
        <v>2462</v>
      </c>
      <c r="D34" s="2846"/>
      <c r="E34" s="2847">
        <v>0.7</v>
      </c>
      <c r="F34" s="2844" t="s">
        <v>2463</v>
      </c>
      <c r="G34" s="2844"/>
    </row>
    <row r="35" spans="1:7" ht="19.5" customHeight="1">
      <c r="A35" s="3495"/>
      <c r="B35" s="3491"/>
      <c r="C35" s="2845" t="s">
        <v>2464</v>
      </c>
      <c r="D35" s="2846"/>
      <c r="E35" s="2847">
        <v>0.8</v>
      </c>
      <c r="F35" s="2844" t="s">
        <v>2465</v>
      </c>
      <c r="G35" s="2844"/>
    </row>
    <row r="36" spans="1:7" ht="19.5" customHeight="1">
      <c r="A36" s="3495"/>
      <c r="B36" s="3491"/>
      <c r="C36" s="2845" t="s">
        <v>2466</v>
      </c>
      <c r="D36" s="2846"/>
      <c r="E36" s="2847">
        <v>0.6</v>
      </c>
      <c r="F36" s="2844" t="s">
        <v>2467</v>
      </c>
      <c r="G36" s="2844"/>
    </row>
    <row r="37" spans="1:7" ht="19.5" customHeight="1">
      <c r="A37" s="3495"/>
      <c r="B37" s="3491"/>
      <c r="C37" s="2845" t="s">
        <v>2468</v>
      </c>
      <c r="D37" s="2846"/>
      <c r="E37" s="2847">
        <v>0.2</v>
      </c>
      <c r="F37" s="2844" t="s">
        <v>2469</v>
      </c>
      <c r="G37" s="2844"/>
    </row>
    <row r="38" spans="1:7" ht="19.5" customHeight="1">
      <c r="A38" s="3495"/>
      <c r="B38" s="3491"/>
      <c r="C38" s="2845" t="s">
        <v>2470</v>
      </c>
      <c r="D38" s="2846"/>
      <c r="E38" s="2847">
        <v>0.2</v>
      </c>
      <c r="F38" s="2844" t="s">
        <v>2471</v>
      </c>
      <c r="G38" s="2844"/>
    </row>
    <row r="39" spans="1:7" ht="19.5" customHeight="1">
      <c r="A39" s="3495"/>
      <c r="B39" s="3489" t="s">
        <v>2632</v>
      </c>
      <c r="C39" s="2845" t="s">
        <v>2472</v>
      </c>
      <c r="D39" s="2846"/>
      <c r="E39" s="2847">
        <v>0.6</v>
      </c>
      <c r="F39" s="2844" t="s">
        <v>2473</v>
      </c>
      <c r="G39" s="2844"/>
    </row>
    <row r="40" spans="1:7" ht="19.5" customHeight="1">
      <c r="A40" s="3495"/>
      <c r="B40" s="3491"/>
      <c r="C40" s="2845" t="s">
        <v>2474</v>
      </c>
      <c r="D40" s="2846"/>
      <c r="E40" s="2847">
        <v>0.6</v>
      </c>
      <c r="F40" s="2844" t="s">
        <v>2475</v>
      </c>
      <c r="G40" s="2844"/>
    </row>
    <row r="41" spans="1:7" ht="19.5" customHeight="1" thickBot="1">
      <c r="A41" s="3496"/>
      <c r="B41" s="3498"/>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9" t="s">
        <v>2610</v>
      </c>
      <c r="B43" s="3497" t="s">
        <v>2634</v>
      </c>
      <c r="C43" s="2841" t="s">
        <v>2479</v>
      </c>
      <c r="D43" s="2842"/>
      <c r="E43" s="2843">
        <v>1</v>
      </c>
      <c r="F43" s="2844" t="s">
        <v>2480</v>
      </c>
      <c r="G43" s="2844"/>
    </row>
    <row r="44" spans="1:7" ht="19.5" customHeight="1">
      <c r="A44" s="3500"/>
      <c r="B44" s="3491"/>
      <c r="C44" s="2845" t="s">
        <v>2481</v>
      </c>
      <c r="D44" s="2846"/>
      <c r="E44" s="2847">
        <v>1</v>
      </c>
      <c r="F44" s="2844" t="s">
        <v>2482</v>
      </c>
      <c r="G44" s="2844"/>
    </row>
    <row r="45" spans="1:7" ht="19.5" customHeight="1">
      <c r="A45" s="3500"/>
      <c r="B45" s="3490"/>
      <c r="C45" s="2845" t="s">
        <v>2483</v>
      </c>
      <c r="D45" s="2846"/>
      <c r="E45" s="2847">
        <v>1.5</v>
      </c>
      <c r="F45" s="2844" t="s">
        <v>2484</v>
      </c>
      <c r="G45" s="2844"/>
    </row>
    <row r="46" spans="1:7" ht="19.5" customHeight="1">
      <c r="A46" s="3500"/>
      <c r="B46" s="2856" t="s">
        <v>2635</v>
      </c>
      <c r="C46" s="2845" t="s">
        <v>2636</v>
      </c>
      <c r="D46" s="2846"/>
      <c r="E46" s="2847">
        <v>2</v>
      </c>
      <c r="F46" s="2844" t="s">
        <v>2485</v>
      </c>
      <c r="G46" s="2844"/>
    </row>
    <row r="47" spans="1:7" ht="19.5" customHeight="1">
      <c r="A47" s="3500"/>
      <c r="B47" s="3489" t="s">
        <v>2637</v>
      </c>
      <c r="C47" s="2845" t="s">
        <v>2486</v>
      </c>
      <c r="D47" s="2846"/>
      <c r="E47" s="2847">
        <v>1</v>
      </c>
      <c r="F47" s="2844" t="s">
        <v>2487</v>
      </c>
      <c r="G47" s="2844"/>
    </row>
    <row r="48" spans="1:7" ht="19.5" customHeight="1">
      <c r="A48" s="3500"/>
      <c r="B48" s="3491"/>
      <c r="C48" s="2845" t="s">
        <v>2488</v>
      </c>
      <c r="D48" s="2846"/>
      <c r="E48" s="2847">
        <v>1</v>
      </c>
      <c r="F48" s="2844" t="s">
        <v>2489</v>
      </c>
      <c r="G48" s="2844"/>
    </row>
    <row r="49" spans="1:7" ht="19.5" customHeight="1">
      <c r="A49" s="3500"/>
      <c r="B49" s="3491"/>
      <c r="C49" s="2845" t="s">
        <v>2490</v>
      </c>
      <c r="D49" s="2846"/>
      <c r="E49" s="2847">
        <v>1</v>
      </c>
      <c r="F49" s="2844" t="s">
        <v>2491</v>
      </c>
      <c r="G49" s="2844"/>
    </row>
    <row r="50" spans="1:7" ht="19.5" customHeight="1">
      <c r="A50" s="3500"/>
      <c r="B50" s="3491"/>
      <c r="C50" s="2845" t="s">
        <v>2492</v>
      </c>
      <c r="D50" s="2846"/>
      <c r="E50" s="2847">
        <v>1</v>
      </c>
      <c r="F50" s="2844" t="s">
        <v>2493</v>
      </c>
      <c r="G50" s="2844"/>
    </row>
    <row r="51" spans="1:7" ht="19.5" customHeight="1">
      <c r="A51" s="3500"/>
      <c r="B51" s="3491"/>
      <c r="C51" s="2845" t="s">
        <v>2494</v>
      </c>
      <c r="D51" s="2846"/>
      <c r="E51" s="2847">
        <v>1</v>
      </c>
      <c r="F51" s="2844" t="s">
        <v>2495</v>
      </c>
      <c r="G51" s="2844"/>
    </row>
    <row r="52" spans="1:7" ht="19.5" customHeight="1">
      <c r="A52" s="3500"/>
      <c r="B52" s="3491"/>
      <c r="C52" s="2845" t="s">
        <v>2496</v>
      </c>
      <c r="D52" s="2846"/>
      <c r="E52" s="2847">
        <v>1</v>
      </c>
      <c r="F52" s="2844" t="s">
        <v>2497</v>
      </c>
      <c r="G52" s="2844"/>
    </row>
    <row r="53" spans="1:7" ht="19.5" customHeight="1" thickBot="1">
      <c r="A53" s="3501"/>
      <c r="B53" s="3498"/>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89" t="s">
        <v>2651</v>
      </c>
      <c r="C75" s="2830" t="s">
        <v>2652</v>
      </c>
      <c r="D75" s="2830" t="s">
        <v>2653</v>
      </c>
      <c r="E75" s="2856">
        <v>0.2</v>
      </c>
      <c r="F75" s="2856">
        <v>25</v>
      </c>
    </row>
    <row r="76" spans="1:7" ht="24">
      <c r="A76" s="2856">
        <v>2</v>
      </c>
      <c r="B76" s="3491"/>
      <c r="C76" s="2830" t="s">
        <v>2654</v>
      </c>
      <c r="D76" s="2830" t="s">
        <v>2655</v>
      </c>
      <c r="E76" s="2856">
        <v>0.2</v>
      </c>
      <c r="F76" s="2856">
        <v>25</v>
      </c>
    </row>
    <row r="77" spans="1:7" ht="24">
      <c r="A77" s="2856">
        <v>3</v>
      </c>
      <c r="B77" s="3491"/>
      <c r="C77" s="2830" t="s">
        <v>2656</v>
      </c>
      <c r="D77" s="2830" t="s">
        <v>2657</v>
      </c>
      <c r="E77" s="2856">
        <v>0.2</v>
      </c>
      <c r="F77" s="2856">
        <v>25</v>
      </c>
    </row>
    <row r="78" spans="1:7" ht="13.5">
      <c r="A78" s="2856">
        <v>4</v>
      </c>
      <c r="B78" s="3491"/>
      <c r="C78" s="2830" t="s">
        <v>2658</v>
      </c>
      <c r="D78" s="2830" t="s">
        <v>2659</v>
      </c>
      <c r="E78" s="2856">
        <v>0.15</v>
      </c>
      <c r="F78" s="2856">
        <v>20</v>
      </c>
    </row>
    <row r="79" spans="1:7" ht="24">
      <c r="A79" s="2856">
        <v>5</v>
      </c>
      <c r="B79" s="3491"/>
      <c r="C79" s="2830" t="s">
        <v>2660</v>
      </c>
      <c r="D79" s="2830" t="s">
        <v>2661</v>
      </c>
      <c r="E79" s="2856">
        <v>0.15</v>
      </c>
      <c r="F79" s="2856">
        <v>20</v>
      </c>
    </row>
    <row r="80" spans="1:7" ht="24">
      <c r="A80" s="2856">
        <v>6</v>
      </c>
      <c r="B80" s="3491"/>
      <c r="C80" s="2830" t="s">
        <v>2662</v>
      </c>
      <c r="D80" s="2830" t="s">
        <v>2663</v>
      </c>
      <c r="E80" s="2856">
        <v>0.15</v>
      </c>
      <c r="F80" s="2856">
        <v>20</v>
      </c>
    </row>
    <row r="81" spans="1:6" ht="24">
      <c r="A81" s="2856">
        <v>7</v>
      </c>
      <c r="B81" s="3491"/>
      <c r="C81" s="2830" t="s">
        <v>2664</v>
      </c>
      <c r="D81" s="2830" t="s">
        <v>2665</v>
      </c>
      <c r="E81" s="2856">
        <v>0.15</v>
      </c>
      <c r="F81" s="2856">
        <v>20</v>
      </c>
    </row>
    <row r="82" spans="1:6" ht="24">
      <c r="A82" s="2856">
        <v>8</v>
      </c>
      <c r="B82" s="3491"/>
      <c r="C82" s="2830" t="s">
        <v>2666</v>
      </c>
      <c r="D82" s="2830" t="s">
        <v>2667</v>
      </c>
      <c r="E82" s="2856">
        <v>0.1</v>
      </c>
      <c r="F82" s="2856">
        <v>15</v>
      </c>
    </row>
    <row r="83" spans="1:6" ht="24">
      <c r="A83" s="2856">
        <v>9</v>
      </c>
      <c r="B83" s="3491"/>
      <c r="C83" s="2830" t="s">
        <v>2668</v>
      </c>
      <c r="D83" s="2830" t="s">
        <v>2669</v>
      </c>
      <c r="E83" s="2856">
        <v>0.1</v>
      </c>
      <c r="F83" s="2856">
        <v>15</v>
      </c>
    </row>
    <row r="84" spans="1:6" ht="24">
      <c r="A84" s="2856">
        <v>10</v>
      </c>
      <c r="B84" s="3491"/>
      <c r="C84" s="2830" t="s">
        <v>2670</v>
      </c>
      <c r="D84" s="2830" t="s">
        <v>2671</v>
      </c>
      <c r="E84" s="2856">
        <v>0.1</v>
      </c>
      <c r="F84" s="2856">
        <v>15</v>
      </c>
    </row>
    <row r="85" spans="1:6" ht="24">
      <c r="A85" s="2856">
        <v>11</v>
      </c>
      <c r="B85" s="3491"/>
      <c r="C85" s="2830" t="s">
        <v>2672</v>
      </c>
      <c r="D85" s="2830" t="s">
        <v>2673</v>
      </c>
      <c r="E85" s="2856">
        <v>0.1</v>
      </c>
      <c r="F85" s="2856">
        <v>15</v>
      </c>
    </row>
    <row r="86" spans="1:6" ht="24">
      <c r="A86" s="2856">
        <v>12</v>
      </c>
      <c r="B86" s="3491"/>
      <c r="C86" s="2830" t="s">
        <v>2674</v>
      </c>
      <c r="D86" s="2830" t="s">
        <v>2675</v>
      </c>
      <c r="E86" s="2856">
        <v>0.1</v>
      </c>
      <c r="F86" s="2856">
        <v>15</v>
      </c>
    </row>
    <row r="87" spans="1:6" ht="13.5">
      <c r="A87" s="2856">
        <v>13</v>
      </c>
      <c r="B87" s="3491"/>
      <c r="C87" s="2830" t="s">
        <v>2676</v>
      </c>
      <c r="D87" s="2830" t="s">
        <v>2677</v>
      </c>
      <c r="E87" s="2856">
        <v>0.1</v>
      </c>
      <c r="F87" s="2856">
        <v>15</v>
      </c>
    </row>
    <row r="88" spans="1:6" ht="13.5">
      <c r="A88" s="2856">
        <v>14</v>
      </c>
      <c r="B88" s="3491"/>
      <c r="C88" s="2830" t="s">
        <v>2678</v>
      </c>
      <c r="D88" s="2830" t="s">
        <v>2679</v>
      </c>
      <c r="E88" s="2856">
        <v>0.1</v>
      </c>
      <c r="F88" s="2856">
        <v>15</v>
      </c>
    </row>
    <row r="89" spans="1:6" ht="13.5">
      <c r="A89" s="2856">
        <v>15</v>
      </c>
      <c r="B89" s="3491"/>
      <c r="C89" s="2830" t="s">
        <v>2680</v>
      </c>
      <c r="D89" s="2830" t="s">
        <v>2681</v>
      </c>
      <c r="E89" s="2856">
        <v>0.1</v>
      </c>
      <c r="F89" s="2856">
        <v>15</v>
      </c>
    </row>
    <row r="90" spans="1:6" ht="24">
      <c r="A90" s="2856">
        <v>16</v>
      </c>
      <c r="B90" s="3491"/>
      <c r="C90" s="2830" t="s">
        <v>2682</v>
      </c>
      <c r="D90" s="2830" t="s">
        <v>2683</v>
      </c>
      <c r="E90" s="2856">
        <v>0.1</v>
      </c>
      <c r="F90" s="2856">
        <v>15</v>
      </c>
    </row>
    <row r="91" spans="1:6" ht="24">
      <c r="A91" s="2856">
        <v>17</v>
      </c>
      <c r="B91" s="3490"/>
      <c r="C91" s="2830" t="s">
        <v>2684</v>
      </c>
      <c r="D91" s="2830" t="s">
        <v>2685</v>
      </c>
      <c r="E91" s="2856">
        <v>0.1</v>
      </c>
      <c r="F91" s="2856">
        <v>15</v>
      </c>
    </row>
    <row r="92" spans="1:6" ht="13.5">
      <c r="A92" s="2856">
        <v>18</v>
      </c>
      <c r="B92" s="3489" t="s">
        <v>2686</v>
      </c>
      <c r="C92" s="2830" t="s">
        <v>2687</v>
      </c>
      <c r="D92" s="2830" t="s">
        <v>2688</v>
      </c>
      <c r="E92" s="2856">
        <v>0.2</v>
      </c>
      <c r="F92" s="2856">
        <v>25</v>
      </c>
    </row>
    <row r="93" spans="1:6" ht="24">
      <c r="A93" s="2856">
        <v>19</v>
      </c>
      <c r="B93" s="3491"/>
      <c r="C93" s="2830" t="s">
        <v>2689</v>
      </c>
      <c r="D93" s="2830" t="s">
        <v>2690</v>
      </c>
      <c r="E93" s="2856">
        <v>0.2</v>
      </c>
      <c r="F93" s="2856">
        <v>25</v>
      </c>
    </row>
    <row r="94" spans="1:6" ht="13.5">
      <c r="A94" s="2856">
        <v>20</v>
      </c>
      <c r="B94" s="3491"/>
      <c r="C94" s="2830" t="s">
        <v>2691</v>
      </c>
      <c r="D94" s="2830" t="s">
        <v>2692</v>
      </c>
      <c r="E94" s="2856">
        <v>0.15</v>
      </c>
      <c r="F94" s="2856">
        <v>20</v>
      </c>
    </row>
    <row r="95" spans="1:6" ht="13.5">
      <c r="A95" s="2856">
        <v>21</v>
      </c>
      <c r="B95" s="3491"/>
      <c r="C95" s="2830" t="s">
        <v>2693</v>
      </c>
      <c r="D95" s="2830" t="s">
        <v>2694</v>
      </c>
      <c r="E95" s="2856">
        <v>0.15</v>
      </c>
      <c r="F95" s="2856">
        <v>20</v>
      </c>
    </row>
    <row r="96" spans="1:6" ht="13.5">
      <c r="A96" s="2856">
        <v>22</v>
      </c>
      <c r="B96" s="3491"/>
      <c r="C96" s="2830" t="s">
        <v>2695</v>
      </c>
      <c r="D96" s="2830" t="s">
        <v>2696</v>
      </c>
      <c r="E96" s="2856">
        <v>0.15</v>
      </c>
      <c r="F96" s="2856">
        <v>20</v>
      </c>
    </row>
    <row r="97" spans="1:6" ht="36">
      <c r="A97" s="2856">
        <v>23</v>
      </c>
      <c r="B97" s="3491"/>
      <c r="C97" s="2830" t="s">
        <v>2697</v>
      </c>
      <c r="D97" s="2830" t="s">
        <v>2698</v>
      </c>
      <c r="E97" s="2856">
        <v>0.15</v>
      </c>
      <c r="F97" s="2856">
        <v>20</v>
      </c>
    </row>
    <row r="98" spans="1:6" ht="13.5">
      <c r="A98" s="2856">
        <v>24</v>
      </c>
      <c r="B98" s="3491"/>
      <c r="C98" s="2830" t="s">
        <v>2699</v>
      </c>
      <c r="D98" s="2830" t="s">
        <v>2700</v>
      </c>
      <c r="E98" s="2856">
        <v>0.1</v>
      </c>
      <c r="F98" s="2856">
        <v>15</v>
      </c>
    </row>
    <row r="99" spans="1:6" ht="13.5">
      <c r="A99" s="2856">
        <v>25</v>
      </c>
      <c r="B99" s="3491"/>
      <c r="C99" s="2830" t="s">
        <v>2701</v>
      </c>
      <c r="D99" s="2830" t="s">
        <v>2702</v>
      </c>
      <c r="E99" s="2856">
        <v>0.1</v>
      </c>
      <c r="F99" s="2856">
        <v>15</v>
      </c>
    </row>
    <row r="100" spans="1:6" ht="24">
      <c r="A100" s="2856">
        <v>26</v>
      </c>
      <c r="B100" s="3491"/>
      <c r="C100" s="2830" t="s">
        <v>2703</v>
      </c>
      <c r="D100" s="2830" t="s">
        <v>2704</v>
      </c>
      <c r="E100" s="2856">
        <v>0.1</v>
      </c>
      <c r="F100" s="2856">
        <v>15</v>
      </c>
    </row>
    <row r="101" spans="1:6" ht="24">
      <c r="A101" s="2856">
        <v>27</v>
      </c>
      <c r="B101" s="3491"/>
      <c r="C101" s="2830" t="s">
        <v>2705</v>
      </c>
      <c r="D101" s="2830" t="s">
        <v>2706</v>
      </c>
      <c r="E101" s="2856">
        <v>0.1</v>
      </c>
      <c r="F101" s="2856">
        <v>15</v>
      </c>
    </row>
    <row r="102" spans="1:6" ht="13.5">
      <c r="A102" s="2856">
        <v>28</v>
      </c>
      <c r="B102" s="3491"/>
      <c r="C102" s="2830" t="s">
        <v>2707</v>
      </c>
      <c r="D102" s="2830" t="s">
        <v>2708</v>
      </c>
      <c r="E102" s="2856">
        <v>0.1</v>
      </c>
      <c r="F102" s="2856">
        <v>15</v>
      </c>
    </row>
    <row r="103" spans="1:6" ht="13.5">
      <c r="A103" s="2856">
        <v>29</v>
      </c>
      <c r="B103" s="3491"/>
      <c r="C103" s="2830" t="s">
        <v>2709</v>
      </c>
      <c r="D103" s="2830" t="s">
        <v>2710</v>
      </c>
      <c r="E103" s="2856">
        <v>0.1</v>
      </c>
      <c r="F103" s="2856">
        <v>15</v>
      </c>
    </row>
    <row r="104" spans="1:6" ht="13.5">
      <c r="A104" s="2856">
        <v>30</v>
      </c>
      <c r="B104" s="3491"/>
      <c r="C104" s="2830" t="s">
        <v>2711</v>
      </c>
      <c r="D104" s="2830" t="s">
        <v>2712</v>
      </c>
      <c r="E104" s="2856">
        <v>0.1</v>
      </c>
      <c r="F104" s="2856">
        <v>15</v>
      </c>
    </row>
    <row r="105" spans="1:6" ht="24">
      <c r="A105" s="2856">
        <v>31</v>
      </c>
      <c r="B105" s="3491"/>
      <c r="C105" s="2830" t="s">
        <v>2713</v>
      </c>
      <c r="D105" s="2830" t="s">
        <v>2714</v>
      </c>
      <c r="E105" s="2856">
        <v>0.1</v>
      </c>
      <c r="F105" s="2856">
        <v>15</v>
      </c>
    </row>
    <row r="106" spans="1:6" ht="24">
      <c r="A106" s="2856">
        <v>32</v>
      </c>
      <c r="B106" s="3491"/>
      <c r="C106" s="2830" t="s">
        <v>2715</v>
      </c>
      <c r="D106" s="2830" t="s">
        <v>2716</v>
      </c>
      <c r="E106" s="2856">
        <v>0.1</v>
      </c>
      <c r="F106" s="2856">
        <v>15</v>
      </c>
    </row>
    <row r="107" spans="1:6" ht="24">
      <c r="A107" s="2856">
        <v>33</v>
      </c>
      <c r="B107" s="3491"/>
      <c r="C107" s="2830" t="s">
        <v>2717</v>
      </c>
      <c r="D107" s="2830" t="s">
        <v>2718</v>
      </c>
      <c r="E107" s="2856">
        <v>0.1</v>
      </c>
      <c r="F107" s="2856">
        <v>15</v>
      </c>
    </row>
    <row r="108" spans="1:6" ht="24">
      <c r="A108" s="2856">
        <v>34</v>
      </c>
      <c r="B108" s="3490"/>
      <c r="C108" s="2830" t="s">
        <v>2719</v>
      </c>
      <c r="D108" s="2830" t="s">
        <v>2720</v>
      </c>
      <c r="E108" s="2856">
        <v>0.1</v>
      </c>
      <c r="F108" s="2856">
        <v>15</v>
      </c>
    </row>
    <row r="109" spans="1:6" ht="24">
      <c r="A109" s="2856">
        <v>35</v>
      </c>
      <c r="B109" s="3489" t="s">
        <v>2721</v>
      </c>
      <c r="C109" s="2856" t="s">
        <v>2722</v>
      </c>
      <c r="D109" s="2830" t="s">
        <v>2723</v>
      </c>
      <c r="E109" s="2856">
        <v>0.15</v>
      </c>
      <c r="F109" s="2856">
        <v>20</v>
      </c>
    </row>
    <row r="110" spans="1:6" ht="13.5">
      <c r="A110" s="2856">
        <v>36</v>
      </c>
      <c r="B110" s="3491"/>
      <c r="C110" s="2856" t="s">
        <v>2724</v>
      </c>
      <c r="D110" s="2830" t="s">
        <v>2725</v>
      </c>
      <c r="E110" s="2856">
        <v>0.15</v>
      </c>
      <c r="F110" s="2856">
        <v>20</v>
      </c>
    </row>
    <row r="111" spans="1:6" ht="13.5">
      <c r="A111" s="2856">
        <v>37</v>
      </c>
      <c r="B111" s="3491"/>
      <c r="C111" s="2856" t="s">
        <v>2726</v>
      </c>
      <c r="D111" s="2830" t="s">
        <v>2727</v>
      </c>
      <c r="E111" s="2856">
        <v>0.15</v>
      </c>
      <c r="F111" s="2856">
        <v>20</v>
      </c>
    </row>
    <row r="112" spans="1:6" ht="13.5">
      <c r="A112" s="2856">
        <v>38</v>
      </c>
      <c r="B112" s="3491"/>
      <c r="C112" s="2856" t="s">
        <v>2728</v>
      </c>
      <c r="D112" s="2830" t="s">
        <v>2729</v>
      </c>
      <c r="E112" s="2856">
        <v>0.1</v>
      </c>
      <c r="F112" s="2856">
        <v>15</v>
      </c>
    </row>
    <row r="113" spans="1:6" ht="24">
      <c r="A113" s="2856">
        <v>39</v>
      </c>
      <c r="B113" s="3491"/>
      <c r="C113" s="2856" t="s">
        <v>2730</v>
      </c>
      <c r="D113" s="2830" t="s">
        <v>2731</v>
      </c>
      <c r="E113" s="2856">
        <v>0.1</v>
      </c>
      <c r="F113" s="2856">
        <v>15</v>
      </c>
    </row>
    <row r="114" spans="1:6" ht="24">
      <c r="A114" s="2856">
        <v>40</v>
      </c>
      <c r="B114" s="3490"/>
      <c r="C114" s="2856" t="s">
        <v>2732</v>
      </c>
      <c r="D114" s="2830" t="s">
        <v>2733</v>
      </c>
      <c r="E114" s="2856">
        <v>0.1</v>
      </c>
      <c r="F114" s="2856">
        <v>15</v>
      </c>
    </row>
    <row r="115" spans="1:6" ht="13.5">
      <c r="A115" s="2856">
        <v>41</v>
      </c>
      <c r="B115" s="3488" t="s">
        <v>2734</v>
      </c>
      <c r="C115" s="2856" t="s">
        <v>2735</v>
      </c>
      <c r="D115" s="2830" t="s">
        <v>2736</v>
      </c>
      <c r="E115" s="2856">
        <v>0.1</v>
      </c>
      <c r="F115" s="2856">
        <v>15</v>
      </c>
    </row>
    <row r="116" spans="1:6" ht="13.5">
      <c r="A116" s="2856">
        <v>42</v>
      </c>
      <c r="B116" s="3488"/>
      <c r="C116" s="2856" t="s">
        <v>2737</v>
      </c>
      <c r="D116" s="2830" t="s">
        <v>2738</v>
      </c>
      <c r="E116" s="2856">
        <v>0.1</v>
      </c>
      <c r="F116" s="2856">
        <v>15</v>
      </c>
    </row>
    <row r="117" spans="1:6" ht="24">
      <c r="A117" s="2856">
        <v>43</v>
      </c>
      <c r="B117" s="3488"/>
      <c r="C117" s="2856" t="s">
        <v>2739</v>
      </c>
      <c r="D117" s="2830" t="s">
        <v>2740</v>
      </c>
      <c r="E117" s="2856">
        <v>0.1</v>
      </c>
      <c r="F117" s="2856">
        <v>15</v>
      </c>
    </row>
    <row r="118" spans="1:6" ht="13.5">
      <c r="A118" s="2856">
        <v>44</v>
      </c>
      <c r="B118" s="3489" t="s">
        <v>2741</v>
      </c>
      <c r="C118" s="2856" t="s">
        <v>2742</v>
      </c>
      <c r="D118" s="2830" t="s">
        <v>2743</v>
      </c>
      <c r="E118" s="2856">
        <v>0.1</v>
      </c>
      <c r="F118" s="2856">
        <v>15</v>
      </c>
    </row>
    <row r="119" spans="1:6" ht="24">
      <c r="A119" s="2856">
        <v>45</v>
      </c>
      <c r="B119" s="3490"/>
      <c r="C119" s="2830" t="s">
        <v>2744</v>
      </c>
      <c r="D119" s="2830" t="s">
        <v>2745</v>
      </c>
      <c r="E119" s="2856">
        <v>0.1</v>
      </c>
      <c r="F119" s="2856">
        <v>15</v>
      </c>
    </row>
    <row r="120" spans="1:6" ht="24">
      <c r="A120" s="2856">
        <v>46</v>
      </c>
      <c r="B120" s="3489" t="s">
        <v>2746</v>
      </c>
      <c r="C120" s="2856" t="s">
        <v>2747</v>
      </c>
      <c r="D120" s="2830" t="s">
        <v>2748</v>
      </c>
      <c r="E120" s="2856">
        <v>0.1</v>
      </c>
      <c r="F120" s="2856">
        <v>15</v>
      </c>
    </row>
    <row r="121" spans="1:6" ht="24">
      <c r="A121" s="2856">
        <v>47</v>
      </c>
      <c r="B121" s="3490"/>
      <c r="C121" s="2856" t="s">
        <v>2749</v>
      </c>
      <c r="D121" s="2830" t="s">
        <v>2750</v>
      </c>
      <c r="E121" s="2856">
        <v>0.1</v>
      </c>
      <c r="F121" s="2856">
        <v>15</v>
      </c>
    </row>
    <row r="122" spans="1:6" ht="13.5">
      <c r="A122" s="2856">
        <v>48</v>
      </c>
      <c r="B122" s="3489" t="s">
        <v>2751</v>
      </c>
      <c r="C122" s="2856" t="s">
        <v>2752</v>
      </c>
      <c r="D122" s="2830" t="s">
        <v>2753</v>
      </c>
      <c r="E122" s="2856">
        <v>0.1</v>
      </c>
      <c r="F122" s="2856">
        <v>15</v>
      </c>
    </row>
    <row r="123" spans="1:6" ht="13.5">
      <c r="A123" s="2856">
        <v>49</v>
      </c>
      <c r="B123" s="3490"/>
      <c r="C123" s="2856" t="s">
        <v>2754</v>
      </c>
      <c r="D123" s="2830" t="s">
        <v>2755</v>
      </c>
      <c r="E123" s="2856">
        <v>0.1</v>
      </c>
      <c r="F123" s="2856">
        <v>15</v>
      </c>
    </row>
    <row r="124" spans="1:6" ht="24">
      <c r="A124" s="2856">
        <v>50</v>
      </c>
      <c r="B124" s="3488" t="s">
        <v>2756</v>
      </c>
      <c r="C124" s="2856" t="s">
        <v>2757</v>
      </c>
      <c r="D124" s="2830" t="s">
        <v>2758</v>
      </c>
      <c r="E124" s="2856">
        <v>0.1</v>
      </c>
      <c r="F124" s="2856">
        <v>15</v>
      </c>
    </row>
    <row r="125" spans="1:6" ht="24">
      <c r="A125" s="2856">
        <v>51</v>
      </c>
      <c r="B125" s="3488"/>
      <c r="C125" s="2856" t="s">
        <v>2759</v>
      </c>
      <c r="D125" s="2830" t="s">
        <v>2760</v>
      </c>
      <c r="E125" s="2856">
        <v>0.1</v>
      </c>
      <c r="F125" s="2856">
        <v>15</v>
      </c>
    </row>
    <row r="126" spans="1:6" ht="24">
      <c r="A126" s="2856">
        <v>52</v>
      </c>
      <c r="B126" s="3488" t="s">
        <v>2761</v>
      </c>
      <c r="C126" s="2856" t="s">
        <v>2762</v>
      </c>
      <c r="D126" s="2830" t="s">
        <v>2763</v>
      </c>
      <c r="E126" s="2856">
        <v>0.1</v>
      </c>
      <c r="F126" s="2856">
        <v>15</v>
      </c>
    </row>
    <row r="127" spans="1:6" ht="24">
      <c r="A127" s="2856">
        <v>53</v>
      </c>
      <c r="B127" s="3488"/>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8" t="s">
        <v>2769</v>
      </c>
      <c r="C129" s="2856" t="s">
        <v>2770</v>
      </c>
      <c r="D129" s="2830" t="s">
        <v>2771</v>
      </c>
      <c r="E129" s="2856">
        <v>0.1</v>
      </c>
      <c r="F129" s="2856">
        <v>15</v>
      </c>
    </row>
    <row r="130" spans="1:6" ht="13.5">
      <c r="A130" s="2856">
        <v>56</v>
      </c>
      <c r="B130" s="3488"/>
      <c r="C130" s="2856" t="s">
        <v>2772</v>
      </c>
      <c r="D130" s="2830" t="s">
        <v>2773</v>
      </c>
      <c r="E130" s="2856">
        <v>0.1</v>
      </c>
      <c r="F130" s="2856">
        <v>15</v>
      </c>
    </row>
    <row r="131" spans="1:6" ht="24">
      <c r="A131" s="2856">
        <v>57</v>
      </c>
      <c r="B131" s="3488"/>
      <c r="C131" s="2856" t="s">
        <v>2774</v>
      </c>
      <c r="D131" s="2830" t="s">
        <v>2775</v>
      </c>
      <c r="E131" s="2856">
        <v>0.1</v>
      </c>
      <c r="F131" s="2856">
        <v>15</v>
      </c>
    </row>
    <row r="132" spans="1:6" ht="24">
      <c r="A132" s="2856">
        <v>58</v>
      </c>
      <c r="B132" s="3488" t="s">
        <v>2776</v>
      </c>
      <c r="C132" s="2856" t="s">
        <v>2777</v>
      </c>
      <c r="D132" s="2830" t="s">
        <v>2778</v>
      </c>
      <c r="E132" s="2856">
        <v>0.1</v>
      </c>
      <c r="F132" s="2856">
        <v>15</v>
      </c>
    </row>
    <row r="133" spans="1:6" ht="13.5">
      <c r="A133" s="2856">
        <v>59</v>
      </c>
      <c r="B133" s="3488"/>
      <c r="C133" s="2856" t="s">
        <v>2779</v>
      </c>
      <c r="D133" s="2830" t="s">
        <v>2780</v>
      </c>
      <c r="E133" s="2856">
        <v>0.1</v>
      </c>
      <c r="F133" s="2856">
        <v>15</v>
      </c>
    </row>
    <row r="134" spans="1:6" ht="13.5">
      <c r="A134" s="2856">
        <v>60</v>
      </c>
      <c r="B134" s="3489" t="s">
        <v>2781</v>
      </c>
      <c r="C134" s="2856" t="s">
        <v>2782</v>
      </c>
      <c r="D134" s="2830" t="s">
        <v>2783</v>
      </c>
      <c r="E134" s="2856">
        <v>0.1</v>
      </c>
      <c r="F134" s="2856">
        <v>15</v>
      </c>
    </row>
    <row r="135" spans="1:6" ht="13.5">
      <c r="A135" s="2856">
        <v>61</v>
      </c>
      <c r="B135" s="3490"/>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8" t="s">
        <v>2789</v>
      </c>
      <c r="C137" s="2856" t="s">
        <v>2790</v>
      </c>
      <c r="D137" s="2830" t="s">
        <v>2791</v>
      </c>
      <c r="E137" s="2856">
        <v>0.1</v>
      </c>
      <c r="F137" s="2856">
        <v>15</v>
      </c>
    </row>
    <row r="138" spans="1:6" ht="13.5">
      <c r="A138" s="2856">
        <v>64</v>
      </c>
      <c r="B138" s="3488"/>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1.1214999999999999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1.0668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估价结果一览表（市场价值不需“结果表-1”）</v>
      </c>
      <c r="B3" s="3188"/>
      <c r="C3" s="3188"/>
      <c r="D3" s="3188"/>
      <c r="E3" s="3188"/>
    </row>
    <row r="4" spans="1:5" ht="19.5" thickBot="1">
      <c r="A4" s="1391"/>
      <c r="B4" s="3186" t="s">
        <v>917</v>
      </c>
      <c r="C4" s="3186"/>
      <c r="D4" s="3186"/>
      <c r="E4" s="1391"/>
    </row>
    <row r="5" spans="1:5" ht="16.5" thickTop="1">
      <c r="B5" s="3184" t="s">
        <v>909</v>
      </c>
      <c r="C5" s="1392" t="s">
        <v>910</v>
      </c>
      <c r="D5" s="797" t="e">
        <f ca="1">结果表!H101</f>
        <v>#REF!</v>
      </c>
    </row>
    <row r="6" spans="1:5" ht="15.75">
      <c r="B6" s="3184"/>
      <c r="C6" s="1392" t="s">
        <v>911</v>
      </c>
      <c r="D6" s="797" t="e">
        <f ca="1">NUMBERSTRING(INT(D5*10000),2)&amp;"元整"</f>
        <v>#REF!</v>
      </c>
    </row>
    <row r="7" spans="1:5" ht="15.75">
      <c r="B7" s="3189"/>
      <c r="C7" s="1393" t="s">
        <v>912</v>
      </c>
      <c r="D7" s="798" t="e">
        <f ca="1">结果表!H102</f>
        <v>#REF!</v>
      </c>
    </row>
    <row r="8" spans="1:5" ht="15.75">
      <c r="B8" s="3190" t="str">
        <f>结果表!E103</f>
        <v>2.估价师知悉的法定优先受偿款</v>
      </c>
      <c r="C8" s="1394" t="s">
        <v>913</v>
      </c>
      <c r="D8" s="798">
        <f>结果表!H103</f>
        <v>0</v>
      </c>
    </row>
    <row r="9" spans="1:5" ht="15.75">
      <c r="B9" s="31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3" t="str">
        <f>结果表!E107</f>
        <v>3.房地产抵押价值</v>
      </c>
      <c r="C13" s="1397" t="s">
        <v>910</v>
      </c>
      <c r="D13" s="800" t="e">
        <f ca="1">结果表!H107</f>
        <v>#REF!</v>
      </c>
    </row>
    <row r="14" spans="1:5" ht="15.75">
      <c r="B14" s="3184"/>
      <c r="C14" s="1392" t="s">
        <v>911</v>
      </c>
      <c r="D14" s="797" t="e">
        <f ca="1">NUMBERSTRING(INT(D13*10000),2)&amp;"元整"</f>
        <v>#REF!</v>
      </c>
    </row>
    <row r="15" spans="1:5" ht="15">
      <c r="B15" s="3189"/>
      <c r="C15" s="1393" t="s">
        <v>921</v>
      </c>
      <c r="D15" s="806" t="e">
        <f ca="1">结果表!H108</f>
        <v>#REF!</v>
      </c>
    </row>
    <row r="16" spans="1:5" ht="15">
      <c r="B16" s="3190" t="str">
        <f>结果表!E109</f>
        <v>——</v>
      </c>
      <c r="C16" s="1397" t="s">
        <v>922</v>
      </c>
      <c r="D16" s="1398" t="str">
        <f>结果表!H109</f>
        <v>——</v>
      </c>
    </row>
    <row r="17" spans="1:5" ht="15.75">
      <c r="B17" s="3191"/>
      <c r="C17" s="1392" t="s">
        <v>923</v>
      </c>
      <c r="D17" s="797" t="e">
        <f>NUMBERSTRING(INT(D16*10000),2)&amp;"元整"</f>
        <v>#VALUE!</v>
      </c>
    </row>
    <row r="18" spans="1:5" ht="15">
      <c r="B18" s="3192"/>
      <c r="C18" s="1393" t="s">
        <v>912</v>
      </c>
      <c r="D18" s="806" t="str">
        <f>结果表!H110</f>
        <v>——</v>
      </c>
    </row>
    <row r="19" spans="1:5" ht="15.75">
      <c r="B19" s="3183" t="str">
        <f>结果表!E111</f>
        <v>——</v>
      </c>
      <c r="C19" s="1397" t="s">
        <v>910</v>
      </c>
      <c r="D19" s="798" t="str">
        <f>结果表!H111</f>
        <v>——</v>
      </c>
    </row>
    <row r="20" spans="1:5" ht="15.75">
      <c r="B20" s="3184"/>
      <c r="C20" s="1392" t="s">
        <v>923</v>
      </c>
      <c r="D20" s="797" t="e">
        <f>NUMBERSTRING(INT(D19*10000),2)&amp;"元整"</f>
        <v>#VALUE!</v>
      </c>
    </row>
    <row r="21" spans="1:5" ht="15.75" thickBot="1">
      <c r="B21" s="31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25900</v>
      </c>
      <c r="C2" s="2" t="s">
        <v>106</v>
      </c>
      <c r="D2" s="191"/>
      <c r="E2" s="191"/>
      <c r="F2" s="191"/>
      <c r="G2" s="191"/>
    </row>
    <row r="3" spans="1:7" s="192" customFormat="1" ht="18" customHeight="1" thickBot="1">
      <c r="A3" s="195" t="s">
        <v>58</v>
      </c>
      <c r="B3" s="196">
        <f ca="1">ROUND(B2*10000/'数据-汇总表'!E3,0)</f>
        <v>7910812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32.74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32.74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25888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32.74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25900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2" t="s">
        <v>3181</v>
      </c>
      <c r="B1" s="350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03" t="s">
        <v>3232</v>
      </c>
      <c r="B1" s="3503"/>
      <c r="C1" s="3503"/>
      <c r="D1" s="3503"/>
      <c r="E1" s="3503"/>
      <c r="F1" s="3504"/>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46015</v>
      </c>
      <c r="B1" s="2928" t="s">
        <v>3376</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05" t="s">
        <v>2827</v>
      </c>
      <c r="S29" s="3506"/>
      <c r="T29" s="3506"/>
      <c r="U29" s="3506"/>
      <c r="V29" s="3506"/>
      <c r="W29" s="3506"/>
      <c r="X29" s="2895"/>
      <c r="Y29" s="3505" t="s">
        <v>2828</v>
      </c>
      <c r="Z29" s="3506"/>
      <c r="AA29" s="3506"/>
      <c r="AB29" s="3506"/>
      <c r="AC29" s="3506"/>
      <c r="AD29" s="3506"/>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AAAE-2ADA-4BF4-912C-C869F13D170E}">
  <sheetPr>
    <tabColor rgb="FF92D050"/>
  </sheetPr>
  <dimension ref="C2:R32"/>
  <sheetViews>
    <sheetView workbookViewId="0">
      <selection activeCell="N18" sqref="N18:R18"/>
    </sheetView>
  </sheetViews>
  <sheetFormatPr defaultRowHeight="13.5"/>
  <cols>
    <col min="9" max="9" width="11.625" bestFit="1" customWidth="1"/>
    <col min="13" max="13" width="10.5" bestFit="1" customWidth="1"/>
    <col min="14" max="14" width="10.75" customWidth="1"/>
    <col min="17" max="17" width="10.5" bestFit="1" customWidth="1"/>
    <col min="18" max="19" width="11.625" bestFit="1" customWidth="1"/>
  </cols>
  <sheetData>
    <row r="2" spans="3:18">
      <c r="D2" s="1405" t="s">
        <v>3508</v>
      </c>
      <c r="G2" s="1405" t="s">
        <v>3437</v>
      </c>
      <c r="H2" s="1405" t="s">
        <v>3438</v>
      </c>
      <c r="I2" s="1405" t="s">
        <v>3439</v>
      </c>
      <c r="J2" s="1405" t="s">
        <v>3440</v>
      </c>
      <c r="K2" s="1405" t="s">
        <v>3441</v>
      </c>
    </row>
    <row r="3" spans="3:18">
      <c r="D3" s="1405" t="s">
        <v>3509</v>
      </c>
      <c r="E3" s="1405" t="s">
        <v>3453</v>
      </c>
      <c r="F3">
        <v>59.65</v>
      </c>
      <c r="G3">
        <v>2197600</v>
      </c>
      <c r="H3">
        <f>G3/F3</f>
        <v>36841.575859178542</v>
      </c>
      <c r="I3" s="3168">
        <v>45941</v>
      </c>
      <c r="J3">
        <v>3023900</v>
      </c>
      <c r="K3">
        <f>J3/F3</f>
        <v>50694.048616932108</v>
      </c>
      <c r="L3" s="1405" t="s">
        <v>3436</v>
      </c>
      <c r="M3" s="1405" t="s">
        <v>3442</v>
      </c>
      <c r="N3" s="3169" t="s">
        <v>3435</v>
      </c>
    </row>
    <row r="4" spans="3:18">
      <c r="D4" s="1405" t="s">
        <v>3510</v>
      </c>
      <c r="E4" s="1405" t="s">
        <v>3443</v>
      </c>
      <c r="F4">
        <v>55.56</v>
      </c>
      <c r="G4">
        <v>2326000</v>
      </c>
      <c r="H4">
        <f t="shared" ref="H4:H6" si="0">G4/F4</f>
        <v>41864.650827933765</v>
      </c>
      <c r="I4" s="3168">
        <v>45562</v>
      </c>
      <c r="J4">
        <v>1807950.5</v>
      </c>
      <c r="K4">
        <f t="shared" ref="K4:K6" si="1">J4/F4</f>
        <v>32540.505759539235</v>
      </c>
      <c r="L4" s="1405" t="s">
        <v>3446</v>
      </c>
      <c r="M4" s="1405" t="s">
        <v>3445</v>
      </c>
      <c r="N4" s="3169" t="s">
        <v>3444</v>
      </c>
    </row>
    <row r="5" spans="3:18">
      <c r="D5" s="1405" t="s">
        <v>3466</v>
      </c>
      <c r="E5" s="1405" t="s">
        <v>3448</v>
      </c>
      <c r="F5">
        <v>55.74</v>
      </c>
      <c r="G5">
        <v>2117000</v>
      </c>
      <c r="H5">
        <f t="shared" si="0"/>
        <v>37979.906709723713</v>
      </c>
      <c r="I5" s="3168">
        <v>45727</v>
      </c>
      <c r="J5">
        <v>3024200</v>
      </c>
      <c r="K5">
        <f t="shared" si="1"/>
        <v>54255.471833512733</v>
      </c>
      <c r="L5" s="1405" t="s">
        <v>3449</v>
      </c>
      <c r="M5" s="1405" t="s">
        <v>3445</v>
      </c>
      <c r="N5" s="3169" t="s">
        <v>3447</v>
      </c>
    </row>
    <row r="6" spans="3:18">
      <c r="D6" s="1405" t="s">
        <v>3466</v>
      </c>
      <c r="E6" s="1405" t="s">
        <v>3451</v>
      </c>
      <c r="F6">
        <v>60.11</v>
      </c>
      <c r="G6">
        <v>3104000</v>
      </c>
      <c r="H6">
        <f t="shared" si="0"/>
        <v>51638.662452171018</v>
      </c>
      <c r="I6" s="3168">
        <v>45192</v>
      </c>
      <c r="J6">
        <v>3508000</v>
      </c>
      <c r="K6">
        <f t="shared" si="1"/>
        <v>58359.673931126272</v>
      </c>
      <c r="L6" s="1405" t="s">
        <v>3452</v>
      </c>
      <c r="M6" s="1405" t="s">
        <v>3445</v>
      </c>
      <c r="N6" s="3169" t="s">
        <v>3450</v>
      </c>
    </row>
    <row r="10" spans="3:18">
      <c r="C10" s="1405" t="s">
        <v>3434</v>
      </c>
    </row>
    <row r="11" spans="3:18">
      <c r="C11">
        <v>35</v>
      </c>
      <c r="D11">
        <v>3600</v>
      </c>
      <c r="E11">
        <f>ROUND(D11/C11,2)</f>
        <v>102.86</v>
      </c>
      <c r="F11">
        <f>ROUND(D11/C11/30,2)</f>
        <v>3.43</v>
      </c>
      <c r="G11" s="1405" t="s">
        <v>3418</v>
      </c>
      <c r="H11" s="1405" t="s">
        <v>3419</v>
      </c>
      <c r="I11" s="3168">
        <v>45997</v>
      </c>
      <c r="J11" s="1405" t="s">
        <v>3421</v>
      </c>
      <c r="L11">
        <f>E11/30</f>
        <v>3.4286666666666665</v>
      </c>
      <c r="N11" s="1405" t="s">
        <v>3459</v>
      </c>
    </row>
    <row r="12" spans="3:18">
      <c r="C12">
        <v>56.6</v>
      </c>
      <c r="D12">
        <v>6600</v>
      </c>
      <c r="E12">
        <f t="shared" ref="E12:E32" si="2">ROUND(D12/C12,2)</f>
        <v>116.61</v>
      </c>
      <c r="F12">
        <f t="shared" ref="F12:F32" si="3">ROUND(D12/C12/30,2)</f>
        <v>3.89</v>
      </c>
      <c r="G12" s="1405" t="s">
        <v>3422</v>
      </c>
      <c r="H12" s="1405" t="s">
        <v>3423</v>
      </c>
      <c r="I12" s="3168">
        <v>45978</v>
      </c>
      <c r="L12">
        <f t="shared" ref="L12:L32" si="4">E12/30</f>
        <v>3.887</v>
      </c>
      <c r="N12" s="3171">
        <v>32</v>
      </c>
      <c r="O12" s="3171">
        <v>32555</v>
      </c>
      <c r="P12" s="3171" t="s">
        <v>3455</v>
      </c>
      <c r="Q12" s="3171" t="s">
        <v>3418</v>
      </c>
      <c r="R12" s="3172">
        <v>45927</v>
      </c>
    </row>
    <row r="13" spans="3:18">
      <c r="C13">
        <v>55.56</v>
      </c>
      <c r="D13">
        <v>6500</v>
      </c>
      <c r="E13">
        <f t="shared" si="2"/>
        <v>116.99</v>
      </c>
      <c r="F13">
        <f t="shared" si="3"/>
        <v>3.9</v>
      </c>
      <c r="G13" s="1405" t="s">
        <v>3424</v>
      </c>
      <c r="H13" s="1405" t="s">
        <v>3425</v>
      </c>
      <c r="I13" s="3168">
        <v>45968</v>
      </c>
      <c r="L13">
        <f t="shared" si="4"/>
        <v>3.8996666666666666</v>
      </c>
      <c r="N13" s="3157">
        <v>56</v>
      </c>
      <c r="O13" s="3157">
        <v>38094</v>
      </c>
      <c r="P13" s="3180" t="s">
        <v>3454</v>
      </c>
      <c r="Q13" s="3180" t="s">
        <v>3422</v>
      </c>
      <c r="R13" s="3181">
        <v>45920</v>
      </c>
    </row>
    <row r="14" spans="3:18">
      <c r="C14">
        <v>45</v>
      </c>
      <c r="D14">
        <v>4100</v>
      </c>
      <c r="E14">
        <f t="shared" si="2"/>
        <v>91.11</v>
      </c>
      <c r="F14">
        <f t="shared" si="3"/>
        <v>3.04</v>
      </c>
      <c r="G14" s="1405" t="s">
        <v>3424</v>
      </c>
      <c r="H14" s="1405" t="s">
        <v>3426</v>
      </c>
      <c r="I14" s="3168">
        <v>45956</v>
      </c>
      <c r="L14">
        <f t="shared" si="4"/>
        <v>3.0369999999999999</v>
      </c>
      <c r="N14" s="3171">
        <v>31</v>
      </c>
      <c r="O14" s="3171">
        <v>30265</v>
      </c>
      <c r="P14" s="3171" t="s">
        <v>3455</v>
      </c>
      <c r="Q14" s="3171" t="s">
        <v>3418</v>
      </c>
      <c r="R14" s="3172">
        <v>45901</v>
      </c>
    </row>
    <row r="15" spans="3:18">
      <c r="C15" s="3171">
        <v>33.700000000000003</v>
      </c>
      <c r="D15" s="3171">
        <v>5000</v>
      </c>
      <c r="E15" s="3171">
        <f t="shared" si="2"/>
        <v>148.37</v>
      </c>
      <c r="F15" s="3171">
        <f t="shared" si="3"/>
        <v>4.95</v>
      </c>
      <c r="G15" s="3171" t="s">
        <v>3418</v>
      </c>
      <c r="H15" s="3171" t="s">
        <v>3426</v>
      </c>
      <c r="I15" s="3172">
        <v>45952</v>
      </c>
      <c r="J15" s="3171" t="s">
        <v>3427</v>
      </c>
      <c r="L15">
        <f t="shared" si="4"/>
        <v>4.9456666666666669</v>
      </c>
      <c r="N15" s="3171">
        <v>31</v>
      </c>
      <c r="O15" s="3171">
        <v>31952</v>
      </c>
      <c r="P15" s="3171" t="s">
        <v>3455</v>
      </c>
      <c r="Q15" s="3171" t="s">
        <v>3418</v>
      </c>
      <c r="R15" s="3172">
        <v>45899</v>
      </c>
    </row>
    <row r="16" spans="3:18">
      <c r="C16" s="3171">
        <v>30.86</v>
      </c>
      <c r="D16" s="3171">
        <v>4300</v>
      </c>
      <c r="E16" s="3171">
        <f t="shared" si="2"/>
        <v>139.34</v>
      </c>
      <c r="F16" s="3171">
        <f t="shared" si="3"/>
        <v>4.6399999999999997</v>
      </c>
      <c r="G16" s="3171" t="s">
        <v>3429</v>
      </c>
      <c r="H16" s="3171" t="s">
        <v>3425</v>
      </c>
      <c r="I16" s="3172">
        <v>45910</v>
      </c>
      <c r="J16" s="3171"/>
      <c r="L16">
        <f t="shared" si="4"/>
        <v>4.6446666666666667</v>
      </c>
      <c r="N16">
        <v>30.74</v>
      </c>
      <c r="O16">
        <v>52374</v>
      </c>
      <c r="Q16" s="1405" t="s">
        <v>3429</v>
      </c>
      <c r="R16" s="3168">
        <v>45823</v>
      </c>
    </row>
    <row r="17" spans="3:18">
      <c r="C17" s="3171">
        <v>33.799999999999997</v>
      </c>
      <c r="D17" s="3171">
        <v>4500</v>
      </c>
      <c r="E17" s="3171">
        <f t="shared" si="2"/>
        <v>133.13999999999999</v>
      </c>
      <c r="F17" s="3171">
        <f t="shared" si="3"/>
        <v>4.4400000000000004</v>
      </c>
      <c r="G17" s="3171" t="s">
        <v>3429</v>
      </c>
      <c r="H17" s="3171" t="s">
        <v>3431</v>
      </c>
      <c r="I17" s="3172">
        <v>45899</v>
      </c>
      <c r="J17" s="3171"/>
      <c r="L17">
        <f t="shared" si="4"/>
        <v>4.4379999999999997</v>
      </c>
      <c r="N17" s="3157">
        <v>30</v>
      </c>
      <c r="O17" s="3157">
        <v>42692</v>
      </c>
      <c r="P17" s="3180" t="s">
        <v>3430</v>
      </c>
      <c r="Q17" s="3180" t="s">
        <v>3429</v>
      </c>
      <c r="R17" s="3181">
        <v>45750</v>
      </c>
    </row>
    <row r="18" spans="3:18">
      <c r="C18">
        <v>34.590000000000003</v>
      </c>
      <c r="D18">
        <v>3900</v>
      </c>
      <c r="E18">
        <f t="shared" si="2"/>
        <v>112.75</v>
      </c>
      <c r="F18">
        <f t="shared" si="3"/>
        <v>3.76</v>
      </c>
      <c r="G18" s="1405" t="s">
        <v>3418</v>
      </c>
      <c r="H18" s="1405" t="s">
        <v>3426</v>
      </c>
      <c r="I18" s="3168">
        <v>45899</v>
      </c>
      <c r="L18">
        <f t="shared" si="4"/>
        <v>3.7583333333333333</v>
      </c>
      <c r="N18">
        <v>42</v>
      </c>
      <c r="O18">
        <v>37220</v>
      </c>
      <c r="P18" s="1405" t="s">
        <v>3455</v>
      </c>
      <c r="Q18" s="1405" t="s">
        <v>3456</v>
      </c>
      <c r="R18" s="3168">
        <v>45747</v>
      </c>
    </row>
    <row r="19" spans="3:18">
      <c r="C19">
        <v>36</v>
      </c>
      <c r="D19">
        <v>4700</v>
      </c>
      <c r="E19">
        <f t="shared" si="2"/>
        <v>130.56</v>
      </c>
      <c r="F19">
        <f t="shared" si="3"/>
        <v>4.3499999999999996</v>
      </c>
      <c r="G19" s="1405" t="s">
        <v>3418</v>
      </c>
      <c r="H19" s="1405" t="s">
        <v>3431</v>
      </c>
      <c r="I19" s="3168">
        <v>45897</v>
      </c>
      <c r="J19" s="1405" t="s">
        <v>3427</v>
      </c>
      <c r="L19">
        <f t="shared" si="4"/>
        <v>4.3520000000000003</v>
      </c>
      <c r="N19" s="3157">
        <v>31</v>
      </c>
      <c r="O19" s="3157">
        <v>40423</v>
      </c>
      <c r="P19" s="3180" t="s">
        <v>3425</v>
      </c>
      <c r="Q19" s="3180" t="s">
        <v>3429</v>
      </c>
      <c r="R19" s="3181">
        <v>45735</v>
      </c>
    </row>
    <row r="20" spans="3:18">
      <c r="C20">
        <v>31</v>
      </c>
      <c r="D20">
        <v>5100</v>
      </c>
      <c r="E20">
        <f t="shared" si="2"/>
        <v>164.52</v>
      </c>
      <c r="F20">
        <f t="shared" si="3"/>
        <v>5.48</v>
      </c>
      <c r="G20" s="1405" t="s">
        <v>3429</v>
      </c>
      <c r="H20" s="1405" t="s">
        <v>3426</v>
      </c>
      <c r="I20" s="3168">
        <v>45890</v>
      </c>
      <c r="L20">
        <f t="shared" si="4"/>
        <v>5.484</v>
      </c>
      <c r="N20">
        <v>58</v>
      </c>
      <c r="O20">
        <v>52332</v>
      </c>
      <c r="Q20" s="1405" t="s">
        <v>3424</v>
      </c>
      <c r="R20" s="3168">
        <v>45715</v>
      </c>
    </row>
    <row r="21" spans="3:18">
      <c r="C21">
        <v>56.03</v>
      </c>
      <c r="D21">
        <v>6600</v>
      </c>
      <c r="E21">
        <f t="shared" si="2"/>
        <v>117.79</v>
      </c>
      <c r="F21">
        <f t="shared" si="3"/>
        <v>3.93</v>
      </c>
      <c r="G21" s="1405" t="s">
        <v>3424</v>
      </c>
      <c r="H21" s="1405" t="s">
        <v>3431</v>
      </c>
      <c r="I21" s="3168">
        <v>45875</v>
      </c>
      <c r="L21">
        <f t="shared" si="4"/>
        <v>3.9263333333333335</v>
      </c>
      <c r="N21">
        <v>30</v>
      </c>
      <c r="O21">
        <v>58765</v>
      </c>
      <c r="P21" s="1405" t="s">
        <v>3455</v>
      </c>
      <c r="Q21" s="1405" t="s">
        <v>3457</v>
      </c>
      <c r="R21" s="3168">
        <v>45648</v>
      </c>
    </row>
    <row r="22" spans="3:18">
      <c r="C22">
        <v>32.840000000000003</v>
      </c>
      <c r="D22">
        <v>4500</v>
      </c>
      <c r="E22">
        <f t="shared" si="2"/>
        <v>137.03</v>
      </c>
      <c r="F22">
        <f t="shared" si="3"/>
        <v>4.57</v>
      </c>
      <c r="G22" s="1405" t="s">
        <v>3433</v>
      </c>
      <c r="H22" s="1405" t="s">
        <v>3431</v>
      </c>
      <c r="I22" s="3168">
        <v>45863</v>
      </c>
      <c r="L22">
        <f t="shared" si="4"/>
        <v>4.5676666666666668</v>
      </c>
      <c r="N22">
        <v>29</v>
      </c>
      <c r="O22">
        <v>38873</v>
      </c>
      <c r="P22" s="1405" t="s">
        <v>3458</v>
      </c>
      <c r="Q22" s="1405" t="s">
        <v>3429</v>
      </c>
      <c r="R22" s="3168">
        <v>45644</v>
      </c>
    </row>
    <row r="23" spans="3:18">
      <c r="C23">
        <v>58.09</v>
      </c>
      <c r="D23">
        <v>7300</v>
      </c>
      <c r="E23">
        <f t="shared" si="2"/>
        <v>125.67</v>
      </c>
      <c r="F23">
        <f t="shared" si="3"/>
        <v>4.1900000000000004</v>
      </c>
      <c r="G23" s="1405" t="s">
        <v>3422</v>
      </c>
      <c r="H23" s="1405" t="s">
        <v>3431</v>
      </c>
      <c r="I23" s="3168">
        <v>45863</v>
      </c>
      <c r="J23" s="1405" t="s">
        <v>3427</v>
      </c>
      <c r="K23" s="1405" t="s">
        <v>3432</v>
      </c>
      <c r="L23">
        <f t="shared" si="4"/>
        <v>4.1890000000000001</v>
      </c>
      <c r="N23">
        <v>34</v>
      </c>
      <c r="O23">
        <v>50128</v>
      </c>
      <c r="P23" s="1405" t="s">
        <v>3426</v>
      </c>
      <c r="Q23" s="1405" t="s">
        <v>3418</v>
      </c>
      <c r="R23" s="3168">
        <v>45622</v>
      </c>
    </row>
    <row r="24" spans="3:18">
      <c r="C24">
        <v>58.09</v>
      </c>
      <c r="D24">
        <v>6500</v>
      </c>
      <c r="E24">
        <f t="shared" si="2"/>
        <v>111.9</v>
      </c>
      <c r="F24">
        <f t="shared" si="3"/>
        <v>3.73</v>
      </c>
      <c r="G24" s="1405" t="s">
        <v>3422</v>
      </c>
      <c r="H24" s="1405" t="s">
        <v>3426</v>
      </c>
      <c r="I24" s="3168">
        <v>45846</v>
      </c>
      <c r="L24">
        <f t="shared" si="4"/>
        <v>3.73</v>
      </c>
      <c r="N24">
        <v>58</v>
      </c>
      <c r="O24">
        <v>47961</v>
      </c>
      <c r="P24" s="1405" t="s">
        <v>3431</v>
      </c>
      <c r="Q24" s="1405" t="s">
        <v>3422</v>
      </c>
      <c r="R24" s="3168">
        <v>45616</v>
      </c>
    </row>
    <row r="25" spans="3:18">
      <c r="C25">
        <v>30.2</v>
      </c>
      <c r="D25">
        <v>4500</v>
      </c>
      <c r="E25">
        <f t="shared" si="2"/>
        <v>149.01</v>
      </c>
      <c r="F25">
        <f t="shared" si="3"/>
        <v>4.97</v>
      </c>
      <c r="G25" s="1405" t="s">
        <v>3433</v>
      </c>
      <c r="H25" s="1405" t="s">
        <v>3426</v>
      </c>
      <c r="I25" s="3168">
        <v>45839</v>
      </c>
      <c r="L25">
        <f t="shared" si="4"/>
        <v>4.9669999999999996</v>
      </c>
      <c r="N25">
        <v>33</v>
      </c>
      <c r="O25">
        <v>34869</v>
      </c>
      <c r="P25" s="3170" t="s">
        <v>3454</v>
      </c>
      <c r="Q25" s="1405" t="s">
        <v>3433</v>
      </c>
      <c r="R25" s="3168">
        <v>45605</v>
      </c>
    </row>
    <row r="26" spans="3:18">
      <c r="C26">
        <v>75.61</v>
      </c>
      <c r="D26">
        <v>8500</v>
      </c>
      <c r="E26">
        <f t="shared" si="2"/>
        <v>112.42</v>
      </c>
      <c r="F26">
        <f t="shared" si="3"/>
        <v>3.75</v>
      </c>
      <c r="G26" s="1405" t="s">
        <v>3424</v>
      </c>
      <c r="H26" s="1405" t="s">
        <v>3426</v>
      </c>
      <c r="I26" s="3168">
        <v>45834</v>
      </c>
      <c r="J26" s="1405" t="s">
        <v>3427</v>
      </c>
      <c r="L26">
        <f t="shared" si="4"/>
        <v>3.7473333333333332</v>
      </c>
      <c r="N26">
        <v>32</v>
      </c>
      <c r="O26">
        <v>41233</v>
      </c>
      <c r="P26" s="1405" t="s">
        <v>3458</v>
      </c>
      <c r="Q26" s="1405" t="s">
        <v>3418</v>
      </c>
      <c r="R26" s="3168">
        <v>45598</v>
      </c>
    </row>
    <row r="27" spans="3:18">
      <c r="C27">
        <v>35.57</v>
      </c>
      <c r="D27">
        <v>4900</v>
      </c>
      <c r="E27">
        <f t="shared" si="2"/>
        <v>137.76</v>
      </c>
      <c r="F27">
        <f t="shared" si="3"/>
        <v>4.59</v>
      </c>
      <c r="G27" s="1405" t="s">
        <v>3418</v>
      </c>
      <c r="H27" s="1405" t="s">
        <v>3431</v>
      </c>
      <c r="I27" s="3168">
        <v>45833</v>
      </c>
      <c r="L27">
        <f t="shared" si="4"/>
        <v>4.5919999999999996</v>
      </c>
    </row>
    <row r="28" spans="3:18">
      <c r="C28">
        <v>55.52</v>
      </c>
      <c r="D28">
        <v>5000</v>
      </c>
      <c r="E28">
        <f t="shared" si="2"/>
        <v>90.06</v>
      </c>
      <c r="F28">
        <f t="shared" si="3"/>
        <v>3</v>
      </c>
      <c r="G28" s="1405" t="s">
        <v>3422</v>
      </c>
      <c r="H28" s="1405" t="s">
        <v>3431</v>
      </c>
      <c r="I28" s="3168">
        <v>45831</v>
      </c>
      <c r="L28">
        <f t="shared" si="4"/>
        <v>3.0020000000000002</v>
      </c>
    </row>
    <row r="29" spans="3:18">
      <c r="C29">
        <v>32</v>
      </c>
      <c r="D29">
        <v>4452</v>
      </c>
      <c r="E29">
        <f t="shared" si="2"/>
        <v>139.13</v>
      </c>
      <c r="F29">
        <f t="shared" si="3"/>
        <v>4.6399999999999997</v>
      </c>
      <c r="G29" s="1405" t="s">
        <v>3429</v>
      </c>
      <c r="H29" s="1405" t="s">
        <v>3426</v>
      </c>
      <c r="I29" s="3168">
        <v>45819</v>
      </c>
      <c r="L29">
        <f t="shared" si="4"/>
        <v>4.6376666666666662</v>
      </c>
    </row>
    <row r="30" spans="3:18">
      <c r="C30">
        <v>58</v>
      </c>
      <c r="D30">
        <v>6800</v>
      </c>
      <c r="E30">
        <f t="shared" si="2"/>
        <v>117.24</v>
      </c>
      <c r="F30">
        <f t="shared" si="3"/>
        <v>3.91</v>
      </c>
      <c r="G30" s="1405" t="s">
        <v>3422</v>
      </c>
      <c r="H30" s="1405" t="s">
        <v>3431</v>
      </c>
      <c r="I30" s="3168">
        <v>45806</v>
      </c>
      <c r="L30">
        <f t="shared" si="4"/>
        <v>3.9079999999999999</v>
      </c>
    </row>
    <row r="31" spans="3:18">
      <c r="C31">
        <v>40</v>
      </c>
      <c r="D31">
        <v>3700</v>
      </c>
      <c r="E31">
        <f t="shared" si="2"/>
        <v>92.5</v>
      </c>
      <c r="F31">
        <f t="shared" si="3"/>
        <v>3.08</v>
      </c>
      <c r="G31" s="1405" t="s">
        <v>3418</v>
      </c>
      <c r="H31" s="1405" t="s">
        <v>3431</v>
      </c>
      <c r="I31" s="3168">
        <v>45783</v>
      </c>
      <c r="L31">
        <f t="shared" si="4"/>
        <v>3.0833333333333335</v>
      </c>
    </row>
    <row r="32" spans="3:18">
      <c r="C32">
        <v>32.36</v>
      </c>
      <c r="D32">
        <v>4300</v>
      </c>
      <c r="E32">
        <f t="shared" si="2"/>
        <v>132.88</v>
      </c>
      <c r="F32">
        <f t="shared" si="3"/>
        <v>4.43</v>
      </c>
      <c r="G32" s="1405" t="s">
        <v>3418</v>
      </c>
      <c r="H32" s="1405" t="s">
        <v>3431</v>
      </c>
      <c r="I32" s="3168">
        <v>45773</v>
      </c>
      <c r="L32">
        <f t="shared" si="4"/>
        <v>4.4293333333333331</v>
      </c>
    </row>
  </sheetData>
  <phoneticPr fontId="134" type="noConversion"/>
  <hyperlinks>
    <hyperlink ref="N3" r:id="rId1" display="https://sf-item.taobao.com/sf_item/978952784176.htm?spm=a213w.7398504.paiList.1.207e2d531GwNNo&amp;track_id=242c57b2-39c5-42a0-b4cc-669b95cb0f32" xr:uid="{B4B6E0D3-C75B-4AC2-B167-5CAE6C22B45B}"/>
    <hyperlink ref="N4" r:id="rId2" display="https://sf-item.taobao.com/sf_item/827694756388.htm?spm=a213w.7398504.paiList.4.207e2d531GwNNo&amp;track_id=242c57b2-39c5-42a0-b4cc-669b95cb0f32" xr:uid="{78AB8AF2-6E35-4977-BF82-8D8420D62EA5}"/>
    <hyperlink ref="N6" r:id="rId3" display="https://paimai.jd.com/298644220" xr:uid="{5A954CAC-30D5-4370-B231-47FC3A3533E9}"/>
    <hyperlink ref="N5" r:id="rId4" display="https://paimai.jd.com/308067165" xr:uid="{F1AA4B5A-41C8-4918-A385-F8986FBFF3C4}"/>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8" t="s">
        <v>2839</v>
      </c>
      <c r="B1" s="3518"/>
      <c r="C1" s="3518"/>
      <c r="D1" s="3518"/>
      <c r="E1" s="3518"/>
      <c r="F1" s="3518"/>
      <c r="G1" s="351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0" t="str">
        <f>IF(项目基本情况!B9="房地产市场价值","估价结果一览表","结果表-2")</f>
        <v>估价结果一览表</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房地产市场价值</v>
      </c>
      <c r="I2" s="3201"/>
    </row>
    <row r="3" spans="1:9" ht="15">
      <c r="A3" s="3196"/>
      <c r="B3" s="3196"/>
      <c r="C3" s="3196"/>
      <c r="D3" s="801" t="s">
        <v>925</v>
      </c>
      <c r="E3" s="801" t="s">
        <v>931</v>
      </c>
      <c r="F3" s="801" t="s">
        <v>925</v>
      </c>
      <c r="G3" s="801" t="s">
        <v>926</v>
      </c>
      <c r="H3" s="801" t="s">
        <v>925</v>
      </c>
      <c r="I3" s="801" t="s">
        <v>926</v>
      </c>
    </row>
    <row r="4" spans="1:9" ht="15">
      <c r="A4" s="1403" t="str">
        <f>项目基本情况!S2</f>
        <v>北京市房地产</v>
      </c>
      <c r="B4" s="801">
        <f>项目基本情况!C17</f>
        <v>32.74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75">
      <c r="A6" s="3195" t="str">
        <f>结果表!A120</f>
        <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
      </c>
      <c r="B8" s="3195"/>
      <c r="C8" s="3195"/>
      <c r="D8" s="3195" t="e">
        <f ca="1">结果表!D122</f>
        <v>#REF!</v>
      </c>
      <c r="E8" s="3195"/>
      <c r="F8" s="3195"/>
      <c r="G8" s="3195"/>
      <c r="H8" s="3195"/>
      <c r="I8" s="3195"/>
    </row>
    <row r="9" spans="1:9" ht="15">
      <c r="A9" s="3196" t="s">
        <v>927</v>
      </c>
      <c r="B9" s="3196"/>
      <c r="C9" s="3196"/>
      <c r="D9" s="3196" t="e">
        <f ca="1">结果表!D123</f>
        <v>#REF!</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8" t="s">
        <v>949</v>
      </c>
      <c r="B1" s="3208"/>
      <c r="C1" s="3208"/>
      <c r="D1" s="3208"/>
    </row>
    <row r="2" spans="1:4" ht="18">
      <c r="A2" s="3209" t="s">
        <v>933</v>
      </c>
      <c r="B2" s="3209"/>
      <c r="C2" s="3209"/>
      <c r="D2" s="32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9" t="s">
        <v>939</v>
      </c>
      <c r="B6" s="3209"/>
      <c r="C6" s="3209"/>
      <c r="D6" s="32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2" t="str">
        <f>IF(项目基本情况!B8="抵押","3.抵押双方在办理抵押登记手续时，应使用本公司出具的正式《房地产评估报告》，特提醒报告使用者注意。","——")</f>
        <v>——</v>
      </c>
      <c r="B13" s="3207"/>
      <c r="C13" s="3207"/>
      <c r="D13" s="3207"/>
    </row>
    <row r="14" spans="1:4" ht="15.75" customHeight="1">
      <c r="A14" s="3202" t="str">
        <f>IF(项目基本情况!B8="抵押","4.本次评估估价师所知悉的法定优先受偿款情况说明如下：","——")</f>
        <v>——</v>
      </c>
      <c r="B14" s="3207"/>
      <c r="C14" s="3207"/>
      <c r="D14" s="3207"/>
    </row>
    <row r="15" spans="1:4" ht="42" customHeight="1">
      <c r="A15" s="3202" t="str">
        <f>IF(项目基本情况!B8="抵押","（1）"&amp;CONCATENATE(项目基本情况!L20,项目基本情况!L21,项目基本情况!L22),"——")</f>
        <v>——</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6" t="s">
        <v>956</v>
      </c>
      <c r="B15" s="3211" t="s">
        <v>109</v>
      </c>
      <c r="C15" s="3212"/>
    </row>
    <row r="16" spans="1:7" ht="13.5">
      <c r="A16" s="3217"/>
      <c r="B16" s="3211" t="s">
        <v>42</v>
      </c>
      <c r="C16" s="3212"/>
    </row>
    <row r="17" spans="1:3" ht="13.5">
      <c r="A17" s="3217"/>
      <c r="B17" s="3214" t="s">
        <v>957</v>
      </c>
      <c r="C17" s="1429" t="s">
        <v>956</v>
      </c>
    </row>
    <row r="18" spans="1:3" ht="13.5">
      <c r="A18" s="3217"/>
      <c r="B18" s="3214"/>
      <c r="C18" s="1429" t="s">
        <v>958</v>
      </c>
    </row>
    <row r="19" spans="1:3" ht="13.5">
      <c r="A19" s="3217"/>
      <c r="B19" s="3214"/>
      <c r="C19" s="1429" t="s">
        <v>959</v>
      </c>
    </row>
    <row r="20" spans="1:3" ht="13.5">
      <c r="A20" s="3218"/>
      <c r="B20" s="3213" t="s">
        <v>960</v>
      </c>
      <c r="C20" s="3212"/>
    </row>
    <row r="21" spans="1:3" ht="13.5">
      <c r="A21" s="1430" t="s">
        <v>961</v>
      </c>
      <c r="B21" s="1431"/>
      <c r="C21" s="1432"/>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9" t="s">
        <v>967</v>
      </c>
    </row>
    <row r="26" spans="1:3" ht="13.5">
      <c r="A26" s="3215"/>
      <c r="B26" s="3214"/>
      <c r="C26" s="1429" t="s">
        <v>968</v>
      </c>
    </row>
    <row r="27" spans="1:3" ht="13.5">
      <c r="A27" s="3215"/>
      <c r="B27" s="3214"/>
      <c r="C27" s="1429" t="s">
        <v>969</v>
      </c>
    </row>
    <row r="28" spans="1:3" ht="13.5">
      <c r="A28" s="3215"/>
      <c r="B28" s="3214"/>
      <c r="C28" s="1429" t="s">
        <v>970</v>
      </c>
    </row>
    <row r="29" spans="1:3" ht="13.5">
      <c r="A29" s="3215"/>
      <c r="B29" s="3214"/>
      <c r="C29" s="1429" t="s">
        <v>971</v>
      </c>
    </row>
    <row r="30" spans="1:3" ht="13.5">
      <c r="A30" s="3215"/>
      <c r="B30" s="3214"/>
      <c r="C30" s="1429" t="s">
        <v>972</v>
      </c>
    </row>
    <row r="31" spans="1:3" ht="13.5">
      <c r="A31" s="3215"/>
      <c r="B31" s="3214"/>
      <c r="C31" s="1429" t="s">
        <v>973</v>
      </c>
    </row>
    <row r="32" spans="1:3" ht="13.5">
      <c r="A32" s="3215"/>
      <c r="B32" s="3214"/>
      <c r="C32" s="1429" t="s">
        <v>974</v>
      </c>
    </row>
    <row r="33" spans="1:3" ht="13.5">
      <c r="A33" s="3215"/>
      <c r="B33" s="32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46026</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58"/>
      <c r="E18" s="3221" t="s">
        <v>2162</v>
      </c>
      <c r="F18" s="3220"/>
      <c r="G18" s="3220"/>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2026-01-04T09:33:48Z</dcterms:modified>
</cp:coreProperties>
</file>